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FR9Y4Nctaz5r+H5ZMDf0YpRkV5K3egsJieXQ35drHBLZNdOhZp9iuyxPTlnj7ZLihW7OtTstsuHpflVGiV+0Dg==" workbookSaltValue="VosFy/NSFzYvTtZ96BSzOg==" workbookSpinCount="100000" lockStructure="1"/>
  <bookViews>
    <workbookView xWindow="0" yWindow="0" windowWidth="7470" windowHeight="2760" tabRatio="655"/>
  </bookViews>
  <sheets>
    <sheet name="Start" sheetId="62" r:id="rId1"/>
    <sheet name="فرم الف" sheetId="6" r:id="rId2"/>
    <sheet name="بند1-1تدوين كتاب در حوزه فرهنگي" sheetId="40" r:id="rId3"/>
    <sheet name="بند1-2تهيه و تدوين پيوست فرهنگي" sheetId="41" r:id="rId4"/>
    <sheet name="بند1-3مشاوره فرهنگي يا همكاري.." sheetId="42" r:id="rId5"/>
    <sheet name="بند1-4استاد مشاور فرهنگي" sheetId="43" r:id="rId6"/>
    <sheet name="بند1-5مسئوليت پذيري در اصلاح و " sheetId="44" r:id="rId7"/>
    <sheet name="بند1-6استمرار در تقيد و پايبندي" sheetId="45" r:id="rId8"/>
    <sheet name="بند1-7كسب جوايز فرهنگي..." sheetId="46" r:id="rId9"/>
    <sheet name="بند1-8طراحي و مشاركت فعالانه..." sheetId="47" r:id="rId10"/>
    <sheet name="بند1-9شركت در كارگاه هاي دانش.." sheetId="48" r:id="rId11"/>
    <sheet name="بند1-10برگزاري نمايشگاه آثار و." sheetId="49" r:id="rId12"/>
    <sheet name="بند2-1رعایت نظم وانضباط درسی" sheetId="50" r:id="rId13"/>
    <sheet name="بند2-2کیفیت تدریس" sheetId="51" r:id="rId14"/>
    <sheet name="بند 2-3کمیت تدریس" sheetId="52" r:id="rId15"/>
    <sheet name="بند2-4راهنمايي پروژه كارشناسي.." sheetId="53" r:id="rId16"/>
    <sheet name="بند3-1مقاله علمي پژوهشيJCRو..." sheetId="1" r:id="rId17"/>
    <sheet name="بند3-2و3-3مقاله مروري و ترويجي" sheetId="9" r:id="rId18"/>
    <sheet name="بند3-4مدخل چاپ شده در دانشنامه" sheetId="10" r:id="rId19"/>
    <sheet name="بند3-5و3-6مقاله علمی کامل وخلاص" sheetId="11" r:id="rId20"/>
    <sheet name="بند3-7مقاله مستخرج از رساله" sheetId="12" r:id="rId21"/>
    <sheet name="بند3-8توليد دانش فني اختراع و.." sheetId="8" r:id="rId22"/>
    <sheet name="بند3-9-1و2گزارش علمي طرح پژوهشي" sheetId="13" r:id="rId23"/>
    <sheet name="بند3-10 اثر بديع و ارزنده" sheetId="14" r:id="rId24"/>
    <sheet name="بند3-11 ايجاد ظرفيت در جذب گرنت" sheetId="15" r:id="rId25"/>
    <sheet name="بند3-12 تصنيف تاليف ترجمه كتاب" sheetId="16" r:id="rId26"/>
    <sheet name="بند3-13 راهنمايي پايان نامه" sheetId="17" r:id="rId27"/>
    <sheet name="بند 3-14 کرسی های نظریه پردازی" sheetId="18" r:id="rId28"/>
    <sheet name="بند 3-15 كسب رتبه در جشنواره ها" sheetId="19" r:id="rId29"/>
    <sheet name="بند 3-16 داوري و نظارت پژوهشي" sheetId="20" r:id="rId30"/>
    <sheet name="بند4-1حضور فعال وتمام وقت" sheetId="21" r:id="rId31"/>
    <sheet name="بند4-2برپايي نمايشگاه اردوها..." sheetId="22" r:id="rId32"/>
    <sheet name="بند4-3طراحي و راه اندازي آزمايش" sheetId="23" r:id="rId33"/>
    <sheet name="بند4-4همكاري در تاسيس دانشگاه و" sheetId="24" r:id="rId34"/>
    <sheet name="بند4-5مدير مسئولي سردبيري و..." sheetId="25" r:id="rId35"/>
    <sheet name="بند4-6عضويت در هسته قطب علمي" sheetId="26" r:id="rId36"/>
    <sheet name="بند4-7عضويت در شوراي پارك ها..." sheetId="27" r:id="rId37"/>
    <sheet name="بند4-8 دبيري همايش هاي علمي..." sheetId="28" r:id="rId38"/>
    <sheet name="بند4-9ايفاي مسئوليت درقواي سه.." sheetId="29" r:id="rId39"/>
    <sheet name="بند4-10شركت در شوراها كارگروه.." sheetId="30" r:id="rId40"/>
    <sheet name="بند4-11ايجاد رشته هاي جديد و .." sheetId="32" r:id="rId41"/>
    <sheet name="بند4-12راهبري پروژه بين رشته اي" sheetId="33" r:id="rId42"/>
    <sheet name="بند4-13طراحي برنامه با هدف ..." sheetId="34" r:id="rId43"/>
    <sheet name="بند4-14طراحي سوال آزمون سراسري" sheetId="35" r:id="rId44"/>
    <sheet name="بند4-15طراحي سوال آزمون جامع و" sheetId="36" r:id="rId45"/>
    <sheet name="بند4-16 تدوين كتاب به شيوه ..." sheetId="37" r:id="rId46"/>
    <sheet name="بند4-17تدوين مجموعه مقاله همايش" sheetId="38" r:id="rId47"/>
    <sheet name="بند4-18ايجاد ظرفيت درجذب دانشجو" sheetId="39" r:id="rId48"/>
    <sheet name="صورتجلسه کمیته فرهنگی" sheetId="64" r:id="rId49"/>
    <sheet name="تصویر صورتجلسه کمیته فرهنگی" sheetId="67" r:id="rId50"/>
    <sheet name="فرم ب-1" sheetId="65" r:id="rId51"/>
    <sheet name="تصویر فرم ب-1" sheetId="66" r:id="rId52"/>
    <sheet name="فرم ب-2" sheetId="57" r:id="rId53"/>
    <sheet name="تصویر فرم ب-2" sheetId="61" r:id="rId54"/>
    <sheet name="فرم ب - 3" sheetId="59" r:id="rId55"/>
    <sheet name="فرم ج" sheetId="54" r:id="rId56"/>
    <sheet name="خلاصه پرونده ارتقا" sheetId="55" r:id="rId57"/>
    <sheet name="Data Base" sheetId="3" state="hidden" r:id="rId58"/>
  </sheets>
  <externalReferences>
    <externalReference r:id="rId59"/>
  </externalReferences>
  <definedNames>
    <definedName name="OLE_LINK1" localSheetId="55">'فرم ج'!$A$9</definedName>
    <definedName name="_xlnm.Print_Titles" localSheetId="14">'بند 2-3کمیت تدریس'!$1:$4</definedName>
    <definedName name="_xlnm.Print_Titles" localSheetId="27">'بند 3-14 کرسی های نظریه پردازی'!$1:$5</definedName>
    <definedName name="_xlnm.Print_Titles" localSheetId="28">'بند 3-15 كسب رتبه در جشنواره ها'!$1:$5</definedName>
    <definedName name="_xlnm.Print_Titles" localSheetId="29">'بند 3-16 داوري و نظارت پژوهشي'!$1:$5</definedName>
    <definedName name="_xlnm.Print_Titles" localSheetId="11">'بند1-10برگزاري نمايشگاه آثار و.'!$1:$6</definedName>
    <definedName name="_xlnm.Print_Titles" localSheetId="2">'بند1-1تدوين كتاب در حوزه فرهنگي'!$1:$5</definedName>
    <definedName name="_xlnm.Print_Titles" localSheetId="3">'بند1-2تهيه و تدوين پيوست فرهنگي'!$1:$5</definedName>
    <definedName name="_xlnm.Print_Titles" localSheetId="4">'بند1-3مشاوره فرهنگي يا همكاري..'!$1:$5</definedName>
    <definedName name="_xlnm.Print_Titles" localSheetId="5">'بند1-4استاد مشاور فرهنگي'!$1:$5</definedName>
    <definedName name="_xlnm.Print_Titles" localSheetId="6">'بند1-5مسئوليت پذيري در اصلاح و '!$1:$5</definedName>
    <definedName name="_xlnm.Print_Titles" localSheetId="7">'بند1-6استمرار در تقيد و پايبندي'!$1:$5</definedName>
    <definedName name="_xlnm.Print_Titles" localSheetId="8">'بند1-7كسب جوايز فرهنگي...'!$1:$5</definedName>
    <definedName name="_xlnm.Print_Titles" localSheetId="9">'بند1-8طراحي و مشاركت فعالانه...'!$1:$5</definedName>
    <definedName name="_xlnm.Print_Titles" localSheetId="10">'بند1-9شركت در كارگاه هاي دانش..'!$1:$5</definedName>
    <definedName name="_xlnm.Print_Titles" localSheetId="15">'بند2-4راهنمايي پروژه كارشناسي..'!$1:$5</definedName>
    <definedName name="_xlnm.Print_Titles" localSheetId="23">'بند3-10 اثر بديع و ارزنده'!$1:$5</definedName>
    <definedName name="_xlnm.Print_Titles" localSheetId="24">'بند3-11 ايجاد ظرفيت در جذب گرنت'!$1:$5</definedName>
    <definedName name="_xlnm.Print_Titles" localSheetId="25">'بند3-12 تصنيف تاليف ترجمه كتاب'!$1:$6</definedName>
    <definedName name="_xlnm.Print_Titles" localSheetId="26">'بند3-13 راهنمايي پايان نامه'!$1:$5</definedName>
    <definedName name="_xlnm.Print_Titles" localSheetId="16">'بند3-1مقاله علمي پژوهشيJCRو...'!$1:$5</definedName>
    <definedName name="_xlnm.Print_Titles" localSheetId="17">'بند3-2و3-3مقاله مروري و ترويجي'!$1:$5</definedName>
    <definedName name="_xlnm.Print_Titles" localSheetId="18">'[1]بند3-1مقاله علمي پژوهشي,ISIو..'!$1:$5</definedName>
    <definedName name="_xlnm.Print_Titles" localSheetId="19">'بند3-5و3-6مقاله علمی کامل وخلاص'!$1:$5</definedName>
    <definedName name="_xlnm.Print_Titles" localSheetId="20">'بند3-7مقاله مستخرج از رساله'!$1:$5</definedName>
    <definedName name="_xlnm.Print_Titles" localSheetId="21">'بند3-8توليد دانش فني اختراع و..'!$1:$5</definedName>
    <definedName name="_xlnm.Print_Titles" localSheetId="22">'بند3-9-1و2گزارش علمي طرح پژوهشي'!$1:$5</definedName>
    <definedName name="_xlnm.Print_Titles" localSheetId="39">'بند4-10شركت در شوراها كارگروه..'!$1:$5</definedName>
    <definedName name="_xlnm.Print_Titles" localSheetId="40">'بند4-11ايجاد رشته هاي جديد و ..'!$1:$5</definedName>
    <definedName name="_xlnm.Print_Titles" localSheetId="41">'بند4-12راهبري پروژه بين رشته اي'!$1:$5</definedName>
    <definedName name="_xlnm.Print_Titles" localSheetId="42">'بند4-13طراحي برنامه با هدف ...'!$1:$5</definedName>
    <definedName name="_xlnm.Print_Titles" localSheetId="43">'بند4-14طراحي سوال آزمون سراسري'!$1:$5</definedName>
    <definedName name="_xlnm.Print_Titles" localSheetId="44">'بند4-15طراحي سوال آزمون جامع و'!$1:$5</definedName>
    <definedName name="_xlnm.Print_Titles" localSheetId="45">'بند4-16 تدوين كتاب به شيوه ...'!$1:$5</definedName>
    <definedName name="_xlnm.Print_Titles" localSheetId="46">'بند4-17تدوين مجموعه مقاله همايش'!$1:$5</definedName>
    <definedName name="_xlnm.Print_Titles" localSheetId="47">'بند4-18ايجاد ظرفيت درجذب دانشجو'!$1:$5</definedName>
    <definedName name="_xlnm.Print_Titles" localSheetId="30">'بند4-1حضور فعال وتمام وقت'!$1:$5</definedName>
    <definedName name="_xlnm.Print_Titles" localSheetId="31">'بند4-2برپايي نمايشگاه اردوها...'!$1:$5</definedName>
    <definedName name="_xlnm.Print_Titles" localSheetId="32">'بند4-3طراحي و راه اندازي آزمايش'!$1:$5</definedName>
    <definedName name="_xlnm.Print_Titles" localSheetId="33">'بند4-4همكاري در تاسيس دانشگاه و'!$1:$5</definedName>
    <definedName name="_xlnm.Print_Titles" localSheetId="34">'بند4-5مدير مسئولي سردبيري و...'!$1:$5</definedName>
    <definedName name="_xlnm.Print_Titles" localSheetId="35">'بند4-6عضويت در هسته قطب علمي'!$1:$5</definedName>
    <definedName name="_xlnm.Print_Titles" localSheetId="36">'بند4-7عضويت در شوراي پارك ها...'!$1:$5</definedName>
    <definedName name="_xlnm.Print_Titles" localSheetId="37">'بند4-8 دبيري همايش هاي علمي...'!$1:$5</definedName>
    <definedName name="_xlnm.Print_Titles" localSheetId="38">'بند4-9ايفاي مسئوليت درقواي سه..'!$1:$5</definedName>
    <definedName name="_xlnm.Print_Titles" localSheetId="1">'فرم الف'!#REF!</definedName>
  </definedNames>
  <calcPr calcId="152511"/>
</workbook>
</file>

<file path=xl/calcChain.xml><?xml version="1.0" encoding="utf-8"?>
<calcChain xmlns="http://schemas.openxmlformats.org/spreadsheetml/2006/main">
  <c r="S303" i="1" l="1"/>
  <c r="R303" i="1"/>
  <c r="S300" i="1"/>
  <c r="R300" i="1"/>
  <c r="S297" i="1"/>
  <c r="R297" i="1"/>
  <c r="S294" i="1"/>
  <c r="R294" i="1"/>
  <c r="S291" i="1"/>
  <c r="R291" i="1"/>
  <c r="S288" i="1"/>
  <c r="R288" i="1"/>
  <c r="S285" i="1"/>
  <c r="R285" i="1"/>
  <c r="S282" i="1"/>
  <c r="R282" i="1"/>
  <c r="S279" i="1"/>
  <c r="R279" i="1"/>
  <c r="S276" i="1"/>
  <c r="R276" i="1"/>
  <c r="S273" i="1"/>
  <c r="R273" i="1"/>
  <c r="S270" i="1"/>
  <c r="R270" i="1"/>
  <c r="S267" i="1"/>
  <c r="R267" i="1"/>
  <c r="S264" i="1"/>
  <c r="R264" i="1"/>
  <c r="S261" i="1"/>
  <c r="R261" i="1"/>
  <c r="S258" i="1"/>
  <c r="R258" i="1"/>
  <c r="S255" i="1"/>
  <c r="R255" i="1"/>
  <c r="S252" i="1"/>
  <c r="R252" i="1"/>
  <c r="S249" i="1"/>
  <c r="R249" i="1"/>
  <c r="S246" i="1"/>
  <c r="R246" i="1"/>
  <c r="S243" i="1"/>
  <c r="R243" i="1"/>
  <c r="S240" i="1"/>
  <c r="R240" i="1"/>
  <c r="S237" i="1"/>
  <c r="R237" i="1"/>
  <c r="S234" i="1"/>
  <c r="R234" i="1"/>
  <c r="S231" i="1"/>
  <c r="R231" i="1"/>
  <c r="S228" i="1"/>
  <c r="R228" i="1"/>
  <c r="S225" i="1"/>
  <c r="R225" i="1"/>
  <c r="S222" i="1"/>
  <c r="R222" i="1"/>
  <c r="S219" i="1"/>
  <c r="R219" i="1"/>
  <c r="S216" i="1"/>
  <c r="R216" i="1"/>
  <c r="S213" i="1"/>
  <c r="R213" i="1"/>
  <c r="S210" i="1"/>
  <c r="R210" i="1"/>
  <c r="S207" i="1"/>
  <c r="R207" i="1"/>
  <c r="S204" i="1"/>
  <c r="R204" i="1"/>
  <c r="S201" i="1"/>
  <c r="R201" i="1"/>
  <c r="S198" i="1"/>
  <c r="R198" i="1"/>
  <c r="S195" i="1"/>
  <c r="R195" i="1"/>
  <c r="S192" i="1"/>
  <c r="R192" i="1"/>
  <c r="S189" i="1"/>
  <c r="R189" i="1"/>
  <c r="S186" i="1"/>
  <c r="R186" i="1"/>
  <c r="S183" i="1"/>
  <c r="R183" i="1"/>
  <c r="S180" i="1"/>
  <c r="R180" i="1"/>
  <c r="S177" i="1"/>
  <c r="R177" i="1"/>
  <c r="S174" i="1"/>
  <c r="R174" i="1"/>
  <c r="S171" i="1"/>
  <c r="R171" i="1"/>
  <c r="S168" i="1"/>
  <c r="R168" i="1"/>
  <c r="S165" i="1"/>
  <c r="R165" i="1"/>
  <c r="S162" i="1"/>
  <c r="R162" i="1"/>
  <c r="S159" i="1"/>
  <c r="R159" i="1"/>
  <c r="S156" i="1"/>
  <c r="R156" i="1"/>
  <c r="S153" i="1"/>
  <c r="R153" i="1"/>
  <c r="S150" i="1"/>
  <c r="R150" i="1"/>
  <c r="S147" i="1"/>
  <c r="R147" i="1"/>
  <c r="S144" i="1"/>
  <c r="R144" i="1"/>
  <c r="S141" i="1"/>
  <c r="R141" i="1"/>
  <c r="S138" i="1"/>
  <c r="R138" i="1"/>
  <c r="S135" i="1"/>
  <c r="R135" i="1"/>
  <c r="S132" i="1"/>
  <c r="R132" i="1"/>
  <c r="S129" i="1"/>
  <c r="R129" i="1"/>
  <c r="S126" i="1"/>
  <c r="R126" i="1"/>
  <c r="S123" i="1"/>
  <c r="R123" i="1"/>
  <c r="S120" i="1"/>
  <c r="R120" i="1"/>
  <c r="S117" i="1"/>
  <c r="R117" i="1"/>
  <c r="S114" i="1"/>
  <c r="R114" i="1"/>
  <c r="S111" i="1"/>
  <c r="R111" i="1"/>
  <c r="S108" i="1"/>
  <c r="R108" i="1"/>
  <c r="S105" i="1"/>
  <c r="R105" i="1"/>
  <c r="S102" i="1"/>
  <c r="R102" i="1"/>
  <c r="S99" i="1"/>
  <c r="R99" i="1"/>
  <c r="S96" i="1"/>
  <c r="R96" i="1"/>
  <c r="S93" i="1"/>
  <c r="R93" i="1"/>
  <c r="S90" i="1"/>
  <c r="R90" i="1"/>
  <c r="S87" i="1"/>
  <c r="R87" i="1"/>
  <c r="S84" i="1"/>
  <c r="R84" i="1"/>
  <c r="S81" i="1"/>
  <c r="R81" i="1"/>
  <c r="S78" i="1"/>
  <c r="R78" i="1"/>
  <c r="S75" i="1"/>
  <c r="R75" i="1"/>
  <c r="S72" i="1"/>
  <c r="R72" i="1"/>
  <c r="S69" i="1"/>
  <c r="R69" i="1"/>
  <c r="S66" i="1"/>
  <c r="R66" i="1"/>
  <c r="S63" i="1"/>
  <c r="R63" i="1"/>
  <c r="S60" i="1"/>
  <c r="R60" i="1"/>
  <c r="S57" i="1"/>
  <c r="R57" i="1"/>
  <c r="S54" i="1"/>
  <c r="R54" i="1"/>
  <c r="S51" i="1"/>
  <c r="R51" i="1"/>
  <c r="S48" i="1"/>
  <c r="R48" i="1"/>
  <c r="S45" i="1"/>
  <c r="R45" i="1"/>
  <c r="S42" i="1"/>
  <c r="R42" i="1"/>
  <c r="S39" i="1"/>
  <c r="R39" i="1"/>
  <c r="S36" i="1"/>
  <c r="R36" i="1"/>
  <c r="S33" i="1"/>
  <c r="R33" i="1"/>
  <c r="S30" i="1"/>
  <c r="R30" i="1"/>
  <c r="S27" i="1"/>
  <c r="R27" i="1"/>
  <c r="S24" i="1"/>
  <c r="R24" i="1"/>
  <c r="S21" i="1"/>
  <c r="R21" i="1"/>
  <c r="S18" i="1"/>
  <c r="R18" i="1"/>
  <c r="S15" i="1"/>
  <c r="R15" i="1"/>
  <c r="S12" i="1"/>
  <c r="R12" i="1"/>
  <c r="S9" i="1"/>
  <c r="S6" i="1"/>
  <c r="R6" i="1"/>
  <c r="R9" i="1"/>
  <c r="B128" i="54" l="1"/>
  <c r="B126" i="54"/>
  <c r="F51" i="54"/>
  <c r="F50" i="54"/>
  <c r="F49" i="54"/>
  <c r="F48" i="54"/>
  <c r="H48" i="54"/>
  <c r="H50" i="54"/>
  <c r="T13" i="3" l="1"/>
  <c r="S13" i="3"/>
  <c r="U13" i="3" l="1"/>
  <c r="U14" i="3" s="1"/>
  <c r="T14" i="3" s="1"/>
  <c r="S14" i="3" l="1"/>
  <c r="E4" i="54"/>
  <c r="B87" i="54" s="1"/>
  <c r="J27" i="6" l="1"/>
  <c r="G128" i="54" l="1"/>
  <c r="G127" i="54"/>
  <c r="G126" i="54"/>
  <c r="R7" i="36"/>
  <c r="R8" i="36"/>
  <c r="R9" i="36"/>
  <c r="R10" i="36"/>
  <c r="R11" i="36"/>
  <c r="R12" i="36"/>
  <c r="R13" i="36"/>
  <c r="R14" i="36"/>
  <c r="R15" i="36"/>
  <c r="R6" i="36"/>
  <c r="R7" i="35"/>
  <c r="R8" i="35"/>
  <c r="R9" i="35"/>
  <c r="R10" i="35"/>
  <c r="R11" i="35"/>
  <c r="R12" i="35"/>
  <c r="R13" i="35"/>
  <c r="R14" i="35"/>
  <c r="R15" i="35"/>
  <c r="R6" i="35"/>
  <c r="H125" i="54" l="1"/>
  <c r="O7" i="48" l="1"/>
  <c r="O8" i="48"/>
  <c r="O9" i="48"/>
  <c r="O10" i="48"/>
  <c r="O11" i="48"/>
  <c r="O12" i="48"/>
  <c r="O13" i="48"/>
  <c r="O14" i="48"/>
  <c r="O15" i="48"/>
  <c r="O16" i="48"/>
  <c r="O17" i="48"/>
  <c r="O18" i="48"/>
  <c r="O19" i="48"/>
  <c r="O20" i="48"/>
  <c r="O21" i="48"/>
  <c r="O22" i="48"/>
  <c r="O23" i="48"/>
  <c r="O24" i="48"/>
  <c r="O25" i="48"/>
  <c r="O6" i="48"/>
  <c r="Q7" i="44" l="1"/>
  <c r="Q8" i="44"/>
  <c r="Q9" i="44"/>
  <c r="Q10" i="44"/>
  <c r="Q11" i="44"/>
  <c r="Q12" i="44"/>
  <c r="Q13" i="44"/>
  <c r="Q14" i="44"/>
  <c r="Q15" i="44"/>
  <c r="Q16" i="44"/>
  <c r="Q17" i="44"/>
  <c r="Q18" i="44"/>
  <c r="Q19" i="44"/>
  <c r="Q20" i="44"/>
  <c r="Q21" i="44"/>
  <c r="Q22" i="44"/>
  <c r="Q23" i="44"/>
  <c r="Q24" i="44"/>
  <c r="Q25" i="44"/>
  <c r="Q6" i="44"/>
  <c r="P7" i="44"/>
  <c r="P8" i="44"/>
  <c r="P9" i="44"/>
  <c r="P10" i="44"/>
  <c r="P11" i="44"/>
  <c r="P12" i="44"/>
  <c r="P13" i="44"/>
  <c r="P14" i="44"/>
  <c r="P15" i="44"/>
  <c r="P16" i="44"/>
  <c r="P17" i="44"/>
  <c r="P18" i="44"/>
  <c r="P19" i="44"/>
  <c r="P20" i="44"/>
  <c r="P21" i="44"/>
  <c r="P22" i="44"/>
  <c r="P23" i="44"/>
  <c r="P24" i="44"/>
  <c r="P25" i="44"/>
  <c r="X1" i="47" l="1"/>
  <c r="Q15" i="47"/>
  <c r="Q14" i="47"/>
  <c r="Q13" i="47"/>
  <c r="Q12" i="47"/>
  <c r="Q11" i="47"/>
  <c r="Q10" i="47"/>
  <c r="Q9" i="47"/>
  <c r="Q8" i="47"/>
  <c r="Q7" i="47"/>
  <c r="W1" i="47" s="1"/>
  <c r="M15" i="47"/>
  <c r="M14" i="47"/>
  <c r="M13" i="47"/>
  <c r="M12" i="47"/>
  <c r="M11" i="47"/>
  <c r="M10" i="47"/>
  <c r="M9" i="47"/>
  <c r="M8" i="47"/>
  <c r="M7" i="47"/>
  <c r="M6" i="47"/>
  <c r="Q6" i="47"/>
  <c r="Y1" i="47" s="1"/>
  <c r="Q25" i="48"/>
  <c r="Q24" i="48"/>
  <c r="Q23" i="48"/>
  <c r="Q22" i="48"/>
  <c r="Q21" i="48"/>
  <c r="Q20" i="48"/>
  <c r="Q19" i="48"/>
  <c r="Q18" i="48"/>
  <c r="Q17" i="48"/>
  <c r="Q16" i="48"/>
  <c r="Q15" i="48"/>
  <c r="Q14" i="48"/>
  <c r="Q13" i="48"/>
  <c r="Q12" i="48"/>
  <c r="Q11" i="48"/>
  <c r="Q10" i="48"/>
  <c r="Q9" i="48"/>
  <c r="Q8" i="48"/>
  <c r="Q7" i="48"/>
  <c r="Q6" i="48"/>
  <c r="Q16" i="49"/>
  <c r="Q15" i="49"/>
  <c r="Q14" i="49"/>
  <c r="Q13" i="49"/>
  <c r="Q12" i="49"/>
  <c r="Q11" i="49"/>
  <c r="Q10" i="49"/>
  <c r="Q9" i="49"/>
  <c r="Q8" i="49"/>
  <c r="P16" i="49"/>
  <c r="P15" i="49"/>
  <c r="P14" i="49"/>
  <c r="P13" i="49"/>
  <c r="P12" i="49"/>
  <c r="P11" i="49"/>
  <c r="P10" i="49"/>
  <c r="P9" i="49"/>
  <c r="P8" i="49"/>
  <c r="Q7" i="49"/>
  <c r="Q15" i="46"/>
  <c r="Q14" i="46"/>
  <c r="Q13" i="46"/>
  <c r="Q12" i="46"/>
  <c r="Q11" i="46"/>
  <c r="Q10" i="46"/>
  <c r="Q9" i="46"/>
  <c r="Q8" i="46"/>
  <c r="Q7" i="46"/>
  <c r="K15" i="46"/>
  <c r="K14" i="46"/>
  <c r="K13" i="46"/>
  <c r="K12" i="46"/>
  <c r="K11" i="46"/>
  <c r="K10" i="46"/>
  <c r="K9" i="46"/>
  <c r="K8" i="46"/>
  <c r="K7" i="46"/>
  <c r="Q6" i="46"/>
  <c r="K6" i="46"/>
  <c r="L17" i="49" l="1"/>
  <c r="K16" i="46"/>
  <c r="L26" i="48"/>
  <c r="L16" i="47"/>
  <c r="R16" i="47"/>
  <c r="S16" i="45"/>
  <c r="L16" i="45"/>
  <c r="R16" i="45" s="1"/>
  <c r="P6" i="44"/>
  <c r="Q15" i="43"/>
  <c r="Q14" i="43"/>
  <c r="Q13" i="43"/>
  <c r="Q12" i="43"/>
  <c r="Q11" i="43"/>
  <c r="Q10" i="43"/>
  <c r="Q9" i="43"/>
  <c r="Q8" i="43"/>
  <c r="Q7" i="43"/>
  <c r="Q6" i="43"/>
  <c r="Q15" i="42"/>
  <c r="Q14" i="42"/>
  <c r="Q13" i="42"/>
  <c r="Q12" i="42"/>
  <c r="Q11" i="42"/>
  <c r="Q10" i="42"/>
  <c r="Q9" i="42"/>
  <c r="Q8" i="42"/>
  <c r="X1" i="42" s="1"/>
  <c r="Q7" i="42"/>
  <c r="AA2" i="42"/>
  <c r="Z2" i="42"/>
  <c r="Y2" i="42"/>
  <c r="X2" i="42"/>
  <c r="W2" i="42"/>
  <c r="AA1" i="42"/>
  <c r="Z1" i="42"/>
  <c r="Y1" i="42"/>
  <c r="O15" i="42"/>
  <c r="O14" i="42"/>
  <c r="O13" i="42"/>
  <c r="O12" i="42"/>
  <c r="O11" i="42"/>
  <c r="O10" i="42"/>
  <c r="O9" i="42"/>
  <c r="O8" i="42"/>
  <c r="O7" i="42"/>
  <c r="O6" i="42"/>
  <c r="Q6" i="42"/>
  <c r="W1" i="42" s="1"/>
  <c r="M15" i="41"/>
  <c r="M14" i="41"/>
  <c r="M13" i="41"/>
  <c r="M12" i="41"/>
  <c r="M11" i="41"/>
  <c r="M10" i="41"/>
  <c r="M9" i="41"/>
  <c r="M8" i="41"/>
  <c r="M7" i="41"/>
  <c r="M6" i="41"/>
  <c r="Q15" i="41"/>
  <c r="Q14" i="41"/>
  <c r="Q13" i="41"/>
  <c r="Q12" i="41"/>
  <c r="Q11" i="41"/>
  <c r="Q10" i="41"/>
  <c r="Q9" i="41"/>
  <c r="Q8" i="41"/>
  <c r="Q7" i="41"/>
  <c r="Q6" i="41"/>
  <c r="R16" i="41" l="1"/>
  <c r="L26" i="44"/>
  <c r="L16" i="43"/>
  <c r="K16" i="42"/>
  <c r="Q25" i="40"/>
  <c r="Q24" i="40"/>
  <c r="Q23" i="40"/>
  <c r="Q22" i="40"/>
  <c r="Q21" i="40"/>
  <c r="Q20" i="40"/>
  <c r="Q19" i="40"/>
  <c r="Q18" i="40"/>
  <c r="Q17" i="40"/>
  <c r="Q16" i="40"/>
  <c r="Q15" i="40"/>
  <c r="Q14" i="40"/>
  <c r="Q13" i="40"/>
  <c r="Q12" i="40"/>
  <c r="Q11" i="40"/>
  <c r="Q10" i="40"/>
  <c r="Q9" i="40"/>
  <c r="Q8" i="40"/>
  <c r="Q7" i="40"/>
  <c r="Q6" i="40"/>
  <c r="O2" i="65" l="1"/>
  <c r="N2" i="65"/>
  <c r="M2" i="65"/>
  <c r="O1" i="65"/>
  <c r="N1" i="65"/>
  <c r="M1" i="65"/>
  <c r="I2" i="65"/>
  <c r="I1" i="65"/>
  <c r="I1" i="64"/>
  <c r="I2" i="64"/>
  <c r="O2" i="64"/>
  <c r="N2" i="64"/>
  <c r="M2" i="64"/>
  <c r="M1" i="64"/>
  <c r="N1" i="64"/>
  <c r="O1" i="64"/>
  <c r="H15" i="54"/>
  <c r="S17" i="49"/>
  <c r="H19" i="54" s="1"/>
  <c r="S26" i="48"/>
  <c r="H18" i="54" s="1"/>
  <c r="Y2" i="47"/>
  <c r="X2" i="47"/>
  <c r="W2" i="47"/>
  <c r="S16" i="46"/>
  <c r="H16" i="54" s="1"/>
  <c r="S16" i="47" l="1"/>
  <c r="H17" i="54" s="1"/>
  <c r="G17" i="54"/>
  <c r="S26" i="44"/>
  <c r="H14" i="54" s="1"/>
  <c r="S16" i="43"/>
  <c r="H13" i="54" s="1"/>
  <c r="S16" i="42" l="1"/>
  <c r="H12" i="54" s="1"/>
  <c r="G15" i="54"/>
  <c r="R16" i="42" l="1"/>
  <c r="G12" i="54" s="1"/>
  <c r="H4" i="65" l="1"/>
  <c r="B2" i="65" l="1"/>
  <c r="G4" i="64" l="1"/>
  <c r="B2" i="64"/>
  <c r="G13" i="64" s="1"/>
  <c r="S16" i="41"/>
  <c r="H11" i="54" s="1"/>
  <c r="S26" i="40"/>
  <c r="H10" i="54" s="1"/>
  <c r="G7" i="64" l="1"/>
  <c r="G11" i="64"/>
  <c r="H12" i="64" s="1"/>
  <c r="G9" i="64"/>
  <c r="H10" i="64" s="1"/>
  <c r="G8" i="64"/>
  <c r="H9" i="64" s="1"/>
  <c r="G12" i="64"/>
  <c r="H13" i="64" s="1"/>
  <c r="G10" i="64"/>
  <c r="H11" i="64" s="1"/>
  <c r="T7" i="19"/>
  <c r="T8" i="19"/>
  <c r="T9" i="19"/>
  <c r="T10" i="19"/>
  <c r="T11" i="19"/>
  <c r="T12" i="19"/>
  <c r="T13" i="19"/>
  <c r="T14" i="19"/>
  <c r="T15" i="19"/>
  <c r="T6" i="19"/>
  <c r="S9" i="9"/>
  <c r="Y252" i="55" s="1"/>
  <c r="R9" i="9"/>
  <c r="T9" i="3"/>
  <c r="S9" i="3"/>
  <c r="I1" i="54"/>
  <c r="J1" i="54"/>
  <c r="K1" i="54"/>
  <c r="AA6" i="1"/>
  <c r="AR8" i="1" s="1"/>
  <c r="AJ6" i="1"/>
  <c r="AA9" i="1"/>
  <c r="AR11" i="1" s="1"/>
  <c r="AJ9" i="1"/>
  <c r="BQ11" i="1" s="1"/>
  <c r="AA12" i="1"/>
  <c r="AJ12" i="1"/>
  <c r="AA15" i="1"/>
  <c r="AR17" i="1" s="1"/>
  <c r="AJ15" i="1"/>
  <c r="AA18" i="1"/>
  <c r="AJ18" i="1"/>
  <c r="AA21" i="1"/>
  <c r="AR23" i="1" s="1"/>
  <c r="AJ21" i="1"/>
  <c r="AA24" i="1"/>
  <c r="AJ24" i="1"/>
  <c r="AA27" i="1"/>
  <c r="AR29" i="1" s="1"/>
  <c r="AJ27" i="1"/>
  <c r="AA30" i="1"/>
  <c r="AJ30" i="1"/>
  <c r="AA33" i="1"/>
  <c r="AR35" i="1" s="1"/>
  <c r="AJ33" i="1"/>
  <c r="AA36" i="1"/>
  <c r="AJ36" i="1"/>
  <c r="AA39" i="1"/>
  <c r="AR41" i="1" s="1"/>
  <c r="AJ39" i="1"/>
  <c r="AA42" i="1"/>
  <c r="AR44" i="1" s="1"/>
  <c r="BF44" i="1" s="1"/>
  <c r="BG44" i="1" s="1"/>
  <c r="AJ42" i="1"/>
  <c r="AA45" i="1"/>
  <c r="AR47" i="1" s="1"/>
  <c r="AJ45" i="1"/>
  <c r="AA48" i="1"/>
  <c r="AR50" i="1" s="1"/>
  <c r="AJ48" i="1"/>
  <c r="AA51" i="1"/>
  <c r="AR53" i="1" s="1"/>
  <c r="AJ51" i="1"/>
  <c r="AA54" i="1"/>
  <c r="AR56" i="1" s="1"/>
  <c r="BX56" i="1" s="1"/>
  <c r="BY56" i="1" s="1"/>
  <c r="AJ54" i="1"/>
  <c r="AA57" i="1"/>
  <c r="AN58" i="1" s="1"/>
  <c r="AO58" i="1" s="1"/>
  <c r="AJ57" i="1"/>
  <c r="AA60" i="1"/>
  <c r="AJ60" i="1"/>
  <c r="AA63" i="1"/>
  <c r="AR65" i="1"/>
  <c r="AJ63" i="1"/>
  <c r="BQ65" i="1" s="1"/>
  <c r="AA66" i="1"/>
  <c r="AR68" i="1" s="1"/>
  <c r="AJ66" i="1"/>
  <c r="AA69" i="1"/>
  <c r="AJ69" i="1"/>
  <c r="AA72" i="1"/>
  <c r="AR74" i="1" s="1"/>
  <c r="AJ72" i="1"/>
  <c r="AA75" i="1"/>
  <c r="AJ75" i="1"/>
  <c r="AA78" i="1"/>
  <c r="AR80" i="1" s="1"/>
  <c r="AJ78" i="1"/>
  <c r="AA81" i="1"/>
  <c r="AJ81" i="1"/>
  <c r="AA84" i="1"/>
  <c r="AR86" i="1" s="1"/>
  <c r="AJ84" i="1"/>
  <c r="AA87" i="1"/>
  <c r="AJ87" i="1"/>
  <c r="AA90" i="1"/>
  <c r="AR92" i="1" s="1"/>
  <c r="AJ90" i="1"/>
  <c r="AA93" i="1"/>
  <c r="AJ93" i="1"/>
  <c r="AA96" i="1"/>
  <c r="AR98" i="1" s="1"/>
  <c r="AJ96" i="1"/>
  <c r="AA99" i="1"/>
  <c r="AR101" i="1" s="1"/>
  <c r="AJ99" i="1"/>
  <c r="AA102" i="1"/>
  <c r="AR104" i="1" s="1"/>
  <c r="AJ102" i="1"/>
  <c r="AA105" i="1"/>
  <c r="AR107" i="1" s="1"/>
  <c r="AZ107" i="1" s="1"/>
  <c r="BA107" i="1" s="1"/>
  <c r="AJ105" i="1"/>
  <c r="AA108" i="1"/>
  <c r="AR110" i="1" s="1"/>
  <c r="AJ108" i="1"/>
  <c r="AA111" i="1"/>
  <c r="AR113" i="1" s="1"/>
  <c r="AJ111" i="1"/>
  <c r="AA114" i="1"/>
  <c r="AR116" i="1" s="1"/>
  <c r="AJ114" i="1"/>
  <c r="AA117" i="1"/>
  <c r="AR119" i="1" s="1"/>
  <c r="AJ117" i="1"/>
  <c r="AA120" i="1"/>
  <c r="AR122" i="1" s="1"/>
  <c r="AJ120" i="1"/>
  <c r="AA123" i="1"/>
  <c r="AR125" i="1" s="1"/>
  <c r="AJ123" i="1"/>
  <c r="AA126" i="1"/>
  <c r="AR128" i="1" s="1"/>
  <c r="AJ126" i="1"/>
  <c r="AA129" i="1"/>
  <c r="AR131" i="1" s="1"/>
  <c r="AZ131" i="1" s="1"/>
  <c r="BA131" i="1" s="1"/>
  <c r="AJ129" i="1"/>
  <c r="AA132" i="1"/>
  <c r="AR134" i="1" s="1"/>
  <c r="AJ132" i="1"/>
  <c r="AA135" i="1"/>
  <c r="AR137" i="1" s="1"/>
  <c r="AJ135" i="1"/>
  <c r="AA138" i="1"/>
  <c r="AR140" i="1" s="1"/>
  <c r="AJ138" i="1"/>
  <c r="AA141" i="1"/>
  <c r="AR143" i="1" s="1"/>
  <c r="AJ141" i="1"/>
  <c r="AA144" i="1"/>
  <c r="AR146" i="1" s="1"/>
  <c r="AJ144" i="1"/>
  <c r="AA147" i="1"/>
  <c r="AR149" i="1" s="1"/>
  <c r="AJ147" i="1"/>
  <c r="AA150" i="1"/>
  <c r="AR152" i="1" s="1"/>
  <c r="AJ150" i="1"/>
  <c r="AA153" i="1"/>
  <c r="AN154" i="1" s="1"/>
  <c r="AO154" i="1" s="1"/>
  <c r="AJ153" i="1"/>
  <c r="AA156" i="1"/>
  <c r="AR158" i="1" s="1"/>
  <c r="BX158" i="1" s="1"/>
  <c r="BY158" i="1" s="1"/>
  <c r="AJ156" i="1"/>
  <c r="AA159" i="1"/>
  <c r="AN160" i="1" s="1"/>
  <c r="AJ159" i="1"/>
  <c r="AA162" i="1"/>
  <c r="AJ162" i="1"/>
  <c r="AA165" i="1"/>
  <c r="AR167" i="1" s="1"/>
  <c r="BX167" i="1" s="1"/>
  <c r="BY167" i="1" s="1"/>
  <c r="AJ165" i="1"/>
  <c r="AA168" i="1"/>
  <c r="AJ168" i="1"/>
  <c r="AA171" i="1"/>
  <c r="AJ171" i="1"/>
  <c r="AA174" i="1"/>
  <c r="AP175" i="1" s="1"/>
  <c r="AQ175" i="1" s="1"/>
  <c r="AJ174" i="1"/>
  <c r="AA177" i="1"/>
  <c r="AJ177" i="1"/>
  <c r="AA180" i="1"/>
  <c r="AJ180" i="1"/>
  <c r="AA183" i="1"/>
  <c r="AJ183" i="1"/>
  <c r="AA186" i="1"/>
  <c r="AJ186" i="1"/>
  <c r="AA189" i="1"/>
  <c r="AJ189" i="1"/>
  <c r="AA192" i="1"/>
  <c r="AR194" i="1" s="1"/>
  <c r="BR194" i="1" s="1"/>
  <c r="AJ192" i="1"/>
  <c r="AA195" i="1"/>
  <c r="AJ195" i="1"/>
  <c r="AA198" i="1"/>
  <c r="AR200" i="1" s="1"/>
  <c r="AJ198" i="1"/>
  <c r="AA201" i="1"/>
  <c r="AJ201" i="1"/>
  <c r="AA204" i="1"/>
  <c r="AR206" i="1" s="1"/>
  <c r="AJ204" i="1"/>
  <c r="AA207" i="1"/>
  <c r="AJ207" i="1"/>
  <c r="AA210" i="1"/>
  <c r="AR212" i="1" s="1"/>
  <c r="AJ210" i="1"/>
  <c r="AA213" i="1"/>
  <c r="AJ213" i="1"/>
  <c r="AA216" i="1"/>
  <c r="AR218" i="1" s="1"/>
  <c r="AJ216" i="1"/>
  <c r="AA219" i="1"/>
  <c r="AJ219" i="1"/>
  <c r="AA222" i="1"/>
  <c r="AR224" i="1" s="1"/>
  <c r="AJ222" i="1"/>
  <c r="AA225" i="1"/>
  <c r="AJ225" i="1"/>
  <c r="AA228" i="1"/>
  <c r="AR230" i="1" s="1"/>
  <c r="AJ228" i="1"/>
  <c r="AA231" i="1"/>
  <c r="AJ231" i="1"/>
  <c r="AA234" i="1"/>
  <c r="AR236" i="1" s="1"/>
  <c r="BR236" i="1" s="1"/>
  <c r="AJ234" i="1"/>
  <c r="AA237" i="1"/>
  <c r="AJ237" i="1"/>
  <c r="AA240" i="1"/>
  <c r="AR242" i="1" s="1"/>
  <c r="BR242" i="1" s="1"/>
  <c r="AJ240" i="1"/>
  <c r="AA243" i="1"/>
  <c r="AJ243" i="1"/>
  <c r="AA246" i="1"/>
  <c r="AR248" i="1" s="1"/>
  <c r="AJ246" i="1"/>
  <c r="AA249" i="1"/>
  <c r="AJ249" i="1"/>
  <c r="AA252" i="1"/>
  <c r="AR254" i="1" s="1"/>
  <c r="AJ252" i="1"/>
  <c r="AA255" i="1"/>
  <c r="AJ255" i="1"/>
  <c r="AA258" i="1"/>
  <c r="AR260" i="1" s="1"/>
  <c r="BR260" i="1" s="1"/>
  <c r="AJ258" i="1"/>
  <c r="AA261" i="1"/>
  <c r="AJ261" i="1"/>
  <c r="AA264" i="1"/>
  <c r="AR266" i="1" s="1"/>
  <c r="AJ264" i="1"/>
  <c r="AA267" i="1"/>
  <c r="AJ267" i="1"/>
  <c r="AA270" i="1"/>
  <c r="AR272" i="1" s="1"/>
  <c r="BR272" i="1" s="1"/>
  <c r="AJ270" i="1"/>
  <c r="AA273" i="1"/>
  <c r="AJ273" i="1"/>
  <c r="AA276" i="1"/>
  <c r="AR278" i="1" s="1"/>
  <c r="AJ276" i="1"/>
  <c r="AA279" i="1"/>
  <c r="AJ279" i="1"/>
  <c r="AA282" i="1"/>
  <c r="AR284" i="1" s="1"/>
  <c r="AJ282" i="1"/>
  <c r="AA285" i="1"/>
  <c r="AJ285" i="1"/>
  <c r="AA288" i="1"/>
  <c r="AJ288" i="1"/>
  <c r="AA291" i="1"/>
  <c r="AJ291" i="1"/>
  <c r="AA294" i="1"/>
  <c r="AR296" i="1" s="1"/>
  <c r="CD296" i="1" s="1"/>
  <c r="CE296" i="1" s="1"/>
  <c r="AJ294" i="1"/>
  <c r="AA297" i="1"/>
  <c r="AR299" i="1" s="1"/>
  <c r="BL299" i="1" s="1"/>
  <c r="AJ297" i="1"/>
  <c r="AA300" i="1"/>
  <c r="AR302" i="1" s="1"/>
  <c r="AJ300" i="1"/>
  <c r="AA303" i="1"/>
  <c r="AR305" i="1" s="1"/>
  <c r="AJ303" i="1"/>
  <c r="R16" i="46"/>
  <c r="G16" i="54" s="1"/>
  <c r="E4" i="59"/>
  <c r="H2" i="6"/>
  <c r="M4" i="59" s="1"/>
  <c r="T26" i="8"/>
  <c r="T27" i="8"/>
  <c r="X542" i="55" s="1"/>
  <c r="S81" i="9"/>
  <c r="S82" i="9"/>
  <c r="H30" i="54" s="1"/>
  <c r="S16" i="10"/>
  <c r="H31" i="54" s="1"/>
  <c r="R506" i="11"/>
  <c r="H32" i="54" s="1"/>
  <c r="R507" i="11"/>
  <c r="H33" i="54" s="1"/>
  <c r="R16" i="12"/>
  <c r="H34" i="54" s="1"/>
  <c r="S26" i="13"/>
  <c r="S27" i="13"/>
  <c r="H37" i="54" s="1"/>
  <c r="G105" i="54" s="1"/>
  <c r="R16" i="14"/>
  <c r="H38" i="54" s="1"/>
  <c r="G107" i="54" s="1"/>
  <c r="S21" i="15"/>
  <c r="H39" i="54" s="1"/>
  <c r="S27" i="16"/>
  <c r="S28" i="16"/>
  <c r="S29" i="16"/>
  <c r="H41" i="54" s="1"/>
  <c r="T56" i="17"/>
  <c r="H42" i="54" s="1"/>
  <c r="R16" i="18"/>
  <c r="H44" i="54" s="1"/>
  <c r="G111" i="54" s="1"/>
  <c r="R16" i="19"/>
  <c r="H45" i="54" s="1"/>
  <c r="R26" i="20"/>
  <c r="H46" i="54" s="1"/>
  <c r="G113" i="54" s="1"/>
  <c r="R26" i="40"/>
  <c r="F10" i="54" s="1"/>
  <c r="R16" i="43"/>
  <c r="G13" i="54" s="1"/>
  <c r="R26" i="44"/>
  <c r="G14" i="54" s="1"/>
  <c r="F17" i="54"/>
  <c r="R26" i="48"/>
  <c r="G18" i="54" s="1"/>
  <c r="L7" i="50"/>
  <c r="H21" i="54" s="1"/>
  <c r="G93" i="54" s="1"/>
  <c r="G6" i="51"/>
  <c r="H6" i="51" s="1"/>
  <c r="L6" i="51" s="1"/>
  <c r="M5" i="52"/>
  <c r="D6" i="52"/>
  <c r="D7" i="52"/>
  <c r="B7" i="52" s="1"/>
  <c r="D8" i="52"/>
  <c r="B8" i="52" s="1"/>
  <c r="D9" i="52"/>
  <c r="B9" i="52" s="1"/>
  <c r="D10" i="52"/>
  <c r="D11" i="52"/>
  <c r="B11" i="52" s="1"/>
  <c r="D12" i="52"/>
  <c r="B12" i="52" s="1"/>
  <c r="D13" i="52"/>
  <c r="B13" i="52" s="1"/>
  <c r="D14" i="52"/>
  <c r="B14" i="52" s="1"/>
  <c r="D15" i="52"/>
  <c r="D16" i="52"/>
  <c r="B16" i="52" s="1"/>
  <c r="D17" i="52"/>
  <c r="B17" i="52" s="1"/>
  <c r="D18" i="52"/>
  <c r="B18" i="52" s="1"/>
  <c r="D19" i="52"/>
  <c r="B19" i="52" s="1"/>
  <c r="M21" i="52"/>
  <c r="D22" i="52"/>
  <c r="D23" i="52"/>
  <c r="D24" i="52"/>
  <c r="B24" i="52" s="1"/>
  <c r="D25" i="52"/>
  <c r="D26" i="52"/>
  <c r="D27" i="52"/>
  <c r="B27" i="52" s="1"/>
  <c r="D28" i="52"/>
  <c r="D29" i="52"/>
  <c r="D30" i="52"/>
  <c r="B30" i="52" s="1"/>
  <c r="D31" i="52"/>
  <c r="D32" i="52"/>
  <c r="B32" i="52" s="1"/>
  <c r="D33" i="52"/>
  <c r="D34" i="52"/>
  <c r="B34" i="52" s="1"/>
  <c r="D35" i="52"/>
  <c r="B35" i="52" s="1"/>
  <c r="M37" i="52"/>
  <c r="D38" i="52"/>
  <c r="B38" i="52" s="1"/>
  <c r="D39" i="52"/>
  <c r="B39" i="52" s="1"/>
  <c r="D40" i="52"/>
  <c r="B40" i="52" s="1"/>
  <c r="D41" i="52"/>
  <c r="B41" i="52" s="1"/>
  <c r="D42" i="52"/>
  <c r="D43" i="52"/>
  <c r="B43" i="52" s="1"/>
  <c r="D44" i="52"/>
  <c r="B44" i="52" s="1"/>
  <c r="D45" i="52"/>
  <c r="B45" i="52" s="1"/>
  <c r="D46" i="52"/>
  <c r="B46" i="52" s="1"/>
  <c r="D47" i="52"/>
  <c r="B47" i="52" s="1"/>
  <c r="D48" i="52"/>
  <c r="B48" i="52" s="1"/>
  <c r="D49" i="52"/>
  <c r="D50" i="52"/>
  <c r="B50" i="52" s="1"/>
  <c r="D51" i="52"/>
  <c r="M53" i="52"/>
  <c r="D54" i="52"/>
  <c r="D55" i="52"/>
  <c r="B55" i="52" s="1"/>
  <c r="D56" i="52"/>
  <c r="D57" i="52"/>
  <c r="D58" i="52"/>
  <c r="B58" i="52" s="1"/>
  <c r="D59" i="52"/>
  <c r="D60" i="52"/>
  <c r="B60" i="52" s="1"/>
  <c r="D61" i="52"/>
  <c r="D62" i="52"/>
  <c r="B62" i="52" s="1"/>
  <c r="M62" i="52" s="1"/>
  <c r="D63" i="52"/>
  <c r="D64" i="52"/>
  <c r="D65" i="52"/>
  <c r="B65" i="52" s="1"/>
  <c r="D66" i="52"/>
  <c r="B66" i="52" s="1"/>
  <c r="M66" i="52" s="1"/>
  <c r="D67" i="52"/>
  <c r="M69" i="52"/>
  <c r="D70" i="52"/>
  <c r="D71" i="52"/>
  <c r="B71" i="52" s="1"/>
  <c r="D72" i="52"/>
  <c r="B72" i="52" s="1"/>
  <c r="D73" i="52"/>
  <c r="B73" i="52" s="1"/>
  <c r="D74" i="52"/>
  <c r="D75" i="52"/>
  <c r="B75" i="52" s="1"/>
  <c r="D76" i="52"/>
  <c r="B76" i="52" s="1"/>
  <c r="D77" i="52"/>
  <c r="B77" i="52" s="1"/>
  <c r="D78" i="52"/>
  <c r="B78" i="52" s="1"/>
  <c r="M78" i="52" s="1"/>
  <c r="D79" i="52"/>
  <c r="B79" i="52" s="1"/>
  <c r="D80" i="52"/>
  <c r="B80" i="52" s="1"/>
  <c r="D81" i="52"/>
  <c r="D82" i="52"/>
  <c r="B82" i="52" s="1"/>
  <c r="D83" i="52"/>
  <c r="B83" i="52" s="1"/>
  <c r="M85" i="52"/>
  <c r="D86" i="52"/>
  <c r="B86" i="52" s="1"/>
  <c r="D87" i="52"/>
  <c r="D88" i="52"/>
  <c r="B88" i="52" s="1"/>
  <c r="D89" i="52"/>
  <c r="B89" i="52" s="1"/>
  <c r="M89" i="52" s="1"/>
  <c r="D90" i="52"/>
  <c r="D91" i="52"/>
  <c r="D92" i="52"/>
  <c r="B92" i="52" s="1"/>
  <c r="D93" i="52"/>
  <c r="B93" i="52" s="1"/>
  <c r="M93" i="52" s="1"/>
  <c r="D94" i="52"/>
  <c r="B94" i="52" s="1"/>
  <c r="M94" i="52" s="1"/>
  <c r="D95" i="52"/>
  <c r="D96" i="52"/>
  <c r="B96" i="52" s="1"/>
  <c r="D97" i="52"/>
  <c r="D98" i="52"/>
  <c r="B98" i="52" s="1"/>
  <c r="M98" i="52" s="1"/>
  <c r="D99" i="52"/>
  <c r="M101" i="52"/>
  <c r="D102" i="52"/>
  <c r="D103" i="52"/>
  <c r="D104" i="52"/>
  <c r="D105" i="52"/>
  <c r="D106" i="52"/>
  <c r="B106" i="52" s="1"/>
  <c r="D107" i="52"/>
  <c r="D108" i="52"/>
  <c r="D109" i="52"/>
  <c r="B109" i="52" s="1"/>
  <c r="D110" i="52"/>
  <c r="B110" i="52" s="1"/>
  <c r="D111" i="52"/>
  <c r="D112" i="52"/>
  <c r="D113" i="52"/>
  <c r="B113" i="52" s="1"/>
  <c r="D114" i="52"/>
  <c r="B114" i="52" s="1"/>
  <c r="D115" i="52"/>
  <c r="B115" i="52" s="1"/>
  <c r="M117" i="52"/>
  <c r="D118" i="52"/>
  <c r="B118" i="52" s="1"/>
  <c r="D119" i="52"/>
  <c r="B119" i="52" s="1"/>
  <c r="D120" i="52"/>
  <c r="B120" i="52"/>
  <c r="D121" i="52"/>
  <c r="D122" i="52"/>
  <c r="B122" i="52" s="1"/>
  <c r="D123" i="52"/>
  <c r="B123" i="52"/>
  <c r="D124" i="52"/>
  <c r="D125" i="52"/>
  <c r="B125" i="52" s="1"/>
  <c r="D126" i="52"/>
  <c r="D127" i="52"/>
  <c r="B127" i="52" s="1"/>
  <c r="D128" i="52"/>
  <c r="B128" i="52" s="1"/>
  <c r="D129" i="52"/>
  <c r="B129" i="52" s="1"/>
  <c r="M129" i="52" s="1"/>
  <c r="D130" i="52"/>
  <c r="B130" i="52" s="1"/>
  <c r="D131" i="52"/>
  <c r="B131" i="52" s="1"/>
  <c r="M133" i="52"/>
  <c r="D134" i="52"/>
  <c r="B134" i="52" s="1"/>
  <c r="D135" i="52"/>
  <c r="B135" i="52" s="1"/>
  <c r="D136" i="52"/>
  <c r="B136" i="52" s="1"/>
  <c r="D137" i="52"/>
  <c r="D138" i="52"/>
  <c r="B138" i="52" s="1"/>
  <c r="D139" i="52"/>
  <c r="B139" i="52" s="1"/>
  <c r="D140" i="52"/>
  <c r="B140" i="52" s="1"/>
  <c r="M140" i="52" s="1"/>
  <c r="D141" i="52"/>
  <c r="B141" i="52" s="1"/>
  <c r="D142" i="52"/>
  <c r="D143" i="52"/>
  <c r="B143" i="52" s="1"/>
  <c r="D144" i="52"/>
  <c r="B144" i="52" s="1"/>
  <c r="D145" i="52"/>
  <c r="B145" i="52" s="1"/>
  <c r="D146" i="52"/>
  <c r="B146" i="52" s="1"/>
  <c r="D147" i="52"/>
  <c r="B147" i="52" s="1"/>
  <c r="M149" i="52"/>
  <c r="D150" i="52"/>
  <c r="B150" i="52" s="1"/>
  <c r="D151" i="52"/>
  <c r="B151" i="52" s="1"/>
  <c r="D152" i="52"/>
  <c r="B152" i="52" s="1"/>
  <c r="D153" i="52"/>
  <c r="B153" i="52" s="1"/>
  <c r="D154" i="52"/>
  <c r="B154" i="52" s="1"/>
  <c r="D155" i="52"/>
  <c r="B155" i="52" s="1"/>
  <c r="D156" i="52"/>
  <c r="B156" i="52" s="1"/>
  <c r="M156" i="52" s="1"/>
  <c r="D157" i="52"/>
  <c r="D158" i="52"/>
  <c r="B158" i="52" s="1"/>
  <c r="D159" i="52"/>
  <c r="B159" i="52" s="1"/>
  <c r="D160" i="52"/>
  <c r="B160" i="52" s="1"/>
  <c r="D161" i="52"/>
  <c r="D162" i="52"/>
  <c r="D163" i="52"/>
  <c r="B163" i="52" s="1"/>
  <c r="M165" i="52"/>
  <c r="D166" i="52"/>
  <c r="B166" i="52" s="1"/>
  <c r="D167" i="52"/>
  <c r="B167" i="52" s="1"/>
  <c r="D168" i="52"/>
  <c r="B168" i="52" s="1"/>
  <c r="D169" i="52"/>
  <c r="B169" i="52" s="1"/>
  <c r="D170" i="52"/>
  <c r="B170" i="52" s="1"/>
  <c r="D171" i="52"/>
  <c r="B171" i="52" s="1"/>
  <c r="D172" i="52"/>
  <c r="D173" i="52"/>
  <c r="D174" i="52"/>
  <c r="B174" i="52" s="1"/>
  <c r="D175" i="52"/>
  <c r="B175" i="52"/>
  <c r="D176" i="52"/>
  <c r="B176" i="52" s="1"/>
  <c r="D177" i="52"/>
  <c r="B177" i="52" s="1"/>
  <c r="D178" i="52"/>
  <c r="D179" i="52"/>
  <c r="B179" i="52" s="1"/>
  <c r="M181" i="52"/>
  <c r="D182" i="52"/>
  <c r="B182" i="52" s="1"/>
  <c r="D183" i="52"/>
  <c r="B183" i="52" s="1"/>
  <c r="D184" i="52"/>
  <c r="B184" i="52" s="1"/>
  <c r="D185" i="52"/>
  <c r="B185" i="52" s="1"/>
  <c r="D186" i="52"/>
  <c r="B186" i="52" s="1"/>
  <c r="D187" i="52"/>
  <c r="B187" i="52" s="1"/>
  <c r="D188" i="52"/>
  <c r="B188" i="52" s="1"/>
  <c r="M188" i="52" s="1"/>
  <c r="D189" i="52"/>
  <c r="B189" i="52" s="1"/>
  <c r="D190" i="52"/>
  <c r="B190" i="52" s="1"/>
  <c r="D191" i="52"/>
  <c r="B191" i="52" s="1"/>
  <c r="D192" i="52"/>
  <c r="D193" i="52"/>
  <c r="B193" i="52" s="1"/>
  <c r="D194" i="52"/>
  <c r="B194" i="52" s="1"/>
  <c r="D195" i="52"/>
  <c r="B195" i="52" s="1"/>
  <c r="M197" i="52"/>
  <c r="D198" i="52"/>
  <c r="B198" i="52" s="1"/>
  <c r="D199" i="52"/>
  <c r="B199" i="52" s="1"/>
  <c r="D200" i="52"/>
  <c r="B200" i="52" s="1"/>
  <c r="D201" i="52"/>
  <c r="B201" i="52" s="1"/>
  <c r="D202" i="52"/>
  <c r="B202" i="52" s="1"/>
  <c r="D203" i="52"/>
  <c r="B203" i="52" s="1"/>
  <c r="D204" i="52"/>
  <c r="B204" i="52" s="1"/>
  <c r="M204" i="52" s="1"/>
  <c r="D205" i="52"/>
  <c r="B205" i="52" s="1"/>
  <c r="D206" i="52"/>
  <c r="B206" i="52" s="1"/>
  <c r="D207" i="52"/>
  <c r="B207" i="52" s="1"/>
  <c r="D208" i="52"/>
  <c r="D209" i="52"/>
  <c r="B209" i="52" s="1"/>
  <c r="D210" i="52"/>
  <c r="B210" i="52" s="1"/>
  <c r="D211" i="52"/>
  <c r="B211" i="52" s="1"/>
  <c r="M213" i="52"/>
  <c r="D214" i="52"/>
  <c r="B214" i="52" s="1"/>
  <c r="D215" i="52"/>
  <c r="B215" i="52" s="1"/>
  <c r="D216" i="52"/>
  <c r="D217" i="52"/>
  <c r="B217" i="52" s="1"/>
  <c r="D218" i="52"/>
  <c r="B218" i="52"/>
  <c r="D219" i="52"/>
  <c r="B219" i="52" s="1"/>
  <c r="D220" i="52"/>
  <c r="D221" i="52"/>
  <c r="D222" i="52"/>
  <c r="B222" i="52" s="1"/>
  <c r="M222" i="52" s="1"/>
  <c r="D223" i="52"/>
  <c r="B223" i="52" s="1"/>
  <c r="D224" i="52"/>
  <c r="D225" i="52"/>
  <c r="B225" i="52" s="1"/>
  <c r="D226" i="52"/>
  <c r="B226" i="52" s="1"/>
  <c r="D227" i="52"/>
  <c r="B227" i="52" s="1"/>
  <c r="M227" i="52" s="1"/>
  <c r="M229" i="52"/>
  <c r="D230" i="52"/>
  <c r="B230" i="52" s="1"/>
  <c r="D231" i="52"/>
  <c r="D232" i="52"/>
  <c r="B232" i="52" s="1"/>
  <c r="D233" i="52"/>
  <c r="D234" i="52"/>
  <c r="D235" i="52"/>
  <c r="D236" i="52"/>
  <c r="B236" i="52" s="1"/>
  <c r="M236" i="52" s="1"/>
  <c r="D237" i="52"/>
  <c r="D238" i="52"/>
  <c r="B238" i="52" s="1"/>
  <c r="D239" i="52"/>
  <c r="D240" i="52"/>
  <c r="D241" i="52"/>
  <c r="D242" i="52"/>
  <c r="D243" i="52"/>
  <c r="S46" i="53"/>
  <c r="L16" i="21"/>
  <c r="H56" i="54" s="1"/>
  <c r="G117" i="54" s="1"/>
  <c r="S26" i="22"/>
  <c r="H57" i="54" s="1"/>
  <c r="S26" i="23"/>
  <c r="H58" i="54" s="1"/>
  <c r="G118" i="54" s="1"/>
  <c r="S26" i="24"/>
  <c r="H59" i="54" s="1"/>
  <c r="S16" i="25"/>
  <c r="H60" i="54" s="1"/>
  <c r="G119" i="54" s="1"/>
  <c r="S16" i="26"/>
  <c r="H61" i="54" s="1"/>
  <c r="S16" i="27"/>
  <c r="H62" i="54" s="1"/>
  <c r="S16" i="28"/>
  <c r="S21" i="29"/>
  <c r="H64" i="54" s="1"/>
  <c r="G121" i="54" s="1"/>
  <c r="S21" i="30"/>
  <c r="H65" i="54" s="1"/>
  <c r="S21" i="32"/>
  <c r="H66" i="54" s="1"/>
  <c r="S16" i="33"/>
  <c r="H67" i="54" s="1"/>
  <c r="S16" i="34"/>
  <c r="H68" i="54" s="1"/>
  <c r="S16" i="35"/>
  <c r="H69" i="54" s="1"/>
  <c r="S16" i="36"/>
  <c r="H70" i="54" s="1"/>
  <c r="S16" i="37"/>
  <c r="X672" i="55" s="1"/>
  <c r="S17" i="37"/>
  <c r="H72" i="54" s="1"/>
  <c r="G122" i="54" s="1"/>
  <c r="S16" i="38"/>
  <c r="H73" i="54" s="1"/>
  <c r="S26" i="39"/>
  <c r="H74" i="54" s="1"/>
  <c r="X501" i="11"/>
  <c r="X496" i="11"/>
  <c r="X491" i="11"/>
  <c r="X486" i="11"/>
  <c r="Q486" i="11" s="1"/>
  <c r="X481" i="11"/>
  <c r="R481" i="11" s="1"/>
  <c r="Y494" i="55" s="1"/>
  <c r="X476" i="11"/>
  <c r="Q476" i="11" s="1"/>
  <c r="X471" i="11"/>
  <c r="X466" i="11"/>
  <c r="X461" i="11"/>
  <c r="R461" i="11" s="1"/>
  <c r="Y486" i="55" s="1"/>
  <c r="X456" i="11"/>
  <c r="Q456" i="11" s="1"/>
  <c r="R456" i="11"/>
  <c r="Y484" i="55" s="1"/>
  <c r="X451" i="11"/>
  <c r="R451" i="11" s="1"/>
  <c r="Y482" i="55" s="1"/>
  <c r="X446" i="11"/>
  <c r="X441" i="11"/>
  <c r="X436" i="11"/>
  <c r="X431" i="11"/>
  <c r="X426" i="11"/>
  <c r="R426" i="11" s="1"/>
  <c r="Y472" i="55" s="1"/>
  <c r="X421" i="11"/>
  <c r="X416" i="11"/>
  <c r="X411" i="11"/>
  <c r="R411" i="11" s="1"/>
  <c r="Y466" i="55" s="1"/>
  <c r="X406" i="11"/>
  <c r="R406" i="11" s="1"/>
  <c r="Y464" i="55" s="1"/>
  <c r="X401" i="11"/>
  <c r="A401" i="11" s="1"/>
  <c r="A461" i="55" s="1"/>
  <c r="X396" i="11"/>
  <c r="X391" i="11"/>
  <c r="A391" i="11" s="1"/>
  <c r="A457" i="55" s="1"/>
  <c r="X386" i="11"/>
  <c r="R386" i="11" s="1"/>
  <c r="Y456" i="55" s="1"/>
  <c r="X381" i="11"/>
  <c r="X376" i="11"/>
  <c r="X371" i="11"/>
  <c r="R371" i="11" s="1"/>
  <c r="Y450" i="55" s="1"/>
  <c r="X366" i="11"/>
  <c r="X361" i="11"/>
  <c r="A361" i="11" s="1"/>
  <c r="A445" i="55" s="1"/>
  <c r="X356" i="11"/>
  <c r="Q356" i="11" s="1"/>
  <c r="X351" i="11"/>
  <c r="R351" i="11" s="1"/>
  <c r="Y442" i="55" s="1"/>
  <c r="X346" i="11"/>
  <c r="X341" i="11"/>
  <c r="X336" i="11"/>
  <c r="X331" i="11"/>
  <c r="R331" i="11" s="1"/>
  <c r="Y434" i="55" s="1"/>
  <c r="X326" i="11"/>
  <c r="X321" i="11"/>
  <c r="X316" i="11"/>
  <c r="R316" i="11" s="1"/>
  <c r="Y428" i="55" s="1"/>
  <c r="X311" i="11"/>
  <c r="A311" i="11" s="1"/>
  <c r="A425" i="55" s="1"/>
  <c r="X306" i="11"/>
  <c r="X301" i="11"/>
  <c r="X296" i="11"/>
  <c r="X291" i="11"/>
  <c r="R291" i="11" s="1"/>
  <c r="Y418" i="55" s="1"/>
  <c r="X286" i="11"/>
  <c r="X281" i="11"/>
  <c r="A281" i="11" s="1"/>
  <c r="A413" i="55" s="1"/>
  <c r="X276" i="11"/>
  <c r="Q276" i="11" s="1"/>
  <c r="X271" i="11"/>
  <c r="X266" i="11"/>
  <c r="X261" i="11"/>
  <c r="X256" i="11"/>
  <c r="X251" i="11"/>
  <c r="R251" i="11" s="1"/>
  <c r="Y402" i="55" s="1"/>
  <c r="X246" i="11"/>
  <c r="R246" i="11" s="1"/>
  <c r="Y400" i="55" s="1"/>
  <c r="X241" i="11"/>
  <c r="X236" i="11"/>
  <c r="R236" i="11" s="1"/>
  <c r="Y396" i="55" s="1"/>
  <c r="X231" i="11"/>
  <c r="X226" i="11"/>
  <c r="X221" i="11"/>
  <c r="X216" i="11"/>
  <c r="R216" i="11" s="1"/>
  <c r="Y388" i="55" s="1"/>
  <c r="X211" i="11"/>
  <c r="A211" i="11" s="1"/>
  <c r="A385" i="55" s="1"/>
  <c r="X206" i="11"/>
  <c r="R206" i="11" s="1"/>
  <c r="Y384" i="55" s="1"/>
  <c r="X201" i="11"/>
  <c r="X196" i="11"/>
  <c r="X191" i="11"/>
  <c r="X186" i="11"/>
  <c r="R186" i="11" s="1"/>
  <c r="Y376" i="55" s="1"/>
  <c r="X181" i="11"/>
  <c r="X176" i="11"/>
  <c r="R176" i="11" s="1"/>
  <c r="Y372" i="55" s="1"/>
  <c r="X171" i="11"/>
  <c r="X166" i="11"/>
  <c r="R166" i="11" s="1"/>
  <c r="Y368" i="55" s="1"/>
  <c r="X161" i="11"/>
  <c r="A161" i="11" s="1"/>
  <c r="A365" i="55" s="1"/>
  <c r="X156" i="11"/>
  <c r="R156" i="11" s="1"/>
  <c r="Y364" i="55" s="1"/>
  <c r="X151" i="11"/>
  <c r="A151" i="11" s="1"/>
  <c r="A361" i="55" s="1"/>
  <c r="X146" i="11"/>
  <c r="X141" i="11"/>
  <c r="A141" i="11" s="1"/>
  <c r="A357" i="55" s="1"/>
  <c r="X136" i="11"/>
  <c r="R136" i="11" s="1"/>
  <c r="Y356" i="55" s="1"/>
  <c r="X131" i="11"/>
  <c r="X126" i="11"/>
  <c r="R126" i="11" s="1"/>
  <c r="Y352" i="55" s="1"/>
  <c r="X121" i="11"/>
  <c r="A121" i="11" s="1"/>
  <c r="A349" i="55" s="1"/>
  <c r="X116" i="11"/>
  <c r="X111" i="11"/>
  <c r="X106" i="11"/>
  <c r="X101" i="11"/>
  <c r="X96" i="11"/>
  <c r="R96" i="11" s="1"/>
  <c r="Y340" i="55" s="1"/>
  <c r="X91" i="11"/>
  <c r="X86" i="11"/>
  <c r="X81" i="11"/>
  <c r="X76" i="11"/>
  <c r="R76" i="11" s="1"/>
  <c r="Y332" i="55" s="1"/>
  <c r="X71" i="11"/>
  <c r="X66" i="11"/>
  <c r="Q66" i="11" s="1"/>
  <c r="X61" i="11"/>
  <c r="X56" i="11"/>
  <c r="R56" i="11" s="1"/>
  <c r="Y324" i="55" s="1"/>
  <c r="X51" i="11"/>
  <c r="X46" i="11"/>
  <c r="Q46" i="11" s="1"/>
  <c r="X41" i="11"/>
  <c r="X36" i="11"/>
  <c r="R36" i="11" s="1"/>
  <c r="Y316" i="55" s="1"/>
  <c r="X31" i="11"/>
  <c r="X26" i="11"/>
  <c r="Q26" i="11" s="1"/>
  <c r="X21" i="11"/>
  <c r="X16" i="11"/>
  <c r="K16" i="12"/>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AN10" i="1"/>
  <c r="AO10" i="1" s="1"/>
  <c r="AN16" i="1"/>
  <c r="AO16" i="1" s="1"/>
  <c r="AN22" i="1"/>
  <c r="AO22" i="1" s="1"/>
  <c r="AN64" i="1"/>
  <c r="AN73" i="1"/>
  <c r="AO73" i="1" s="1"/>
  <c r="AN79" i="1"/>
  <c r="AN103" i="1"/>
  <c r="AN106" i="1"/>
  <c r="AO106" i="1" s="1"/>
  <c r="AN118" i="1"/>
  <c r="AO118" i="1" s="1"/>
  <c r="AN121" i="1"/>
  <c r="AW121" i="1" s="1"/>
  <c r="AX121" i="1" s="1"/>
  <c r="AN127" i="1"/>
  <c r="AN145" i="1"/>
  <c r="AO145" i="1" s="1"/>
  <c r="AN151" i="1"/>
  <c r="BO151" i="1" s="1"/>
  <c r="BP151" i="1" s="1"/>
  <c r="AN157" i="1"/>
  <c r="AN184" i="1"/>
  <c r="AN199" i="1"/>
  <c r="AO199" i="1" s="1"/>
  <c r="AN205" i="1"/>
  <c r="AN211" i="1"/>
  <c r="AO211" i="1" s="1"/>
  <c r="AN223" i="1"/>
  <c r="AN229" i="1"/>
  <c r="AN241" i="1"/>
  <c r="AN259" i="1"/>
  <c r="AN262" i="1"/>
  <c r="BI262" i="1" s="1"/>
  <c r="BJ262" i="1" s="1"/>
  <c r="AN283" i="1"/>
  <c r="AW283" i="1" s="1"/>
  <c r="AX283" i="1" s="1"/>
  <c r="AN295" i="1"/>
  <c r="AN301" i="1"/>
  <c r="AM303" i="1"/>
  <c r="BZ304" i="1" s="1"/>
  <c r="AM300" i="1"/>
  <c r="CD302" i="1" s="1"/>
  <c r="CE302" i="1" s="1"/>
  <c r="AM297" i="1"/>
  <c r="AM294" i="1"/>
  <c r="CC296" i="1" s="1"/>
  <c r="AM291" i="1"/>
  <c r="BZ292" i="1" s="1"/>
  <c r="AM288" i="1"/>
  <c r="AM285" i="1"/>
  <c r="CC287" i="1" s="1"/>
  <c r="AM282" i="1"/>
  <c r="BZ283" i="1" s="1"/>
  <c r="AM279" i="1"/>
  <c r="AM276" i="1"/>
  <c r="BZ277" i="1" s="1"/>
  <c r="AM273" i="1"/>
  <c r="BZ274" i="1" s="1"/>
  <c r="AM270" i="1"/>
  <c r="BZ271" i="1" s="1"/>
  <c r="AM267" i="1"/>
  <c r="BZ268" i="1" s="1"/>
  <c r="AM264" i="1"/>
  <c r="AM261" i="1"/>
  <c r="BZ262" i="1" s="1"/>
  <c r="AM258" i="1"/>
  <c r="CC260" i="1" s="1"/>
  <c r="AM255" i="1"/>
  <c r="BZ256" i="1" s="1"/>
  <c r="AM252" i="1"/>
  <c r="CC254" i="1" s="1"/>
  <c r="AM249" i="1"/>
  <c r="BZ250" i="1" s="1"/>
  <c r="AM246" i="1"/>
  <c r="BZ247" i="1" s="1"/>
  <c r="AM243" i="1"/>
  <c r="BZ244" i="1" s="1"/>
  <c r="AM240" i="1"/>
  <c r="AM237" i="1"/>
  <c r="CC239" i="1" s="1"/>
  <c r="AM234" i="1"/>
  <c r="BZ235" i="1" s="1"/>
  <c r="AM231" i="1"/>
  <c r="CC233" i="1" s="1"/>
  <c r="AM228" i="1"/>
  <c r="AM225" i="1"/>
  <c r="BZ226" i="1" s="1"/>
  <c r="AM222" i="1"/>
  <c r="BZ223" i="1" s="1"/>
  <c r="AM219" i="1"/>
  <c r="AM216" i="1"/>
  <c r="BZ217" i="1" s="1"/>
  <c r="AM213" i="1"/>
  <c r="BZ214" i="1" s="1"/>
  <c r="AM210" i="1"/>
  <c r="BZ211" i="1" s="1"/>
  <c r="AM207" i="1"/>
  <c r="CC209" i="1" s="1"/>
  <c r="AM204" i="1"/>
  <c r="BZ205" i="1" s="1"/>
  <c r="AM201" i="1"/>
  <c r="BZ202" i="1" s="1"/>
  <c r="AM198" i="1"/>
  <c r="CC200" i="1" s="1"/>
  <c r="AM195" i="1"/>
  <c r="AM192" i="1"/>
  <c r="CC194" i="1" s="1"/>
  <c r="AM189" i="1"/>
  <c r="CC191" i="1" s="1"/>
  <c r="AM186" i="1"/>
  <c r="CC188" i="1" s="1"/>
  <c r="AM183" i="1"/>
  <c r="CC185" i="1" s="1"/>
  <c r="AM180" i="1"/>
  <c r="AM177" i="1"/>
  <c r="BZ178" i="1" s="1"/>
  <c r="AM174" i="1"/>
  <c r="AM171" i="1"/>
  <c r="CC173" i="1" s="1"/>
  <c r="AM168" i="1"/>
  <c r="BZ169" i="1" s="1"/>
  <c r="AM165" i="1"/>
  <c r="BZ166" i="1" s="1"/>
  <c r="AM162" i="1"/>
  <c r="BZ163" i="1" s="1"/>
  <c r="AM159" i="1"/>
  <c r="BZ160" i="1" s="1"/>
  <c r="AM156" i="1"/>
  <c r="BZ157" i="1" s="1"/>
  <c r="AM153" i="1"/>
  <c r="BZ154" i="1" s="1"/>
  <c r="AM150" i="1"/>
  <c r="CC152" i="1" s="1"/>
  <c r="AM147" i="1"/>
  <c r="BZ148" i="1" s="1"/>
  <c r="AM144" i="1"/>
  <c r="CC146" i="1" s="1"/>
  <c r="AM141" i="1"/>
  <c r="CC143" i="1" s="1"/>
  <c r="AM138" i="1"/>
  <c r="BZ139" i="1" s="1"/>
  <c r="AM135" i="1"/>
  <c r="AM132" i="1"/>
  <c r="BZ133" i="1" s="1"/>
  <c r="AM129" i="1"/>
  <c r="AM126" i="1"/>
  <c r="CC128" i="1" s="1"/>
  <c r="AM123" i="1"/>
  <c r="BZ124" i="1" s="1"/>
  <c r="AM120" i="1"/>
  <c r="BZ121" i="1" s="1"/>
  <c r="AM117" i="1"/>
  <c r="BZ118" i="1" s="1"/>
  <c r="AM114" i="1"/>
  <c r="CC116" i="1" s="1"/>
  <c r="AM111" i="1"/>
  <c r="BZ112" i="1" s="1"/>
  <c r="AM108" i="1"/>
  <c r="CC110" i="1" s="1"/>
  <c r="AM105" i="1"/>
  <c r="BZ106" i="1" s="1"/>
  <c r="AM102" i="1"/>
  <c r="AM99" i="1"/>
  <c r="BZ100" i="1" s="1"/>
  <c r="AM96" i="1"/>
  <c r="CC98" i="1" s="1"/>
  <c r="AM93" i="1"/>
  <c r="BZ94" i="1" s="1"/>
  <c r="AM90" i="1"/>
  <c r="CC92" i="1" s="1"/>
  <c r="AM87" i="1"/>
  <c r="CC89" i="1" s="1"/>
  <c r="AM84" i="1"/>
  <c r="AM81" i="1"/>
  <c r="BZ82" i="1" s="1"/>
  <c r="AM78" i="1"/>
  <c r="BZ79" i="1" s="1"/>
  <c r="AM75" i="1"/>
  <c r="BZ76" i="1" s="1"/>
  <c r="AM72" i="1"/>
  <c r="CD74" i="1" s="1"/>
  <c r="CE74" i="1" s="1"/>
  <c r="AM69" i="1"/>
  <c r="BZ70" i="1" s="1"/>
  <c r="AM66" i="1"/>
  <c r="CC68" i="1" s="1"/>
  <c r="AM63" i="1"/>
  <c r="AM60" i="1"/>
  <c r="CC62" i="1" s="1"/>
  <c r="AM57" i="1"/>
  <c r="BZ58" i="1" s="1"/>
  <c r="AM54" i="1"/>
  <c r="BZ55" i="1" s="1"/>
  <c r="AM51" i="1"/>
  <c r="CC53" i="1" s="1"/>
  <c r="AM48" i="1"/>
  <c r="BZ49" i="1" s="1"/>
  <c r="AM45" i="1"/>
  <c r="CC47" i="1" s="1"/>
  <c r="AM42" i="1"/>
  <c r="AM39" i="1"/>
  <c r="CC41" i="1" s="1"/>
  <c r="AM36" i="1"/>
  <c r="AM33" i="1"/>
  <c r="CC35" i="1" s="1"/>
  <c r="AM30" i="1"/>
  <c r="BZ31" i="1" s="1"/>
  <c r="AM27" i="1"/>
  <c r="AM24" i="1"/>
  <c r="BZ25" i="1" s="1"/>
  <c r="AM21" i="1"/>
  <c r="BZ22" i="1" s="1"/>
  <c r="AM18" i="1"/>
  <c r="CC20" i="1" s="1"/>
  <c r="AM15" i="1"/>
  <c r="AM12" i="1"/>
  <c r="AM9" i="1"/>
  <c r="CC11" i="1" s="1"/>
  <c r="AM6" i="1"/>
  <c r="J507" i="11"/>
  <c r="Q507" i="11" s="1"/>
  <c r="G33" i="54" s="1"/>
  <c r="J506" i="11"/>
  <c r="F32" i="54" s="1"/>
  <c r="M24" i="6"/>
  <c r="M23" i="6"/>
  <c r="H28" i="39"/>
  <c r="H18" i="38"/>
  <c r="H19" i="37"/>
  <c r="H18" i="36"/>
  <c r="H18" i="35"/>
  <c r="H18" i="34"/>
  <c r="H18" i="33"/>
  <c r="H23" i="32"/>
  <c r="H23" i="30"/>
  <c r="H23" i="29"/>
  <c r="H18" i="28"/>
  <c r="H18" i="27"/>
  <c r="H18" i="26"/>
  <c r="H18" i="25"/>
  <c r="H28" i="24"/>
  <c r="H28" i="23"/>
  <c r="H28" i="22"/>
  <c r="E18" i="21"/>
  <c r="H28" i="20"/>
  <c r="H18" i="19"/>
  <c r="H18" i="18"/>
  <c r="H59" i="17"/>
  <c r="H32" i="16"/>
  <c r="H23" i="15"/>
  <c r="H18" i="14"/>
  <c r="H29" i="13"/>
  <c r="G29" i="8"/>
  <c r="H18" i="12"/>
  <c r="H509" i="11"/>
  <c r="H18" i="10"/>
  <c r="H84" i="9"/>
  <c r="H310" i="1"/>
  <c r="H48" i="53"/>
  <c r="F247" i="52"/>
  <c r="A13" i="50"/>
  <c r="A11" i="51" s="1"/>
  <c r="L19" i="49"/>
  <c r="L28" i="48"/>
  <c r="L18" i="47"/>
  <c r="L18" i="46"/>
  <c r="L18" i="45"/>
  <c r="L28" i="44"/>
  <c r="L18" i="43"/>
  <c r="L18" i="42"/>
  <c r="Q2" i="39"/>
  <c r="K27" i="39" s="1"/>
  <c r="Q2" i="38"/>
  <c r="K17" i="38" s="1"/>
  <c r="Q2" i="37"/>
  <c r="K18" i="37" s="1"/>
  <c r="Q2" i="36"/>
  <c r="K17" i="36" s="1"/>
  <c r="Q2" i="35"/>
  <c r="K17" i="35" s="1"/>
  <c r="Q2" i="34"/>
  <c r="K17" i="34" s="1"/>
  <c r="Q2" i="33"/>
  <c r="K17" i="33" s="1"/>
  <c r="Q2" i="32"/>
  <c r="K22" i="32" s="1"/>
  <c r="Q2" i="30"/>
  <c r="K22" i="30" s="1"/>
  <c r="Q2" i="29"/>
  <c r="K22" i="29" s="1"/>
  <c r="Q2" i="28"/>
  <c r="K17" i="28" s="1"/>
  <c r="Q2" i="27"/>
  <c r="K17" i="27" s="1"/>
  <c r="Q2" i="26"/>
  <c r="K17" i="26" s="1"/>
  <c r="Q2" i="25"/>
  <c r="K17" i="25" s="1"/>
  <c r="Q2" i="24"/>
  <c r="K27" i="24" s="1"/>
  <c r="Q2" i="23"/>
  <c r="K27" i="23" s="1"/>
  <c r="Q2" i="22"/>
  <c r="K27" i="22" s="1"/>
  <c r="L2" i="21"/>
  <c r="G17" i="21" s="1"/>
  <c r="P2" i="20"/>
  <c r="J27" i="20" s="1"/>
  <c r="P2" i="19"/>
  <c r="J17" i="19" s="1"/>
  <c r="P2" i="18"/>
  <c r="J17" i="18" s="1"/>
  <c r="Q2" i="17"/>
  <c r="K58" i="17" s="1"/>
  <c r="Q2" i="16"/>
  <c r="K31" i="16" s="1"/>
  <c r="Q2" i="15"/>
  <c r="J22" i="15" s="1"/>
  <c r="P2" i="14"/>
  <c r="J17" i="14" s="1"/>
  <c r="Q2" i="13"/>
  <c r="K28" i="13" s="1"/>
  <c r="Q2" i="8"/>
  <c r="I28" i="8" s="1"/>
  <c r="P2" i="12"/>
  <c r="J17" i="12" s="1"/>
  <c r="Q2" i="11"/>
  <c r="K508" i="11" s="1"/>
  <c r="Q2" i="10"/>
  <c r="K17" i="10" s="1"/>
  <c r="Q2" i="9"/>
  <c r="K83" i="9" s="1"/>
  <c r="Q2" i="1"/>
  <c r="K309" i="1" s="1"/>
  <c r="Q2" i="53"/>
  <c r="K47" i="53" s="1"/>
  <c r="K2" i="52"/>
  <c r="G246" i="52" s="1"/>
  <c r="L2" i="51"/>
  <c r="D10" i="51" s="1"/>
  <c r="Q2" i="50"/>
  <c r="D12" i="50" s="1"/>
  <c r="Q2" i="49"/>
  <c r="Q2" i="48"/>
  <c r="Q2" i="47"/>
  <c r="Q2" i="46"/>
  <c r="Q2" i="45"/>
  <c r="Q2" i="44"/>
  <c r="Q2" i="43"/>
  <c r="Q2" i="42"/>
  <c r="Q2" i="41"/>
  <c r="M2" i="39"/>
  <c r="M2" i="38"/>
  <c r="M2" i="37"/>
  <c r="M2" i="36"/>
  <c r="M2" i="35"/>
  <c r="M2" i="34"/>
  <c r="M2" i="33"/>
  <c r="M2" i="32"/>
  <c r="M2" i="30"/>
  <c r="M2" i="29"/>
  <c r="M2" i="28"/>
  <c r="M2" i="27"/>
  <c r="M2" i="26"/>
  <c r="M2" i="25"/>
  <c r="M2" i="24"/>
  <c r="M2" i="23"/>
  <c r="M2" i="22"/>
  <c r="H2" i="21"/>
  <c r="L2" i="20"/>
  <c r="L2" i="19"/>
  <c r="L2" i="18"/>
  <c r="M2" i="17"/>
  <c r="M2" i="16"/>
  <c r="L2" i="15"/>
  <c r="L2" i="14"/>
  <c r="M2" i="13"/>
  <c r="M2" i="8"/>
  <c r="L2" i="12"/>
  <c r="M2" i="11"/>
  <c r="M2" i="10"/>
  <c r="M2" i="9"/>
  <c r="M2" i="1"/>
  <c r="M2" i="53"/>
  <c r="H2" i="52"/>
  <c r="I2" i="51"/>
  <c r="L2" i="50"/>
  <c r="N2" i="49"/>
  <c r="M2" i="48"/>
  <c r="M2" i="47"/>
  <c r="L2" i="46"/>
  <c r="M2" i="45"/>
  <c r="M2" i="44"/>
  <c r="M2" i="43"/>
  <c r="M2" i="42"/>
  <c r="M2" i="41"/>
  <c r="C2" i="39"/>
  <c r="R27" i="39" s="1"/>
  <c r="C2" i="38"/>
  <c r="R17" i="38" s="1"/>
  <c r="C2" i="37"/>
  <c r="R18" i="37" s="1"/>
  <c r="C2" i="36"/>
  <c r="R17" i="36" s="1"/>
  <c r="C2" i="35"/>
  <c r="R17" i="35" s="1"/>
  <c r="C2" i="34"/>
  <c r="R17" i="34" s="1"/>
  <c r="C2" i="33"/>
  <c r="R17" i="33" s="1"/>
  <c r="C2" i="32"/>
  <c r="R22" i="32" s="1"/>
  <c r="C2" i="30"/>
  <c r="R22" i="30" s="1"/>
  <c r="C2" i="29"/>
  <c r="R22" i="29" s="1"/>
  <c r="C2" i="28"/>
  <c r="R17" i="28" s="1"/>
  <c r="C2" i="27"/>
  <c r="R17" i="27" s="1"/>
  <c r="C2" i="26"/>
  <c r="R17" i="26" s="1"/>
  <c r="C2" i="25"/>
  <c r="R17" i="25" s="1"/>
  <c r="C2" i="24"/>
  <c r="R27" i="24" s="1"/>
  <c r="C2" i="23"/>
  <c r="R27" i="23" s="1"/>
  <c r="C2" i="22"/>
  <c r="R27" i="22" s="1"/>
  <c r="B2" i="21"/>
  <c r="L17" i="21" s="1"/>
  <c r="C2" i="20"/>
  <c r="Q27" i="20" s="1"/>
  <c r="C2" i="19"/>
  <c r="Q17" i="19" s="1"/>
  <c r="C2" i="18"/>
  <c r="Q17" i="18" s="1"/>
  <c r="C2" i="17"/>
  <c r="R58" i="17" s="1"/>
  <c r="C2" i="16"/>
  <c r="R31" i="16" s="1"/>
  <c r="C2" i="15"/>
  <c r="R22" i="15" s="1"/>
  <c r="C2" i="14"/>
  <c r="Q17" i="14" s="1"/>
  <c r="C2" i="13"/>
  <c r="Q28" i="13" s="1"/>
  <c r="C2" i="8"/>
  <c r="R28" i="8" s="1"/>
  <c r="C2" i="12"/>
  <c r="Q17" i="12" s="1"/>
  <c r="C2" i="11"/>
  <c r="Q508" i="11" s="1"/>
  <c r="C2" i="10"/>
  <c r="R17" i="10" s="1"/>
  <c r="C2" i="9"/>
  <c r="R83" i="9" s="1"/>
  <c r="C2" i="1"/>
  <c r="Q309" i="1" s="1"/>
  <c r="C2" i="53"/>
  <c r="R47" i="53" s="1"/>
  <c r="C2" i="52"/>
  <c r="L246" i="52" s="1"/>
  <c r="C2" i="51"/>
  <c r="C2" i="50"/>
  <c r="Q12" i="50" s="1"/>
  <c r="L10" i="51" s="1"/>
  <c r="C2" i="49"/>
  <c r="C2" i="48"/>
  <c r="C2" i="47"/>
  <c r="C2" i="46"/>
  <c r="C2" i="45"/>
  <c r="C2" i="44"/>
  <c r="C2" i="43"/>
  <c r="C2" i="42"/>
  <c r="C2" i="41"/>
  <c r="L18" i="41"/>
  <c r="L28" i="40"/>
  <c r="Q2" i="40"/>
  <c r="M2" i="40"/>
  <c r="J2" i="40"/>
  <c r="C2" i="40"/>
  <c r="K86" i="54"/>
  <c r="J86" i="54"/>
  <c r="I86" i="54"/>
  <c r="G85" i="54"/>
  <c r="C6" i="54"/>
  <c r="B85" i="54" s="1"/>
  <c r="G5" i="54"/>
  <c r="J4" i="59"/>
  <c r="L2" i="59"/>
  <c r="P2" i="59"/>
  <c r="O2" i="59"/>
  <c r="N2" i="59"/>
  <c r="B2" i="59"/>
  <c r="P1" i="59"/>
  <c r="O1" i="59"/>
  <c r="N1" i="59"/>
  <c r="L1" i="59"/>
  <c r="G4" i="57"/>
  <c r="O2" i="57"/>
  <c r="N2" i="57"/>
  <c r="M2" i="57"/>
  <c r="O1" i="57"/>
  <c r="N1" i="57"/>
  <c r="M1" i="57"/>
  <c r="I2" i="57"/>
  <c r="I1" i="57"/>
  <c r="B2" i="57"/>
  <c r="G7" i="57" s="1"/>
  <c r="H13" i="50" s="1"/>
  <c r="F11" i="51" s="1"/>
  <c r="L29" i="3"/>
  <c r="L26" i="39"/>
  <c r="L16" i="38"/>
  <c r="F73" i="54" s="1"/>
  <c r="L16" i="34"/>
  <c r="F68" i="54" s="1"/>
  <c r="L16" i="33"/>
  <c r="F67" i="54" s="1"/>
  <c r="L21" i="32"/>
  <c r="F66" i="54" s="1"/>
  <c r="L21" i="30"/>
  <c r="F65" i="54" s="1"/>
  <c r="R21" i="29"/>
  <c r="G64" i="54" s="1"/>
  <c r="M16" i="28"/>
  <c r="L16" i="27"/>
  <c r="R16" i="27" s="1"/>
  <c r="G62" i="54" s="1"/>
  <c r="L16" i="26"/>
  <c r="R16" i="26" s="1"/>
  <c r="G61" i="54" s="1"/>
  <c r="L16" i="25"/>
  <c r="R16" i="25" s="1"/>
  <c r="G60" i="54" s="1"/>
  <c r="L26" i="24"/>
  <c r="L26" i="23"/>
  <c r="R26" i="23" s="1"/>
  <c r="G58" i="54" s="1"/>
  <c r="L26" i="22"/>
  <c r="F57" i="54" s="1"/>
  <c r="F16" i="21"/>
  <c r="K16" i="21" s="1"/>
  <c r="G56" i="54" s="1"/>
  <c r="L16" i="19"/>
  <c r="Q16" i="18"/>
  <c r="F44" i="54" s="1"/>
  <c r="N21" i="15"/>
  <c r="R21" i="15" s="1"/>
  <c r="G39" i="54" s="1"/>
  <c r="S27" i="8"/>
  <c r="S26" i="8"/>
  <c r="J26" i="8"/>
  <c r="F35" i="54" s="1"/>
  <c r="R16" i="10"/>
  <c r="G31" i="54" s="1"/>
  <c r="L16" i="10"/>
  <c r="F31" i="54" s="1"/>
  <c r="K8" i="50"/>
  <c r="B15" i="21" s="1"/>
  <c r="K7" i="50"/>
  <c r="A15" i="21" s="1"/>
  <c r="J8" i="50"/>
  <c r="B14" i="21" s="1"/>
  <c r="J7" i="50"/>
  <c r="A14" i="21" s="1"/>
  <c r="I8" i="50"/>
  <c r="B13" i="21" s="1"/>
  <c r="I7" i="50"/>
  <c r="A13" i="21" s="1"/>
  <c r="H8" i="50"/>
  <c r="B12" i="21" s="1"/>
  <c r="H7" i="50"/>
  <c r="A12" i="21" s="1"/>
  <c r="G8" i="50"/>
  <c r="B11" i="21" s="1"/>
  <c r="G7" i="50"/>
  <c r="A11" i="21" s="1"/>
  <c r="F8" i="50"/>
  <c r="B10" i="21" s="1"/>
  <c r="F7" i="50"/>
  <c r="A10" i="21" s="1"/>
  <c r="E8" i="50"/>
  <c r="B9" i="21" s="1"/>
  <c r="E7" i="50"/>
  <c r="A9" i="21" s="1"/>
  <c r="D8" i="50"/>
  <c r="B8" i="21" s="1"/>
  <c r="D7" i="50"/>
  <c r="A8" i="21" s="1"/>
  <c r="C8" i="50"/>
  <c r="B7" i="21" s="1"/>
  <c r="C7" i="50"/>
  <c r="A7" i="21" s="1"/>
  <c r="S54" i="17"/>
  <c r="S55" i="17"/>
  <c r="R28" i="16"/>
  <c r="O26" i="13"/>
  <c r="F36" i="54" s="1"/>
  <c r="A8" i="50"/>
  <c r="B6" i="21" s="1"/>
  <c r="A7" i="50"/>
  <c r="A6" i="21" s="1"/>
  <c r="X671" i="55"/>
  <c r="R671" i="55"/>
  <c r="P671" i="55"/>
  <c r="K671" i="55"/>
  <c r="I671" i="55"/>
  <c r="B671" i="55"/>
  <c r="X670" i="55"/>
  <c r="R670" i="55"/>
  <c r="P670" i="55"/>
  <c r="K670" i="55"/>
  <c r="I670" i="55"/>
  <c r="B670" i="55"/>
  <c r="X669" i="55"/>
  <c r="R669" i="55"/>
  <c r="P669" i="55"/>
  <c r="K669" i="55"/>
  <c r="I669" i="55"/>
  <c r="B669" i="55"/>
  <c r="X668" i="55"/>
  <c r="R668" i="55"/>
  <c r="P668" i="55"/>
  <c r="K668" i="55"/>
  <c r="I668" i="55"/>
  <c r="B668" i="55"/>
  <c r="X667" i="55"/>
  <c r="R667" i="55"/>
  <c r="P667" i="55"/>
  <c r="K667" i="55"/>
  <c r="I667" i="55"/>
  <c r="B667" i="55"/>
  <c r="X666" i="55"/>
  <c r="R666" i="55"/>
  <c r="P666" i="55"/>
  <c r="K666" i="55"/>
  <c r="I666" i="55"/>
  <c r="B666" i="55"/>
  <c r="X665" i="55"/>
  <c r="R665" i="55"/>
  <c r="P665" i="55"/>
  <c r="K665" i="55"/>
  <c r="I665" i="55"/>
  <c r="B665" i="55"/>
  <c r="X664" i="55"/>
  <c r="R664" i="55"/>
  <c r="P664" i="55"/>
  <c r="K664" i="55"/>
  <c r="I664" i="55"/>
  <c r="B664" i="55"/>
  <c r="X663" i="55"/>
  <c r="R663" i="55"/>
  <c r="P663" i="55"/>
  <c r="K663" i="55"/>
  <c r="I663" i="55"/>
  <c r="B663" i="55"/>
  <c r="R662" i="55"/>
  <c r="P662" i="55"/>
  <c r="K662" i="55"/>
  <c r="I662" i="55"/>
  <c r="B662" i="55"/>
  <c r="X662" i="55"/>
  <c r="L17" i="37"/>
  <c r="F72" i="54" s="1"/>
  <c r="L16" i="37"/>
  <c r="X658" i="55"/>
  <c r="T658" i="55"/>
  <c r="Q658" i="55"/>
  <c r="M658" i="55"/>
  <c r="B658" i="55"/>
  <c r="X657" i="55"/>
  <c r="T657" i="55"/>
  <c r="Q657" i="55"/>
  <c r="M657" i="55"/>
  <c r="B657" i="55"/>
  <c r="X656" i="55"/>
  <c r="T656" i="55"/>
  <c r="Q656" i="55"/>
  <c r="M656" i="55"/>
  <c r="B656" i="55"/>
  <c r="X655" i="55"/>
  <c r="T655" i="55"/>
  <c r="Q655" i="55"/>
  <c r="M655" i="55"/>
  <c r="B655" i="55"/>
  <c r="X654" i="55"/>
  <c r="T654" i="55"/>
  <c r="Q654" i="55"/>
  <c r="M654" i="55"/>
  <c r="B654" i="55"/>
  <c r="X653" i="55"/>
  <c r="T653" i="55"/>
  <c r="Q653" i="55"/>
  <c r="M653" i="55"/>
  <c r="B653" i="55"/>
  <c r="X652" i="55"/>
  <c r="T652" i="55"/>
  <c r="Q652" i="55"/>
  <c r="M652" i="55"/>
  <c r="B652" i="55"/>
  <c r="X651" i="55"/>
  <c r="T651" i="55"/>
  <c r="Q651" i="55"/>
  <c r="M651" i="55"/>
  <c r="B651" i="55"/>
  <c r="X650" i="55"/>
  <c r="T650" i="55"/>
  <c r="Q650" i="55"/>
  <c r="M650" i="55"/>
  <c r="B650" i="55"/>
  <c r="T649" i="55"/>
  <c r="Q649" i="55"/>
  <c r="M649" i="55"/>
  <c r="B649" i="55"/>
  <c r="X649" i="55"/>
  <c r="X646" i="55"/>
  <c r="X645" i="55"/>
  <c r="R645" i="55"/>
  <c r="P645" i="55"/>
  <c r="L645" i="55"/>
  <c r="B645" i="55"/>
  <c r="X644" i="55"/>
  <c r="R644" i="55"/>
  <c r="P644" i="55"/>
  <c r="L644" i="55"/>
  <c r="B644" i="55"/>
  <c r="X643" i="55"/>
  <c r="R643" i="55"/>
  <c r="P643" i="55"/>
  <c r="L643" i="55"/>
  <c r="B643" i="55"/>
  <c r="X642" i="55"/>
  <c r="R642" i="55"/>
  <c r="P642" i="55"/>
  <c r="L642" i="55"/>
  <c r="B642" i="55"/>
  <c r="X641" i="55"/>
  <c r="R641" i="55"/>
  <c r="P641" i="55"/>
  <c r="L641" i="55"/>
  <c r="B641" i="55"/>
  <c r="X640" i="55"/>
  <c r="R640" i="55"/>
  <c r="P640" i="55"/>
  <c r="L640" i="55"/>
  <c r="B640" i="55"/>
  <c r="X639" i="55"/>
  <c r="R639" i="55"/>
  <c r="P639" i="55"/>
  <c r="L639" i="55"/>
  <c r="B639" i="55"/>
  <c r="X638" i="55"/>
  <c r="R638" i="55"/>
  <c r="P638" i="55"/>
  <c r="L638" i="55"/>
  <c r="B638" i="55"/>
  <c r="X637" i="55"/>
  <c r="R637" i="55"/>
  <c r="P637" i="55"/>
  <c r="L637" i="55"/>
  <c r="B637" i="55"/>
  <c r="X636" i="55"/>
  <c r="R636" i="55"/>
  <c r="P636" i="55"/>
  <c r="L636" i="55"/>
  <c r="B636" i="55"/>
  <c r="X635" i="55"/>
  <c r="R635" i="55"/>
  <c r="P635" i="55"/>
  <c r="L635" i="55"/>
  <c r="B635" i="55"/>
  <c r="X634" i="55"/>
  <c r="R634" i="55"/>
  <c r="P634" i="55"/>
  <c r="L634" i="55"/>
  <c r="B634" i="55"/>
  <c r="X633" i="55"/>
  <c r="R633" i="55"/>
  <c r="P633" i="55"/>
  <c r="L633" i="55"/>
  <c r="B633" i="55"/>
  <c r="X632" i="55"/>
  <c r="R632" i="55"/>
  <c r="P632" i="55"/>
  <c r="L632" i="55"/>
  <c r="B632" i="55"/>
  <c r="X631" i="55"/>
  <c r="R631" i="55"/>
  <c r="P631" i="55"/>
  <c r="L631" i="55"/>
  <c r="B631" i="55"/>
  <c r="X630" i="55"/>
  <c r="R630" i="55"/>
  <c r="P630" i="55"/>
  <c r="L630" i="55"/>
  <c r="B630" i="55"/>
  <c r="X629" i="55"/>
  <c r="R629" i="55"/>
  <c r="P629" i="55"/>
  <c r="L629" i="55"/>
  <c r="B629" i="55"/>
  <c r="X628" i="55"/>
  <c r="R628" i="55"/>
  <c r="P628" i="55"/>
  <c r="L628" i="55"/>
  <c r="B628" i="55"/>
  <c r="X627" i="55"/>
  <c r="R627" i="55"/>
  <c r="P627" i="55"/>
  <c r="L627" i="55"/>
  <c r="B627" i="55"/>
  <c r="R626" i="55"/>
  <c r="P626" i="55"/>
  <c r="L626" i="55"/>
  <c r="B626" i="55"/>
  <c r="X626" i="55"/>
  <c r="X623" i="55"/>
  <c r="X622" i="55"/>
  <c r="R622" i="55"/>
  <c r="L622" i="55"/>
  <c r="I622" i="55"/>
  <c r="B622" i="55"/>
  <c r="X621" i="55"/>
  <c r="R621" i="55"/>
  <c r="L621" i="55"/>
  <c r="I621" i="55"/>
  <c r="B621" i="55"/>
  <c r="X620" i="55"/>
  <c r="R620" i="55"/>
  <c r="L620" i="55"/>
  <c r="I620" i="55"/>
  <c r="B620" i="55"/>
  <c r="X619" i="55"/>
  <c r="R619" i="55"/>
  <c r="L619" i="55"/>
  <c r="I619" i="55"/>
  <c r="B619" i="55"/>
  <c r="X618" i="55"/>
  <c r="R618" i="55"/>
  <c r="L618" i="55"/>
  <c r="I618" i="55"/>
  <c r="B618" i="55"/>
  <c r="X617" i="55"/>
  <c r="R617" i="55"/>
  <c r="L617" i="55"/>
  <c r="I617" i="55"/>
  <c r="B617" i="55"/>
  <c r="X616" i="55"/>
  <c r="R616" i="55"/>
  <c r="L616" i="55"/>
  <c r="I616" i="55"/>
  <c r="B616" i="55"/>
  <c r="X615" i="55"/>
  <c r="R615" i="55"/>
  <c r="L615" i="55"/>
  <c r="I615" i="55"/>
  <c r="B615" i="55"/>
  <c r="X614" i="55"/>
  <c r="R614" i="55"/>
  <c r="L614" i="55"/>
  <c r="I614" i="55"/>
  <c r="B614" i="55"/>
  <c r="R613" i="55"/>
  <c r="L613" i="55"/>
  <c r="I613" i="55"/>
  <c r="B613" i="55"/>
  <c r="X613" i="55"/>
  <c r="X609" i="55"/>
  <c r="T609" i="55"/>
  <c r="S609" i="55"/>
  <c r="R609" i="55"/>
  <c r="Q609" i="55"/>
  <c r="O609" i="55"/>
  <c r="K609" i="55"/>
  <c r="I609" i="55"/>
  <c r="B609" i="55"/>
  <c r="X608" i="55"/>
  <c r="T608" i="55"/>
  <c r="S608" i="55"/>
  <c r="R608" i="55"/>
  <c r="Q608" i="55"/>
  <c r="O608" i="55"/>
  <c r="K608" i="55"/>
  <c r="I608" i="55"/>
  <c r="B608" i="55"/>
  <c r="X607" i="55"/>
  <c r="T607" i="55"/>
  <c r="S607" i="55"/>
  <c r="R607" i="55"/>
  <c r="Q607" i="55"/>
  <c r="O607" i="55"/>
  <c r="K607" i="55"/>
  <c r="I607" i="55"/>
  <c r="B607" i="55"/>
  <c r="X606" i="55"/>
  <c r="T606" i="55"/>
  <c r="S606" i="55"/>
  <c r="R606" i="55"/>
  <c r="Q606" i="55"/>
  <c r="O606" i="55"/>
  <c r="K606" i="55"/>
  <c r="I606" i="55"/>
  <c r="B606" i="55"/>
  <c r="X605" i="55"/>
  <c r="T605" i="55"/>
  <c r="S605" i="55"/>
  <c r="R605" i="55"/>
  <c r="Q605" i="55"/>
  <c r="O605" i="55"/>
  <c r="K605" i="55"/>
  <c r="I605" i="55"/>
  <c r="B605" i="55"/>
  <c r="X604" i="55"/>
  <c r="T604" i="55"/>
  <c r="S604" i="55"/>
  <c r="R604" i="55"/>
  <c r="Q604" i="55"/>
  <c r="O604" i="55"/>
  <c r="K604" i="55"/>
  <c r="I604" i="55"/>
  <c r="B604" i="55"/>
  <c r="X603" i="55"/>
  <c r="T603" i="55"/>
  <c r="S603" i="55"/>
  <c r="R603" i="55"/>
  <c r="Q603" i="55"/>
  <c r="O603" i="55"/>
  <c r="K603" i="55"/>
  <c r="I603" i="55"/>
  <c r="B603" i="55"/>
  <c r="X602" i="55"/>
  <c r="T602" i="55"/>
  <c r="S602" i="55"/>
  <c r="R602" i="55"/>
  <c r="Q602" i="55"/>
  <c r="O602" i="55"/>
  <c r="K602" i="55"/>
  <c r="I602" i="55"/>
  <c r="B602" i="55"/>
  <c r="X601" i="55"/>
  <c r="T601" i="55"/>
  <c r="S601" i="55"/>
  <c r="R601" i="55"/>
  <c r="Q601" i="55"/>
  <c r="O601" i="55"/>
  <c r="K601" i="55"/>
  <c r="I601" i="55"/>
  <c r="B601" i="55"/>
  <c r="X600" i="55"/>
  <c r="T600" i="55"/>
  <c r="S600" i="55"/>
  <c r="R600" i="55"/>
  <c r="Q600" i="55"/>
  <c r="O600" i="55"/>
  <c r="K600" i="55"/>
  <c r="I600" i="55"/>
  <c r="B600" i="55"/>
  <c r="X599" i="55"/>
  <c r="T599" i="55"/>
  <c r="S599" i="55"/>
  <c r="R599" i="55"/>
  <c r="Q599" i="55"/>
  <c r="O599" i="55"/>
  <c r="K599" i="55"/>
  <c r="I599" i="55"/>
  <c r="B599" i="55"/>
  <c r="X598" i="55"/>
  <c r="T598" i="55"/>
  <c r="S598" i="55"/>
  <c r="R598" i="55"/>
  <c r="Q598" i="55"/>
  <c r="O598" i="55"/>
  <c r="K598" i="55"/>
  <c r="I598" i="55"/>
  <c r="B598" i="55"/>
  <c r="X597" i="55"/>
  <c r="T597" i="55"/>
  <c r="S597" i="55"/>
  <c r="R597" i="55"/>
  <c r="Q597" i="55"/>
  <c r="O597" i="55"/>
  <c r="K597" i="55"/>
  <c r="I597" i="55"/>
  <c r="B597" i="55"/>
  <c r="X596" i="55"/>
  <c r="T596" i="55"/>
  <c r="S596" i="55"/>
  <c r="R596" i="55"/>
  <c r="Q596" i="55"/>
  <c r="O596" i="55"/>
  <c r="K596" i="55"/>
  <c r="I596" i="55"/>
  <c r="B596" i="55"/>
  <c r="X595" i="55"/>
  <c r="T595" i="55"/>
  <c r="S595" i="55"/>
  <c r="R595" i="55"/>
  <c r="Q595" i="55"/>
  <c r="O595" i="55"/>
  <c r="K595" i="55"/>
  <c r="I595" i="55"/>
  <c r="B595" i="55"/>
  <c r="X594" i="55"/>
  <c r="T594" i="55"/>
  <c r="S594" i="55"/>
  <c r="R594" i="55"/>
  <c r="Q594" i="55"/>
  <c r="O594" i="55"/>
  <c r="K594" i="55"/>
  <c r="I594" i="55"/>
  <c r="B594" i="55"/>
  <c r="X593" i="55"/>
  <c r="T593" i="55"/>
  <c r="S593" i="55"/>
  <c r="R593" i="55"/>
  <c r="Q593" i="55"/>
  <c r="O593" i="55"/>
  <c r="K593" i="55"/>
  <c r="I593" i="55"/>
  <c r="B593" i="55"/>
  <c r="X592" i="55"/>
  <c r="T592" i="55"/>
  <c r="S592" i="55"/>
  <c r="R592" i="55"/>
  <c r="Q592" i="55"/>
  <c r="O592" i="55"/>
  <c r="K592" i="55"/>
  <c r="I592" i="55"/>
  <c r="B592" i="55"/>
  <c r="X591" i="55"/>
  <c r="T591" i="55"/>
  <c r="S591" i="55"/>
  <c r="R591" i="55"/>
  <c r="Q591" i="55"/>
  <c r="O591" i="55"/>
  <c r="K591" i="55"/>
  <c r="I591" i="55"/>
  <c r="B591" i="55"/>
  <c r="T590" i="55"/>
  <c r="S590" i="55"/>
  <c r="R590" i="55"/>
  <c r="Q590" i="55"/>
  <c r="O590" i="55"/>
  <c r="K590" i="55"/>
  <c r="I590" i="55"/>
  <c r="B590" i="55"/>
  <c r="X590" i="55"/>
  <c r="X586" i="55"/>
  <c r="X585" i="55"/>
  <c r="T585" i="55"/>
  <c r="P585" i="55"/>
  <c r="N585" i="55"/>
  <c r="K585" i="55"/>
  <c r="J585" i="55"/>
  <c r="I585" i="55"/>
  <c r="B585" i="55"/>
  <c r="X584" i="55"/>
  <c r="T584" i="55"/>
  <c r="P584" i="55"/>
  <c r="N584" i="55"/>
  <c r="K584" i="55"/>
  <c r="J584" i="55"/>
  <c r="I584" i="55"/>
  <c r="B584" i="55"/>
  <c r="X583" i="55"/>
  <c r="T583" i="55"/>
  <c r="P583" i="55"/>
  <c r="N583" i="55"/>
  <c r="K583" i="55"/>
  <c r="J583" i="55"/>
  <c r="I583" i="55"/>
  <c r="B583" i="55"/>
  <c r="X582" i="55"/>
  <c r="T582" i="55"/>
  <c r="P582" i="55"/>
  <c r="N582" i="55"/>
  <c r="K582" i="55"/>
  <c r="J582" i="55"/>
  <c r="I582" i="55"/>
  <c r="B582" i="55"/>
  <c r="X581" i="55"/>
  <c r="T581" i="55"/>
  <c r="P581" i="55"/>
  <c r="N581" i="55"/>
  <c r="K581" i="55"/>
  <c r="J581" i="55"/>
  <c r="I581" i="55"/>
  <c r="B581" i="55"/>
  <c r="X580" i="55"/>
  <c r="T580" i="55"/>
  <c r="P580" i="55"/>
  <c r="N580" i="55"/>
  <c r="K580" i="55"/>
  <c r="J580" i="55"/>
  <c r="I580" i="55"/>
  <c r="B580" i="55"/>
  <c r="X579" i="55"/>
  <c r="T579" i="55"/>
  <c r="P579" i="55"/>
  <c r="N579" i="55"/>
  <c r="K579" i="55"/>
  <c r="J579" i="55"/>
  <c r="I579" i="55"/>
  <c r="B579" i="55"/>
  <c r="X578" i="55"/>
  <c r="T578" i="55"/>
  <c r="P578" i="55"/>
  <c r="N578" i="55"/>
  <c r="K578" i="55"/>
  <c r="J578" i="55"/>
  <c r="I578" i="55"/>
  <c r="B578" i="55"/>
  <c r="X577" i="55"/>
  <c r="T577" i="55"/>
  <c r="P577" i="55"/>
  <c r="N577" i="55"/>
  <c r="K577" i="55"/>
  <c r="J577" i="55"/>
  <c r="I577" i="55"/>
  <c r="B577" i="55"/>
  <c r="X576" i="55"/>
  <c r="T576" i="55"/>
  <c r="P576" i="55"/>
  <c r="N576" i="55"/>
  <c r="K576" i="55"/>
  <c r="J576" i="55"/>
  <c r="I576" i="55"/>
  <c r="B576" i="55"/>
  <c r="X575" i="55"/>
  <c r="T575" i="55"/>
  <c r="P575" i="55"/>
  <c r="N575" i="55"/>
  <c r="K575" i="55"/>
  <c r="J575" i="55"/>
  <c r="I575" i="55"/>
  <c r="B575" i="55"/>
  <c r="X574" i="55"/>
  <c r="T574" i="55"/>
  <c r="P574" i="55"/>
  <c r="N574" i="55"/>
  <c r="K574" i="55"/>
  <c r="J574" i="55"/>
  <c r="I574" i="55"/>
  <c r="B574" i="55"/>
  <c r="X573" i="55"/>
  <c r="T573" i="55"/>
  <c r="P573" i="55"/>
  <c r="N573" i="55"/>
  <c r="K573" i="55"/>
  <c r="J573" i="55"/>
  <c r="I573" i="55"/>
  <c r="B573" i="55"/>
  <c r="X572" i="55"/>
  <c r="T572" i="55"/>
  <c r="P572" i="55"/>
  <c r="N572" i="55"/>
  <c r="K572" i="55"/>
  <c r="J572" i="55"/>
  <c r="I572" i="55"/>
  <c r="B572" i="55"/>
  <c r="T571" i="55"/>
  <c r="P571" i="55"/>
  <c r="N571" i="55"/>
  <c r="K571" i="55"/>
  <c r="J571" i="55"/>
  <c r="I571" i="55"/>
  <c r="B571" i="55"/>
  <c r="X571" i="55"/>
  <c r="X565" i="55"/>
  <c r="U565" i="55"/>
  <c r="Q565" i="55"/>
  <c r="N565" i="55"/>
  <c r="L565" i="55"/>
  <c r="J565" i="55"/>
  <c r="H565" i="55"/>
  <c r="B565" i="55"/>
  <c r="X564" i="55"/>
  <c r="U564" i="55"/>
  <c r="Q564" i="55"/>
  <c r="N564" i="55"/>
  <c r="L564" i="55"/>
  <c r="J564" i="55"/>
  <c r="H564" i="55"/>
  <c r="B564" i="55"/>
  <c r="X563" i="55"/>
  <c r="U563" i="55"/>
  <c r="Q563" i="55"/>
  <c r="N563" i="55"/>
  <c r="L563" i="55"/>
  <c r="J563" i="55"/>
  <c r="H563" i="55"/>
  <c r="B563" i="55"/>
  <c r="X562" i="55"/>
  <c r="U562" i="55"/>
  <c r="Q562" i="55"/>
  <c r="N562" i="55"/>
  <c r="L562" i="55"/>
  <c r="J562" i="55"/>
  <c r="H562" i="55"/>
  <c r="B562" i="55"/>
  <c r="X561" i="55"/>
  <c r="U561" i="55"/>
  <c r="Q561" i="55"/>
  <c r="N561" i="55"/>
  <c r="L561" i="55"/>
  <c r="J561" i="55"/>
  <c r="H561" i="55"/>
  <c r="B561" i="55"/>
  <c r="X560" i="55"/>
  <c r="U560" i="55"/>
  <c r="Q560" i="55"/>
  <c r="N560" i="55"/>
  <c r="L560" i="55"/>
  <c r="J560" i="55"/>
  <c r="H560" i="55"/>
  <c r="B560" i="55"/>
  <c r="X559" i="55"/>
  <c r="U559" i="55"/>
  <c r="Q559" i="55"/>
  <c r="N559" i="55"/>
  <c r="L559" i="55"/>
  <c r="J559" i="55"/>
  <c r="H559" i="55"/>
  <c r="B559" i="55"/>
  <c r="X558" i="55"/>
  <c r="U558" i="55"/>
  <c r="Q558" i="55"/>
  <c r="N558" i="55"/>
  <c r="L558" i="55"/>
  <c r="J558" i="55"/>
  <c r="H558" i="55"/>
  <c r="B558" i="55"/>
  <c r="X557" i="55"/>
  <c r="U557" i="55"/>
  <c r="Q557" i="55"/>
  <c r="N557" i="55"/>
  <c r="L557" i="55"/>
  <c r="J557" i="55"/>
  <c r="H557" i="55"/>
  <c r="B557" i="55"/>
  <c r="X556" i="55"/>
  <c r="U556" i="55"/>
  <c r="Q556" i="55"/>
  <c r="N556" i="55"/>
  <c r="L556" i="55"/>
  <c r="J556" i="55"/>
  <c r="H556" i="55"/>
  <c r="B556" i="55"/>
  <c r="X555" i="55"/>
  <c r="U555" i="55"/>
  <c r="Q555" i="55"/>
  <c r="N555" i="55"/>
  <c r="L555" i="55"/>
  <c r="J555" i="55"/>
  <c r="H555" i="55"/>
  <c r="B555" i="55"/>
  <c r="X554" i="55"/>
  <c r="U554" i="55"/>
  <c r="Q554" i="55"/>
  <c r="N554" i="55"/>
  <c r="L554" i="55"/>
  <c r="J554" i="55"/>
  <c r="H554" i="55"/>
  <c r="B554" i="55"/>
  <c r="X553" i="55"/>
  <c r="U553" i="55"/>
  <c r="Q553" i="55"/>
  <c r="N553" i="55"/>
  <c r="L553" i="55"/>
  <c r="J553" i="55"/>
  <c r="H553" i="55"/>
  <c r="B553" i="55"/>
  <c r="X552" i="55"/>
  <c r="U552" i="55"/>
  <c r="Q552" i="55"/>
  <c r="N552" i="55"/>
  <c r="L552" i="55"/>
  <c r="J552" i="55"/>
  <c r="H552" i="55"/>
  <c r="B552" i="55"/>
  <c r="X551" i="55"/>
  <c r="U551" i="55"/>
  <c r="Q551" i="55"/>
  <c r="N551" i="55"/>
  <c r="L551" i="55"/>
  <c r="J551" i="55"/>
  <c r="H551" i="55"/>
  <c r="B551" i="55"/>
  <c r="X550" i="55"/>
  <c r="U550" i="55"/>
  <c r="Q550" i="55"/>
  <c r="N550" i="55"/>
  <c r="L550" i="55"/>
  <c r="J550" i="55"/>
  <c r="H550" i="55"/>
  <c r="B550" i="55"/>
  <c r="X549" i="55"/>
  <c r="U549" i="55"/>
  <c r="Q549" i="55"/>
  <c r="N549" i="55"/>
  <c r="L549" i="55"/>
  <c r="J549" i="55"/>
  <c r="H549" i="55"/>
  <c r="B549" i="55"/>
  <c r="X548" i="55"/>
  <c r="U548" i="55"/>
  <c r="Q548" i="55"/>
  <c r="N548" i="55"/>
  <c r="L548" i="55"/>
  <c r="J548" i="55"/>
  <c r="H548" i="55"/>
  <c r="B548" i="55"/>
  <c r="X547" i="55"/>
  <c r="U547" i="55"/>
  <c r="Q547" i="55"/>
  <c r="N547" i="55"/>
  <c r="L547" i="55"/>
  <c r="J547" i="55"/>
  <c r="H547" i="55"/>
  <c r="B547" i="55"/>
  <c r="Q546" i="55"/>
  <c r="X546" i="55"/>
  <c r="N546" i="55"/>
  <c r="L546" i="55"/>
  <c r="J546" i="55"/>
  <c r="H546" i="55"/>
  <c r="B546" i="55"/>
  <c r="U546" i="55"/>
  <c r="X540" i="55"/>
  <c r="U540" i="55"/>
  <c r="R540" i="55"/>
  <c r="P540" i="55"/>
  <c r="N540" i="55"/>
  <c r="G540" i="55"/>
  <c r="B540" i="55"/>
  <c r="X539" i="55"/>
  <c r="U539" i="55"/>
  <c r="R539" i="55"/>
  <c r="P539" i="55"/>
  <c r="N539" i="55"/>
  <c r="G539" i="55"/>
  <c r="B539" i="55"/>
  <c r="X538" i="55"/>
  <c r="U538" i="55"/>
  <c r="R538" i="55"/>
  <c r="P538" i="55"/>
  <c r="N538" i="55"/>
  <c r="G538" i="55"/>
  <c r="B538" i="55"/>
  <c r="X537" i="55"/>
  <c r="U537" i="55"/>
  <c r="R537" i="55"/>
  <c r="P537" i="55"/>
  <c r="N537" i="55"/>
  <c r="G537" i="55"/>
  <c r="B537" i="55"/>
  <c r="X536" i="55"/>
  <c r="U536" i="55"/>
  <c r="R536" i="55"/>
  <c r="P536" i="55"/>
  <c r="N536" i="55"/>
  <c r="G536" i="55"/>
  <c r="B536" i="55"/>
  <c r="X535" i="55"/>
  <c r="U535" i="55"/>
  <c r="R535" i="55"/>
  <c r="P535" i="55"/>
  <c r="N535" i="55"/>
  <c r="G535" i="55"/>
  <c r="B535" i="55"/>
  <c r="X534" i="55"/>
  <c r="U534" i="55"/>
  <c r="R534" i="55"/>
  <c r="P534" i="55"/>
  <c r="N534" i="55"/>
  <c r="G534" i="55"/>
  <c r="B534" i="55"/>
  <c r="X533" i="55"/>
  <c r="U533" i="55"/>
  <c r="R533" i="55"/>
  <c r="P533" i="55"/>
  <c r="N533" i="55"/>
  <c r="G533" i="55"/>
  <c r="B533" i="55"/>
  <c r="X532" i="55"/>
  <c r="U532" i="55"/>
  <c r="R532" i="55"/>
  <c r="P532" i="55"/>
  <c r="N532" i="55"/>
  <c r="G532" i="55"/>
  <c r="B532" i="55"/>
  <c r="X531" i="55"/>
  <c r="U531" i="55"/>
  <c r="R531" i="55"/>
  <c r="P531" i="55"/>
  <c r="N531" i="55"/>
  <c r="G531" i="55"/>
  <c r="B531" i="55"/>
  <c r="X530" i="55"/>
  <c r="U530" i="55"/>
  <c r="R530" i="55"/>
  <c r="P530" i="55"/>
  <c r="N530" i="55"/>
  <c r="G530" i="55"/>
  <c r="B530" i="55"/>
  <c r="X529" i="55"/>
  <c r="U529" i="55"/>
  <c r="R529" i="55"/>
  <c r="P529" i="55"/>
  <c r="N529" i="55"/>
  <c r="G529" i="55"/>
  <c r="B529" i="55"/>
  <c r="X528" i="55"/>
  <c r="U528" i="55"/>
  <c r="R528" i="55"/>
  <c r="P528" i="55"/>
  <c r="N528" i="55"/>
  <c r="G528" i="55"/>
  <c r="B528" i="55"/>
  <c r="X527" i="55"/>
  <c r="U527" i="55"/>
  <c r="R527" i="55"/>
  <c r="P527" i="55"/>
  <c r="N527" i="55"/>
  <c r="G527" i="55"/>
  <c r="B527" i="55"/>
  <c r="X526" i="55"/>
  <c r="U526" i="55"/>
  <c r="R526" i="55"/>
  <c r="P526" i="55"/>
  <c r="N526" i="55"/>
  <c r="G526" i="55"/>
  <c r="B526" i="55"/>
  <c r="X525" i="55"/>
  <c r="U525" i="55"/>
  <c r="R525" i="55"/>
  <c r="P525" i="55"/>
  <c r="N525" i="55"/>
  <c r="G525" i="55"/>
  <c r="B525" i="55"/>
  <c r="X524" i="55"/>
  <c r="U524" i="55"/>
  <c r="R524" i="55"/>
  <c r="P524" i="55"/>
  <c r="N524" i="55"/>
  <c r="G524" i="55"/>
  <c r="B524" i="55"/>
  <c r="X523" i="55"/>
  <c r="U523" i="55"/>
  <c r="R523" i="55"/>
  <c r="P523" i="55"/>
  <c r="N523" i="55"/>
  <c r="G523" i="55"/>
  <c r="B523" i="55"/>
  <c r="X522" i="55"/>
  <c r="U522" i="55"/>
  <c r="R522" i="55"/>
  <c r="P522" i="55"/>
  <c r="N522" i="55"/>
  <c r="G522" i="55"/>
  <c r="B522" i="55"/>
  <c r="U521" i="55"/>
  <c r="R521" i="55"/>
  <c r="G521" i="55"/>
  <c r="B521" i="55"/>
  <c r="X521" i="55"/>
  <c r="P521" i="55"/>
  <c r="N521" i="55"/>
  <c r="X516" i="55"/>
  <c r="V516" i="55"/>
  <c r="L516" i="55"/>
  <c r="B516" i="55"/>
  <c r="X515" i="55"/>
  <c r="V515" i="55"/>
  <c r="L515" i="55"/>
  <c r="B515" i="55"/>
  <c r="X514" i="55"/>
  <c r="V514" i="55"/>
  <c r="L514" i="55"/>
  <c r="B514" i="55"/>
  <c r="X513" i="55"/>
  <c r="V513" i="55"/>
  <c r="L513" i="55"/>
  <c r="B513" i="55"/>
  <c r="X512" i="55"/>
  <c r="V512" i="55"/>
  <c r="L512" i="55"/>
  <c r="B512" i="55"/>
  <c r="X511" i="55"/>
  <c r="V511" i="55"/>
  <c r="L511" i="55"/>
  <c r="B511" i="55"/>
  <c r="X510" i="55"/>
  <c r="V510" i="55"/>
  <c r="L510" i="55"/>
  <c r="B510" i="55"/>
  <c r="X509" i="55"/>
  <c r="V509" i="55"/>
  <c r="L509" i="55"/>
  <c r="B509" i="55"/>
  <c r="X508" i="55"/>
  <c r="V508" i="55"/>
  <c r="L508" i="55"/>
  <c r="B508" i="55"/>
  <c r="V507" i="55"/>
  <c r="L507" i="55"/>
  <c r="B507" i="55"/>
  <c r="X507" i="55"/>
  <c r="X502" i="55"/>
  <c r="W502" i="55"/>
  <c r="V502" i="55"/>
  <c r="H502" i="55"/>
  <c r="D502" i="55"/>
  <c r="C502" i="55"/>
  <c r="B502" i="55"/>
  <c r="S501" i="55"/>
  <c r="Q501" i="55"/>
  <c r="J501" i="55"/>
  <c r="H501" i="55"/>
  <c r="E501" i="55"/>
  <c r="B501" i="55"/>
  <c r="X500" i="55"/>
  <c r="W500" i="55"/>
  <c r="V500" i="55"/>
  <c r="H500" i="55"/>
  <c r="D500" i="55"/>
  <c r="C500" i="55"/>
  <c r="B500" i="55"/>
  <c r="S499" i="55"/>
  <c r="Q499" i="55"/>
  <c r="J499" i="55"/>
  <c r="H499" i="55"/>
  <c r="E499" i="55"/>
  <c r="B499" i="55"/>
  <c r="X498" i="55"/>
  <c r="W498" i="55"/>
  <c r="V498" i="55"/>
  <c r="H498" i="55"/>
  <c r="D498" i="55"/>
  <c r="C498" i="55"/>
  <c r="B498" i="55"/>
  <c r="S497" i="55"/>
  <c r="Q497" i="55"/>
  <c r="J497" i="55"/>
  <c r="H497" i="55"/>
  <c r="E497" i="55"/>
  <c r="B497" i="55"/>
  <c r="X496" i="55"/>
  <c r="W496" i="55"/>
  <c r="V496" i="55"/>
  <c r="H496" i="55"/>
  <c r="D496" i="55"/>
  <c r="C496" i="55"/>
  <c r="B496" i="55"/>
  <c r="S495" i="55"/>
  <c r="Q495" i="55"/>
  <c r="J495" i="55"/>
  <c r="H495" i="55"/>
  <c r="E495" i="55"/>
  <c r="B495" i="55"/>
  <c r="X494" i="55"/>
  <c r="W494" i="55"/>
  <c r="V494" i="55"/>
  <c r="H494" i="55"/>
  <c r="D494" i="55"/>
  <c r="C494" i="55"/>
  <c r="B494" i="55"/>
  <c r="S493" i="55"/>
  <c r="Q493" i="55"/>
  <c r="J493" i="55"/>
  <c r="H493" i="55"/>
  <c r="E493" i="55"/>
  <c r="B493" i="55"/>
  <c r="X492" i="55"/>
  <c r="W492" i="55"/>
  <c r="V492" i="55"/>
  <c r="H492" i="55"/>
  <c r="D492" i="55"/>
  <c r="C492" i="55"/>
  <c r="B492" i="55"/>
  <c r="S491" i="55"/>
  <c r="Q491" i="55"/>
  <c r="J491" i="55"/>
  <c r="H491" i="55"/>
  <c r="E491" i="55"/>
  <c r="B491" i="55"/>
  <c r="X490" i="55"/>
  <c r="W490" i="55"/>
  <c r="V490" i="55"/>
  <c r="H490" i="55"/>
  <c r="D490" i="55"/>
  <c r="C490" i="55"/>
  <c r="B490" i="55"/>
  <c r="S489" i="55"/>
  <c r="Q489" i="55"/>
  <c r="J489" i="55"/>
  <c r="H489" i="55"/>
  <c r="E489" i="55"/>
  <c r="B489" i="55"/>
  <c r="X488" i="55"/>
  <c r="W488" i="55"/>
  <c r="V488" i="55"/>
  <c r="H488" i="55"/>
  <c r="D488" i="55"/>
  <c r="C488" i="55"/>
  <c r="B488" i="55"/>
  <c r="S487" i="55"/>
  <c r="Q487" i="55"/>
  <c r="J487" i="55"/>
  <c r="H487" i="55"/>
  <c r="E487" i="55"/>
  <c r="B487" i="55"/>
  <c r="X486" i="55"/>
  <c r="W486" i="55"/>
  <c r="V486" i="55"/>
  <c r="H486" i="55"/>
  <c r="D486" i="55"/>
  <c r="C486" i="55"/>
  <c r="B486" i="55"/>
  <c r="S485" i="55"/>
  <c r="Q485" i="55"/>
  <c r="J485" i="55"/>
  <c r="H485" i="55"/>
  <c r="E485" i="55"/>
  <c r="B485" i="55"/>
  <c r="X484" i="55"/>
  <c r="W484" i="55"/>
  <c r="V484" i="55"/>
  <c r="H484" i="55"/>
  <c r="D484" i="55"/>
  <c r="C484" i="55"/>
  <c r="B484" i="55"/>
  <c r="S483" i="55"/>
  <c r="Q483" i="55"/>
  <c r="J483" i="55"/>
  <c r="H483" i="55"/>
  <c r="E483" i="55"/>
  <c r="B483" i="55"/>
  <c r="X482" i="55"/>
  <c r="W482" i="55"/>
  <c r="V482" i="55"/>
  <c r="H482" i="55"/>
  <c r="D482" i="55"/>
  <c r="C482" i="55"/>
  <c r="B482" i="55"/>
  <c r="S481" i="55"/>
  <c r="Q481" i="55"/>
  <c r="J481" i="55"/>
  <c r="H481" i="55"/>
  <c r="E481" i="55"/>
  <c r="B481" i="55"/>
  <c r="X480" i="55"/>
  <c r="W480" i="55"/>
  <c r="V480" i="55"/>
  <c r="H480" i="55"/>
  <c r="D480" i="55"/>
  <c r="C480" i="55"/>
  <c r="B480" i="55"/>
  <c r="S479" i="55"/>
  <c r="Q479" i="55"/>
  <c r="J479" i="55"/>
  <c r="H479" i="55"/>
  <c r="E479" i="55"/>
  <c r="B479" i="55"/>
  <c r="X478" i="55"/>
  <c r="W478" i="55"/>
  <c r="V478" i="55"/>
  <c r="H478" i="55"/>
  <c r="D478" i="55"/>
  <c r="C478" i="55"/>
  <c r="B478" i="55"/>
  <c r="S477" i="55"/>
  <c r="Q477" i="55"/>
  <c r="J477" i="55"/>
  <c r="H477" i="55"/>
  <c r="E477" i="55"/>
  <c r="B477" i="55"/>
  <c r="X476" i="55"/>
  <c r="W476" i="55"/>
  <c r="V476" i="55"/>
  <c r="H476" i="55"/>
  <c r="D476" i="55"/>
  <c r="C476" i="55"/>
  <c r="B476" i="55"/>
  <c r="S475" i="55"/>
  <c r="Q475" i="55"/>
  <c r="J475" i="55"/>
  <c r="H475" i="55"/>
  <c r="E475" i="55"/>
  <c r="B475" i="55"/>
  <c r="X474" i="55"/>
  <c r="W474" i="55"/>
  <c r="V474" i="55"/>
  <c r="H474" i="55"/>
  <c r="D474" i="55"/>
  <c r="C474" i="55"/>
  <c r="B474" i="55"/>
  <c r="S473" i="55"/>
  <c r="Q473" i="55"/>
  <c r="J473" i="55"/>
  <c r="H473" i="55"/>
  <c r="E473" i="55"/>
  <c r="B473" i="55"/>
  <c r="X472" i="55"/>
  <c r="W472" i="55"/>
  <c r="V472" i="55"/>
  <c r="H472" i="55"/>
  <c r="D472" i="55"/>
  <c r="C472" i="55"/>
  <c r="B472" i="55"/>
  <c r="S471" i="55"/>
  <c r="Q471" i="55"/>
  <c r="J471" i="55"/>
  <c r="H471" i="55"/>
  <c r="E471" i="55"/>
  <c r="B471" i="55"/>
  <c r="X470" i="55"/>
  <c r="W470" i="55"/>
  <c r="V470" i="55"/>
  <c r="H470" i="55"/>
  <c r="D470" i="55"/>
  <c r="C470" i="55"/>
  <c r="B470" i="55"/>
  <c r="S469" i="55"/>
  <c r="Q469" i="55"/>
  <c r="J469" i="55"/>
  <c r="H469" i="55"/>
  <c r="E469" i="55"/>
  <c r="B469" i="55"/>
  <c r="X468" i="55"/>
  <c r="W468" i="55"/>
  <c r="V468" i="55"/>
  <c r="H468" i="55"/>
  <c r="D468" i="55"/>
  <c r="C468" i="55"/>
  <c r="B468" i="55"/>
  <c r="S467" i="55"/>
  <c r="Q467" i="55"/>
  <c r="J467" i="55"/>
  <c r="H467" i="55"/>
  <c r="E467" i="55"/>
  <c r="B467" i="55"/>
  <c r="X466" i="55"/>
  <c r="W466" i="55"/>
  <c r="V466" i="55"/>
  <c r="H466" i="55"/>
  <c r="D466" i="55"/>
  <c r="C466" i="55"/>
  <c r="B466" i="55"/>
  <c r="S465" i="55"/>
  <c r="Q465" i="55"/>
  <c r="J465" i="55"/>
  <c r="H465" i="55"/>
  <c r="E465" i="55"/>
  <c r="B465" i="55"/>
  <c r="X464" i="55"/>
  <c r="W464" i="55"/>
  <c r="V464" i="55"/>
  <c r="H464" i="55"/>
  <c r="D464" i="55"/>
  <c r="C464" i="55"/>
  <c r="B464" i="55"/>
  <c r="S463" i="55"/>
  <c r="Q463" i="55"/>
  <c r="J463" i="55"/>
  <c r="H463" i="55"/>
  <c r="E463" i="55"/>
  <c r="B463" i="55"/>
  <c r="X462" i="55"/>
  <c r="W462" i="55"/>
  <c r="V462" i="55"/>
  <c r="H462" i="55"/>
  <c r="D462" i="55"/>
  <c r="C462" i="55"/>
  <c r="B462" i="55"/>
  <c r="S461" i="55"/>
  <c r="Q461" i="55"/>
  <c r="J461" i="55"/>
  <c r="H461" i="55"/>
  <c r="E461" i="55"/>
  <c r="B461" i="55"/>
  <c r="X460" i="55"/>
  <c r="W460" i="55"/>
  <c r="V460" i="55"/>
  <c r="H460" i="55"/>
  <c r="D460" i="55"/>
  <c r="C460" i="55"/>
  <c r="B460" i="55"/>
  <c r="S459" i="55"/>
  <c r="Q459" i="55"/>
  <c r="J459" i="55"/>
  <c r="H459" i="55"/>
  <c r="E459" i="55"/>
  <c r="B459" i="55"/>
  <c r="X458" i="55"/>
  <c r="W458" i="55"/>
  <c r="V458" i="55"/>
  <c r="H458" i="55"/>
  <c r="D458" i="55"/>
  <c r="C458" i="55"/>
  <c r="B458" i="55"/>
  <c r="S457" i="55"/>
  <c r="Q457" i="55"/>
  <c r="J457" i="55"/>
  <c r="H457" i="55"/>
  <c r="E457" i="55"/>
  <c r="B457" i="55"/>
  <c r="X456" i="55"/>
  <c r="W456" i="55"/>
  <c r="V456" i="55"/>
  <c r="H456" i="55"/>
  <c r="D456" i="55"/>
  <c r="C456" i="55"/>
  <c r="B456" i="55"/>
  <c r="S455" i="55"/>
  <c r="Q455" i="55"/>
  <c r="J455" i="55"/>
  <c r="H455" i="55"/>
  <c r="E455" i="55"/>
  <c r="B455" i="55"/>
  <c r="X454" i="55"/>
  <c r="W454" i="55"/>
  <c r="V454" i="55"/>
  <c r="H454" i="55"/>
  <c r="D454" i="55"/>
  <c r="C454" i="55"/>
  <c r="B454" i="55"/>
  <c r="S453" i="55"/>
  <c r="Q453" i="55"/>
  <c r="J453" i="55"/>
  <c r="H453" i="55"/>
  <c r="E453" i="55"/>
  <c r="B453" i="55"/>
  <c r="X452" i="55"/>
  <c r="W452" i="55"/>
  <c r="V452" i="55"/>
  <c r="H452" i="55"/>
  <c r="D452" i="55"/>
  <c r="C452" i="55"/>
  <c r="B452" i="55"/>
  <c r="S451" i="55"/>
  <c r="Q451" i="55"/>
  <c r="J451" i="55"/>
  <c r="H451" i="55"/>
  <c r="E451" i="55"/>
  <c r="B451" i="55"/>
  <c r="X450" i="55"/>
  <c r="W450" i="55"/>
  <c r="V450" i="55"/>
  <c r="H450" i="55"/>
  <c r="D450" i="55"/>
  <c r="C450" i="55"/>
  <c r="B450" i="55"/>
  <c r="S449" i="55"/>
  <c r="Q449" i="55"/>
  <c r="J449" i="55"/>
  <c r="H449" i="55"/>
  <c r="E449" i="55"/>
  <c r="B449" i="55"/>
  <c r="X448" i="55"/>
  <c r="W448" i="55"/>
  <c r="V448" i="55"/>
  <c r="H448" i="55"/>
  <c r="D448" i="55"/>
  <c r="C448" i="55"/>
  <c r="B448" i="55"/>
  <c r="S447" i="55"/>
  <c r="Q447" i="55"/>
  <c r="J447" i="55"/>
  <c r="H447" i="55"/>
  <c r="E447" i="55"/>
  <c r="B447" i="55"/>
  <c r="X446" i="55"/>
  <c r="W446" i="55"/>
  <c r="V446" i="55"/>
  <c r="H446" i="55"/>
  <c r="D446" i="55"/>
  <c r="C446" i="55"/>
  <c r="B446" i="55"/>
  <c r="S445" i="55"/>
  <c r="Q445" i="55"/>
  <c r="J445" i="55"/>
  <c r="H445" i="55"/>
  <c r="E445" i="55"/>
  <c r="B445" i="55"/>
  <c r="X444" i="55"/>
  <c r="W444" i="55"/>
  <c r="V444" i="55"/>
  <c r="H444" i="55"/>
  <c r="D444" i="55"/>
  <c r="C444" i="55"/>
  <c r="B444" i="55"/>
  <c r="S443" i="55"/>
  <c r="Q443" i="55"/>
  <c r="J443" i="55"/>
  <c r="H443" i="55"/>
  <c r="E443" i="55"/>
  <c r="B443" i="55"/>
  <c r="X442" i="55"/>
  <c r="W442" i="55"/>
  <c r="V442" i="55"/>
  <c r="H442" i="55"/>
  <c r="D442" i="55"/>
  <c r="C442" i="55"/>
  <c r="B442" i="55"/>
  <c r="S441" i="55"/>
  <c r="Q441" i="55"/>
  <c r="J441" i="55"/>
  <c r="H441" i="55"/>
  <c r="E441" i="55"/>
  <c r="B441" i="55"/>
  <c r="X440" i="55"/>
  <c r="W440" i="55"/>
  <c r="V440" i="55"/>
  <c r="H440" i="55"/>
  <c r="D440" i="55"/>
  <c r="C440" i="55"/>
  <c r="B440" i="55"/>
  <c r="S439" i="55"/>
  <c r="Q439" i="55"/>
  <c r="J439" i="55"/>
  <c r="H439" i="55"/>
  <c r="E439" i="55"/>
  <c r="B439" i="55"/>
  <c r="X438" i="55"/>
  <c r="W438" i="55"/>
  <c r="V438" i="55"/>
  <c r="H438" i="55"/>
  <c r="D438" i="55"/>
  <c r="C438" i="55"/>
  <c r="B438" i="55"/>
  <c r="S437" i="55"/>
  <c r="Q437" i="55"/>
  <c r="J437" i="55"/>
  <c r="H437" i="55"/>
  <c r="E437" i="55"/>
  <c r="B437" i="55"/>
  <c r="X436" i="55"/>
  <c r="W436" i="55"/>
  <c r="V436" i="55"/>
  <c r="H436" i="55"/>
  <c r="D436" i="55"/>
  <c r="C436" i="55"/>
  <c r="B436" i="55"/>
  <c r="S435" i="55"/>
  <c r="Q435" i="55"/>
  <c r="J435" i="55"/>
  <c r="H435" i="55"/>
  <c r="E435" i="55"/>
  <c r="B435" i="55"/>
  <c r="X434" i="55"/>
  <c r="W434" i="55"/>
  <c r="V434" i="55"/>
  <c r="H434" i="55"/>
  <c r="D434" i="55"/>
  <c r="C434" i="55"/>
  <c r="B434" i="55"/>
  <c r="S433" i="55"/>
  <c r="Q433" i="55"/>
  <c r="J433" i="55"/>
  <c r="H433" i="55"/>
  <c r="E433" i="55"/>
  <c r="B433" i="55"/>
  <c r="X432" i="55"/>
  <c r="W432" i="55"/>
  <c r="V432" i="55"/>
  <c r="H432" i="55"/>
  <c r="D432" i="55"/>
  <c r="C432" i="55"/>
  <c r="B432" i="55"/>
  <c r="S431" i="55"/>
  <c r="Q431" i="55"/>
  <c r="J431" i="55"/>
  <c r="H431" i="55"/>
  <c r="E431" i="55"/>
  <c r="B431" i="55"/>
  <c r="X430" i="55"/>
  <c r="W430" i="55"/>
  <c r="V430" i="55"/>
  <c r="H430" i="55"/>
  <c r="D430" i="55"/>
  <c r="C430" i="55"/>
  <c r="B430" i="55"/>
  <c r="S429" i="55"/>
  <c r="Q429" i="55"/>
  <c r="J429" i="55"/>
  <c r="H429" i="55"/>
  <c r="E429" i="55"/>
  <c r="B429" i="55"/>
  <c r="X428" i="55"/>
  <c r="W428" i="55"/>
  <c r="V428" i="55"/>
  <c r="H428" i="55"/>
  <c r="D428" i="55"/>
  <c r="C428" i="55"/>
  <c r="B428" i="55"/>
  <c r="S427" i="55"/>
  <c r="Q427" i="55"/>
  <c r="J427" i="55"/>
  <c r="H427" i="55"/>
  <c r="E427" i="55"/>
  <c r="B427" i="55"/>
  <c r="X426" i="55"/>
  <c r="W426" i="55"/>
  <c r="V426" i="55"/>
  <c r="H426" i="55"/>
  <c r="D426" i="55"/>
  <c r="C426" i="55"/>
  <c r="B426" i="55"/>
  <c r="S425" i="55"/>
  <c r="Q425" i="55"/>
  <c r="J425" i="55"/>
  <c r="H425" i="55"/>
  <c r="E425" i="55"/>
  <c r="B425" i="55"/>
  <c r="X424" i="55"/>
  <c r="W424" i="55"/>
  <c r="V424" i="55"/>
  <c r="H424" i="55"/>
  <c r="D424" i="55"/>
  <c r="C424" i="55"/>
  <c r="B424" i="55"/>
  <c r="S423" i="55"/>
  <c r="Q423" i="55"/>
  <c r="J423" i="55"/>
  <c r="H423" i="55"/>
  <c r="E423" i="55"/>
  <c r="B423" i="55"/>
  <c r="X422" i="55"/>
  <c r="W422" i="55"/>
  <c r="V422" i="55"/>
  <c r="H422" i="55"/>
  <c r="D422" i="55"/>
  <c r="C422" i="55"/>
  <c r="B422" i="55"/>
  <c r="S421" i="55"/>
  <c r="Q421" i="55"/>
  <c r="J421" i="55"/>
  <c r="H421" i="55"/>
  <c r="E421" i="55"/>
  <c r="B421" i="55"/>
  <c r="X420" i="55"/>
  <c r="W420" i="55"/>
  <c r="V420" i="55"/>
  <c r="H420" i="55"/>
  <c r="D420" i="55"/>
  <c r="C420" i="55"/>
  <c r="B420" i="55"/>
  <c r="S419" i="55"/>
  <c r="Q419" i="55"/>
  <c r="J419" i="55"/>
  <c r="H419" i="55"/>
  <c r="E419" i="55"/>
  <c r="B419" i="55"/>
  <c r="X418" i="55"/>
  <c r="W418" i="55"/>
  <c r="V418" i="55"/>
  <c r="H418" i="55"/>
  <c r="D418" i="55"/>
  <c r="C418" i="55"/>
  <c r="B418" i="55"/>
  <c r="S417" i="55"/>
  <c r="Q417" i="55"/>
  <c r="J417" i="55"/>
  <c r="H417" i="55"/>
  <c r="E417" i="55"/>
  <c r="B417" i="55"/>
  <c r="X416" i="55"/>
  <c r="W416" i="55"/>
  <c r="V416" i="55"/>
  <c r="H416" i="55"/>
  <c r="D416" i="55"/>
  <c r="C416" i="55"/>
  <c r="B416" i="55"/>
  <c r="S415" i="55"/>
  <c r="Q415" i="55"/>
  <c r="J415" i="55"/>
  <c r="H415" i="55"/>
  <c r="E415" i="55"/>
  <c r="B415" i="55"/>
  <c r="X414" i="55"/>
  <c r="W414" i="55"/>
  <c r="V414" i="55"/>
  <c r="H414" i="55"/>
  <c r="D414" i="55"/>
  <c r="C414" i="55"/>
  <c r="B414" i="55"/>
  <c r="S413" i="55"/>
  <c r="Q413" i="55"/>
  <c r="J413" i="55"/>
  <c r="H413" i="55"/>
  <c r="E413" i="55"/>
  <c r="B413" i="55"/>
  <c r="X412" i="55"/>
  <c r="W412" i="55"/>
  <c r="V412" i="55"/>
  <c r="H412" i="55"/>
  <c r="D412" i="55"/>
  <c r="C412" i="55"/>
  <c r="B412" i="55"/>
  <c r="S411" i="55"/>
  <c r="Q411" i="55"/>
  <c r="J411" i="55"/>
  <c r="H411" i="55"/>
  <c r="E411" i="55"/>
  <c r="B411" i="55"/>
  <c r="X410" i="55"/>
  <c r="W410" i="55"/>
  <c r="V410" i="55"/>
  <c r="H410" i="55"/>
  <c r="D410" i="55"/>
  <c r="C410" i="55"/>
  <c r="B410" i="55"/>
  <c r="S409" i="55"/>
  <c r="Q409" i="55"/>
  <c r="J409" i="55"/>
  <c r="H409" i="55"/>
  <c r="E409" i="55"/>
  <c r="B409" i="55"/>
  <c r="X408" i="55"/>
  <c r="W408" i="55"/>
  <c r="V408" i="55"/>
  <c r="H408" i="55"/>
  <c r="D408" i="55"/>
  <c r="C408" i="55"/>
  <c r="B408" i="55"/>
  <c r="S407" i="55"/>
  <c r="Q407" i="55"/>
  <c r="J407" i="55"/>
  <c r="H407" i="55"/>
  <c r="E407" i="55"/>
  <c r="B407" i="55"/>
  <c r="X406" i="55"/>
  <c r="W406" i="55"/>
  <c r="V406" i="55"/>
  <c r="H406" i="55"/>
  <c r="D406" i="55"/>
  <c r="C406" i="55"/>
  <c r="B406" i="55"/>
  <c r="S405" i="55"/>
  <c r="Q405" i="55"/>
  <c r="J405" i="55"/>
  <c r="H405" i="55"/>
  <c r="E405" i="55"/>
  <c r="B405" i="55"/>
  <c r="X404" i="55"/>
  <c r="W404" i="55"/>
  <c r="V404" i="55"/>
  <c r="H404" i="55"/>
  <c r="D404" i="55"/>
  <c r="C404" i="55"/>
  <c r="B404" i="55"/>
  <c r="S403" i="55"/>
  <c r="Q403" i="55"/>
  <c r="J403" i="55"/>
  <c r="H403" i="55"/>
  <c r="E403" i="55"/>
  <c r="B403" i="55"/>
  <c r="X402" i="55"/>
  <c r="W402" i="55"/>
  <c r="V402" i="55"/>
  <c r="H402" i="55"/>
  <c r="D402" i="55"/>
  <c r="C402" i="55"/>
  <c r="B402" i="55"/>
  <c r="S401" i="55"/>
  <c r="Q401" i="55"/>
  <c r="J401" i="55"/>
  <c r="H401" i="55"/>
  <c r="E401" i="55"/>
  <c r="B401" i="55"/>
  <c r="X400" i="55"/>
  <c r="W400" i="55"/>
  <c r="V400" i="55"/>
  <c r="H400" i="55"/>
  <c r="D400" i="55"/>
  <c r="C400" i="55"/>
  <c r="B400" i="55"/>
  <c r="S399" i="55"/>
  <c r="Q399" i="55"/>
  <c r="J399" i="55"/>
  <c r="H399" i="55"/>
  <c r="E399" i="55"/>
  <c r="B399" i="55"/>
  <c r="X398" i="55"/>
  <c r="W398" i="55"/>
  <c r="V398" i="55"/>
  <c r="H398" i="55"/>
  <c r="D398" i="55"/>
  <c r="C398" i="55"/>
  <c r="B398" i="55"/>
  <c r="S397" i="55"/>
  <c r="Q397" i="55"/>
  <c r="J397" i="55"/>
  <c r="H397" i="55"/>
  <c r="E397" i="55"/>
  <c r="B397" i="55"/>
  <c r="X396" i="55"/>
  <c r="W396" i="55"/>
  <c r="V396" i="55"/>
  <c r="H396" i="55"/>
  <c r="D396" i="55"/>
  <c r="C396" i="55"/>
  <c r="B396" i="55"/>
  <c r="S395" i="55"/>
  <c r="Q395" i="55"/>
  <c r="J395" i="55"/>
  <c r="H395" i="55"/>
  <c r="E395" i="55"/>
  <c r="B395" i="55"/>
  <c r="X394" i="55"/>
  <c r="W394" i="55"/>
  <c r="V394" i="55"/>
  <c r="H394" i="55"/>
  <c r="D394" i="55"/>
  <c r="C394" i="55"/>
  <c r="B394" i="55"/>
  <c r="S393" i="55"/>
  <c r="Q393" i="55"/>
  <c r="J393" i="55"/>
  <c r="H393" i="55"/>
  <c r="E393" i="55"/>
  <c r="B393" i="55"/>
  <c r="X392" i="55"/>
  <c r="W392" i="55"/>
  <c r="V392" i="55"/>
  <c r="H392" i="55"/>
  <c r="D392" i="55"/>
  <c r="C392" i="55"/>
  <c r="B392" i="55"/>
  <c r="S391" i="55"/>
  <c r="Q391" i="55"/>
  <c r="J391" i="55"/>
  <c r="H391" i="55"/>
  <c r="E391" i="55"/>
  <c r="B391" i="55"/>
  <c r="X390" i="55"/>
  <c r="W390" i="55"/>
  <c r="V390" i="55"/>
  <c r="H390" i="55"/>
  <c r="D390" i="55"/>
  <c r="C390" i="55"/>
  <c r="B390" i="55"/>
  <c r="S389" i="55"/>
  <c r="Q389" i="55"/>
  <c r="J389" i="55"/>
  <c r="H389" i="55"/>
  <c r="E389" i="55"/>
  <c r="B389" i="55"/>
  <c r="X388" i="55"/>
  <c r="W388" i="55"/>
  <c r="V388" i="55"/>
  <c r="H388" i="55"/>
  <c r="D388" i="55"/>
  <c r="C388" i="55"/>
  <c r="B388" i="55"/>
  <c r="S387" i="55"/>
  <c r="Q387" i="55"/>
  <c r="J387" i="55"/>
  <c r="H387" i="55"/>
  <c r="E387" i="55"/>
  <c r="B387" i="55"/>
  <c r="X386" i="55"/>
  <c r="W386" i="55"/>
  <c r="V386" i="55"/>
  <c r="H386" i="55"/>
  <c r="D386" i="55"/>
  <c r="C386" i="55"/>
  <c r="B386" i="55"/>
  <c r="S385" i="55"/>
  <c r="Q385" i="55"/>
  <c r="J385" i="55"/>
  <c r="H385" i="55"/>
  <c r="E385" i="55"/>
  <c r="B385" i="55"/>
  <c r="X384" i="55"/>
  <c r="W384" i="55"/>
  <c r="V384" i="55"/>
  <c r="H384" i="55"/>
  <c r="D384" i="55"/>
  <c r="C384" i="55"/>
  <c r="B384" i="55"/>
  <c r="S383" i="55"/>
  <c r="Q383" i="55"/>
  <c r="J383" i="55"/>
  <c r="H383" i="55"/>
  <c r="E383" i="55"/>
  <c r="B383" i="55"/>
  <c r="X382" i="55"/>
  <c r="W382" i="55"/>
  <c r="V382" i="55"/>
  <c r="H382" i="55"/>
  <c r="D382" i="55"/>
  <c r="C382" i="55"/>
  <c r="B382" i="55"/>
  <c r="S381" i="55"/>
  <c r="Q381" i="55"/>
  <c r="J381" i="55"/>
  <c r="H381" i="55"/>
  <c r="E381" i="55"/>
  <c r="B381" i="55"/>
  <c r="X380" i="55"/>
  <c r="W380" i="55"/>
  <c r="V380" i="55"/>
  <c r="H380" i="55"/>
  <c r="D380" i="55"/>
  <c r="C380" i="55"/>
  <c r="B380" i="55"/>
  <c r="S379" i="55"/>
  <c r="Q379" i="55"/>
  <c r="J379" i="55"/>
  <c r="H379" i="55"/>
  <c r="E379" i="55"/>
  <c r="B379" i="55"/>
  <c r="X378" i="55"/>
  <c r="W378" i="55"/>
  <c r="V378" i="55"/>
  <c r="H378" i="55"/>
  <c r="D378" i="55"/>
  <c r="C378" i="55"/>
  <c r="B378" i="55"/>
  <c r="S377" i="55"/>
  <c r="Q377" i="55"/>
  <c r="J377" i="55"/>
  <c r="H377" i="55"/>
  <c r="E377" i="55"/>
  <c r="B377" i="55"/>
  <c r="X376" i="55"/>
  <c r="W376" i="55"/>
  <c r="V376" i="55"/>
  <c r="H376" i="55"/>
  <c r="D376" i="55"/>
  <c r="C376" i="55"/>
  <c r="B376" i="55"/>
  <c r="S375" i="55"/>
  <c r="Q375" i="55"/>
  <c r="J375" i="55"/>
  <c r="H375" i="55"/>
  <c r="E375" i="55"/>
  <c r="B375" i="55"/>
  <c r="X374" i="55"/>
  <c r="W374" i="55"/>
  <c r="V374" i="55"/>
  <c r="H374" i="55"/>
  <c r="D374" i="55"/>
  <c r="C374" i="55"/>
  <c r="B374" i="55"/>
  <c r="S373" i="55"/>
  <c r="Q373" i="55"/>
  <c r="J373" i="55"/>
  <c r="H373" i="55"/>
  <c r="E373" i="55"/>
  <c r="B373" i="55"/>
  <c r="X372" i="55"/>
  <c r="W372" i="55"/>
  <c r="V372" i="55"/>
  <c r="H372" i="55"/>
  <c r="D372" i="55"/>
  <c r="C372" i="55"/>
  <c r="B372" i="55"/>
  <c r="S371" i="55"/>
  <c r="Q371" i="55"/>
  <c r="J371" i="55"/>
  <c r="H371" i="55"/>
  <c r="E371" i="55"/>
  <c r="B371" i="55"/>
  <c r="X370" i="55"/>
  <c r="W370" i="55"/>
  <c r="V370" i="55"/>
  <c r="H370" i="55"/>
  <c r="D370" i="55"/>
  <c r="C370" i="55"/>
  <c r="B370" i="55"/>
  <c r="S369" i="55"/>
  <c r="Q369" i="55"/>
  <c r="J369" i="55"/>
  <c r="H369" i="55"/>
  <c r="E369" i="55"/>
  <c r="B369" i="55"/>
  <c r="X368" i="55"/>
  <c r="W368" i="55"/>
  <c r="V368" i="55"/>
  <c r="H368" i="55"/>
  <c r="D368" i="55"/>
  <c r="C368" i="55"/>
  <c r="B368" i="55"/>
  <c r="S367" i="55"/>
  <c r="Q367" i="55"/>
  <c r="J367" i="55"/>
  <c r="H367" i="55"/>
  <c r="E367" i="55"/>
  <c r="B367" i="55"/>
  <c r="X366" i="55"/>
  <c r="W366" i="55"/>
  <c r="V366" i="55"/>
  <c r="H366" i="55"/>
  <c r="D366" i="55"/>
  <c r="C366" i="55"/>
  <c r="B366" i="55"/>
  <c r="S365" i="55"/>
  <c r="Q365" i="55"/>
  <c r="J365" i="55"/>
  <c r="H365" i="55"/>
  <c r="E365" i="55"/>
  <c r="B365" i="55"/>
  <c r="X364" i="55"/>
  <c r="W364" i="55"/>
  <c r="V364" i="55"/>
  <c r="H364" i="55"/>
  <c r="D364" i="55"/>
  <c r="C364" i="55"/>
  <c r="B364" i="55"/>
  <c r="S363" i="55"/>
  <c r="Q363" i="55"/>
  <c r="J363" i="55"/>
  <c r="H363" i="55"/>
  <c r="E363" i="55"/>
  <c r="B363" i="55"/>
  <c r="X362" i="55"/>
  <c r="W362" i="55"/>
  <c r="V362" i="55"/>
  <c r="H362" i="55"/>
  <c r="D362" i="55"/>
  <c r="C362" i="55"/>
  <c r="B362" i="55"/>
  <c r="S361" i="55"/>
  <c r="Q361" i="55"/>
  <c r="J361" i="55"/>
  <c r="H361" i="55"/>
  <c r="E361" i="55"/>
  <c r="B361" i="55"/>
  <c r="X360" i="55"/>
  <c r="W360" i="55"/>
  <c r="V360" i="55"/>
  <c r="H360" i="55"/>
  <c r="D360" i="55"/>
  <c r="C360" i="55"/>
  <c r="B360" i="55"/>
  <c r="S359" i="55"/>
  <c r="Q359" i="55"/>
  <c r="J359" i="55"/>
  <c r="H359" i="55"/>
  <c r="E359" i="55"/>
  <c r="B359" i="55"/>
  <c r="X358" i="55"/>
  <c r="W358" i="55"/>
  <c r="V358" i="55"/>
  <c r="H358" i="55"/>
  <c r="D358" i="55"/>
  <c r="C358" i="55"/>
  <c r="B358" i="55"/>
  <c r="S357" i="55"/>
  <c r="Q357" i="55"/>
  <c r="J357" i="55"/>
  <c r="H357" i="55"/>
  <c r="E357" i="55"/>
  <c r="B357" i="55"/>
  <c r="X356" i="55"/>
  <c r="W356" i="55"/>
  <c r="V356" i="55"/>
  <c r="H356" i="55"/>
  <c r="D356" i="55"/>
  <c r="C356" i="55"/>
  <c r="B356" i="55"/>
  <c r="S355" i="55"/>
  <c r="Q355" i="55"/>
  <c r="J355" i="55"/>
  <c r="H355" i="55"/>
  <c r="E355" i="55"/>
  <c r="B355" i="55"/>
  <c r="X354" i="55"/>
  <c r="W354" i="55"/>
  <c r="V354" i="55"/>
  <c r="H354" i="55"/>
  <c r="D354" i="55"/>
  <c r="C354" i="55"/>
  <c r="B354" i="55"/>
  <c r="S353" i="55"/>
  <c r="Q353" i="55"/>
  <c r="J353" i="55"/>
  <c r="H353" i="55"/>
  <c r="E353" i="55"/>
  <c r="B353" i="55"/>
  <c r="X352" i="55"/>
  <c r="W352" i="55"/>
  <c r="V352" i="55"/>
  <c r="H352" i="55"/>
  <c r="D352" i="55"/>
  <c r="C352" i="55"/>
  <c r="B352" i="55"/>
  <c r="S351" i="55"/>
  <c r="Q351" i="55"/>
  <c r="J351" i="55"/>
  <c r="H351" i="55"/>
  <c r="E351" i="55"/>
  <c r="B351" i="55"/>
  <c r="X350" i="55"/>
  <c r="W350" i="55"/>
  <c r="V350" i="55"/>
  <c r="H350" i="55"/>
  <c r="D350" i="55"/>
  <c r="C350" i="55"/>
  <c r="B350" i="55"/>
  <c r="S349" i="55"/>
  <c r="Q349" i="55"/>
  <c r="J349" i="55"/>
  <c r="H349" i="55"/>
  <c r="E349" i="55"/>
  <c r="B349" i="55"/>
  <c r="X348" i="55"/>
  <c r="W348" i="55"/>
  <c r="V348" i="55"/>
  <c r="H348" i="55"/>
  <c r="D348" i="55"/>
  <c r="C348" i="55"/>
  <c r="B348" i="55"/>
  <c r="S347" i="55"/>
  <c r="Q347" i="55"/>
  <c r="J347" i="55"/>
  <c r="H347" i="55"/>
  <c r="E347" i="55"/>
  <c r="B347" i="55"/>
  <c r="X346" i="55"/>
  <c r="W346" i="55"/>
  <c r="V346" i="55"/>
  <c r="H346" i="55"/>
  <c r="D346" i="55"/>
  <c r="C346" i="55"/>
  <c r="B346" i="55"/>
  <c r="S345" i="55"/>
  <c r="Q345" i="55"/>
  <c r="J345" i="55"/>
  <c r="H345" i="55"/>
  <c r="E345" i="55"/>
  <c r="B345" i="55"/>
  <c r="X344" i="55"/>
  <c r="W344" i="55"/>
  <c r="V344" i="55"/>
  <c r="H344" i="55"/>
  <c r="D344" i="55"/>
  <c r="C344" i="55"/>
  <c r="B344" i="55"/>
  <c r="S343" i="55"/>
  <c r="Q343" i="55"/>
  <c r="J343" i="55"/>
  <c r="H343" i="55"/>
  <c r="E343" i="55"/>
  <c r="B343" i="55"/>
  <c r="X342" i="55"/>
  <c r="W342" i="55"/>
  <c r="V342" i="55"/>
  <c r="H342" i="55"/>
  <c r="D342" i="55"/>
  <c r="C342" i="55"/>
  <c r="B342" i="55"/>
  <c r="S341" i="55"/>
  <c r="Q341" i="55"/>
  <c r="J341" i="55"/>
  <c r="H341" i="55"/>
  <c r="E341" i="55"/>
  <c r="B341" i="55"/>
  <c r="X340" i="55"/>
  <c r="W340" i="55"/>
  <c r="V340" i="55"/>
  <c r="H340" i="55"/>
  <c r="D340" i="55"/>
  <c r="C340" i="55"/>
  <c r="B340" i="55"/>
  <c r="S339" i="55"/>
  <c r="Q339" i="55"/>
  <c r="J339" i="55"/>
  <c r="H339" i="55"/>
  <c r="E339" i="55"/>
  <c r="B339" i="55"/>
  <c r="X338" i="55"/>
  <c r="W338" i="55"/>
  <c r="V338" i="55"/>
  <c r="H338" i="55"/>
  <c r="D338" i="55"/>
  <c r="C338" i="55"/>
  <c r="B338" i="55"/>
  <c r="S337" i="55"/>
  <c r="Q337" i="55"/>
  <c r="J337" i="55"/>
  <c r="H337" i="55"/>
  <c r="E337" i="55"/>
  <c r="B337" i="55"/>
  <c r="X336" i="55"/>
  <c r="W336" i="55"/>
  <c r="V336" i="55"/>
  <c r="H336" i="55"/>
  <c r="D336" i="55"/>
  <c r="C336" i="55"/>
  <c r="B336" i="55"/>
  <c r="S335" i="55"/>
  <c r="Q335" i="55"/>
  <c r="J335" i="55"/>
  <c r="H335" i="55"/>
  <c r="E335" i="55"/>
  <c r="B335" i="55"/>
  <c r="X334" i="55"/>
  <c r="W334" i="55"/>
  <c r="V334" i="55"/>
  <c r="H334" i="55"/>
  <c r="D334" i="55"/>
  <c r="C334" i="55"/>
  <c r="B334" i="55"/>
  <c r="S333" i="55"/>
  <c r="Q333" i="55"/>
  <c r="J333" i="55"/>
  <c r="H333" i="55"/>
  <c r="E333" i="55"/>
  <c r="B333" i="55"/>
  <c r="X332" i="55"/>
  <c r="W332" i="55"/>
  <c r="V332" i="55"/>
  <c r="H332" i="55"/>
  <c r="D332" i="55"/>
  <c r="C332" i="55"/>
  <c r="B332" i="55"/>
  <c r="S331" i="55"/>
  <c r="Q331" i="55"/>
  <c r="J331" i="55"/>
  <c r="H331" i="55"/>
  <c r="E331" i="55"/>
  <c r="B331" i="55"/>
  <c r="X330" i="55"/>
  <c r="W330" i="55"/>
  <c r="V330" i="55"/>
  <c r="H330" i="55"/>
  <c r="D330" i="55"/>
  <c r="C330" i="55"/>
  <c r="B330" i="55"/>
  <c r="S329" i="55"/>
  <c r="Q329" i="55"/>
  <c r="J329" i="55"/>
  <c r="H329" i="55"/>
  <c r="E329" i="55"/>
  <c r="B329" i="55"/>
  <c r="X328" i="55"/>
  <c r="W328" i="55"/>
  <c r="V328" i="55"/>
  <c r="H328" i="55"/>
  <c r="D328" i="55"/>
  <c r="C328" i="55"/>
  <c r="B328" i="55"/>
  <c r="S327" i="55"/>
  <c r="Q327" i="55"/>
  <c r="J327" i="55"/>
  <c r="H327" i="55"/>
  <c r="E327" i="55"/>
  <c r="B327" i="55"/>
  <c r="X326" i="55"/>
  <c r="W326" i="55"/>
  <c r="V326" i="55"/>
  <c r="H326" i="55"/>
  <c r="D326" i="55"/>
  <c r="C326" i="55"/>
  <c r="B326" i="55"/>
  <c r="S325" i="55"/>
  <c r="Q325" i="55"/>
  <c r="J325" i="55"/>
  <c r="H325" i="55"/>
  <c r="E325" i="55"/>
  <c r="B325" i="55"/>
  <c r="X324" i="55"/>
  <c r="W324" i="55"/>
  <c r="V324" i="55"/>
  <c r="H324" i="55"/>
  <c r="D324" i="55"/>
  <c r="C324" i="55"/>
  <c r="B324" i="55"/>
  <c r="S323" i="55"/>
  <c r="Q323" i="55"/>
  <c r="J323" i="55"/>
  <c r="H323" i="55"/>
  <c r="E323" i="55"/>
  <c r="B323" i="55"/>
  <c r="X322" i="55"/>
  <c r="W322" i="55"/>
  <c r="V322" i="55"/>
  <c r="H322" i="55"/>
  <c r="D322" i="55"/>
  <c r="C322" i="55"/>
  <c r="B322" i="55"/>
  <c r="S321" i="55"/>
  <c r="Q321" i="55"/>
  <c r="J321" i="55"/>
  <c r="H321" i="55"/>
  <c r="E321" i="55"/>
  <c r="B321" i="55"/>
  <c r="X320" i="55"/>
  <c r="W320" i="55"/>
  <c r="V320" i="55"/>
  <c r="H320" i="55"/>
  <c r="D320" i="55"/>
  <c r="C320" i="55"/>
  <c r="B320" i="55"/>
  <c r="S319" i="55"/>
  <c r="Q319" i="55"/>
  <c r="J319" i="55"/>
  <c r="H319" i="55"/>
  <c r="E319" i="55"/>
  <c r="B319" i="55"/>
  <c r="X318" i="55"/>
  <c r="W318" i="55"/>
  <c r="V318" i="55"/>
  <c r="H318" i="55"/>
  <c r="D318" i="55"/>
  <c r="C318" i="55"/>
  <c r="B318" i="55"/>
  <c r="S317" i="55"/>
  <c r="Q317" i="55"/>
  <c r="J317" i="55"/>
  <c r="H317" i="55"/>
  <c r="E317" i="55"/>
  <c r="B317" i="55"/>
  <c r="X316" i="55"/>
  <c r="W316" i="55"/>
  <c r="V316" i="55"/>
  <c r="H316" i="55"/>
  <c r="D316" i="55"/>
  <c r="C316" i="55"/>
  <c r="B316" i="55"/>
  <c r="S315" i="55"/>
  <c r="Q315" i="55"/>
  <c r="J315" i="55"/>
  <c r="H315" i="55"/>
  <c r="E315" i="55"/>
  <c r="B315" i="55"/>
  <c r="X314" i="55"/>
  <c r="W314" i="55"/>
  <c r="V314" i="55"/>
  <c r="H314" i="55"/>
  <c r="D314" i="55"/>
  <c r="C314" i="55"/>
  <c r="B314" i="55"/>
  <c r="S313" i="55"/>
  <c r="Q313" i="55"/>
  <c r="J313" i="55"/>
  <c r="H313" i="55"/>
  <c r="E313" i="55"/>
  <c r="B313" i="55"/>
  <c r="X312" i="55"/>
  <c r="W312" i="55"/>
  <c r="V312" i="55"/>
  <c r="H312" i="55"/>
  <c r="D312" i="55"/>
  <c r="C312" i="55"/>
  <c r="B312" i="55"/>
  <c r="S311" i="55"/>
  <c r="Q311" i="55"/>
  <c r="J311" i="55"/>
  <c r="H311" i="55"/>
  <c r="E311" i="55"/>
  <c r="B311" i="55"/>
  <c r="X310" i="55"/>
  <c r="W310" i="55"/>
  <c r="V310" i="55"/>
  <c r="H310" i="55"/>
  <c r="D310" i="55"/>
  <c r="C310" i="55"/>
  <c r="B310" i="55"/>
  <c r="S309" i="55"/>
  <c r="Q309" i="55"/>
  <c r="J309" i="55"/>
  <c r="H309" i="55"/>
  <c r="E309" i="55"/>
  <c r="B309" i="55"/>
  <c r="X308" i="55"/>
  <c r="W308" i="55"/>
  <c r="V308" i="55"/>
  <c r="H308" i="55"/>
  <c r="D308" i="55"/>
  <c r="C308" i="55"/>
  <c r="B308" i="55"/>
  <c r="S307" i="55"/>
  <c r="Q307" i="55"/>
  <c r="J307" i="55"/>
  <c r="H307" i="55"/>
  <c r="E307" i="55"/>
  <c r="B307" i="55"/>
  <c r="X306" i="55"/>
  <c r="W306" i="55"/>
  <c r="V306" i="55"/>
  <c r="H306" i="55"/>
  <c r="D306" i="55"/>
  <c r="C306" i="55"/>
  <c r="B306" i="55"/>
  <c r="S305" i="55"/>
  <c r="Q305" i="55"/>
  <c r="J305" i="55"/>
  <c r="H305" i="55"/>
  <c r="E305" i="55"/>
  <c r="B305" i="55"/>
  <c r="S303" i="55"/>
  <c r="Q303" i="55"/>
  <c r="J303" i="55"/>
  <c r="H304" i="55"/>
  <c r="H303" i="55"/>
  <c r="E303" i="55"/>
  <c r="B303" i="55"/>
  <c r="X304" i="55"/>
  <c r="W304" i="55"/>
  <c r="V304" i="55"/>
  <c r="D304" i="55"/>
  <c r="C304" i="55"/>
  <c r="B304" i="55"/>
  <c r="X298" i="55"/>
  <c r="W298" i="55"/>
  <c r="V298" i="55"/>
  <c r="S297" i="55"/>
  <c r="N297" i="55"/>
  <c r="K297" i="55"/>
  <c r="B297" i="55"/>
  <c r="X296" i="55"/>
  <c r="W296" i="55"/>
  <c r="V296" i="55"/>
  <c r="S295" i="55"/>
  <c r="N295" i="55"/>
  <c r="K295" i="55"/>
  <c r="B295" i="55"/>
  <c r="X294" i="55"/>
  <c r="W294" i="55"/>
  <c r="V294" i="55"/>
  <c r="S293" i="55"/>
  <c r="N293" i="55"/>
  <c r="K293" i="55"/>
  <c r="B293" i="55"/>
  <c r="X292" i="55"/>
  <c r="W292" i="55"/>
  <c r="V292" i="55"/>
  <c r="S291" i="55"/>
  <c r="N291" i="55"/>
  <c r="K291" i="55"/>
  <c r="B291" i="55"/>
  <c r="X290" i="55"/>
  <c r="W290" i="55"/>
  <c r="V290" i="55"/>
  <c r="S289" i="55"/>
  <c r="N289" i="55"/>
  <c r="K289" i="55"/>
  <c r="B289" i="55"/>
  <c r="X288" i="55"/>
  <c r="W288" i="55"/>
  <c r="V288" i="55"/>
  <c r="S287" i="55"/>
  <c r="N287" i="55"/>
  <c r="K287" i="55"/>
  <c r="B287" i="55"/>
  <c r="X286" i="55"/>
  <c r="W286" i="55"/>
  <c r="V286" i="55"/>
  <c r="S285" i="55"/>
  <c r="N285" i="55"/>
  <c r="K285" i="55"/>
  <c r="B285" i="55"/>
  <c r="X284" i="55"/>
  <c r="W284" i="55"/>
  <c r="V284" i="55"/>
  <c r="S283" i="55"/>
  <c r="N283" i="55"/>
  <c r="K283" i="55"/>
  <c r="B283" i="55"/>
  <c r="X282" i="55"/>
  <c r="W282" i="55"/>
  <c r="V282" i="55"/>
  <c r="S281" i="55"/>
  <c r="N281" i="55"/>
  <c r="K281" i="55"/>
  <c r="B281" i="55"/>
  <c r="X280" i="55"/>
  <c r="W280" i="55"/>
  <c r="V280" i="55"/>
  <c r="S279" i="55"/>
  <c r="N279" i="55"/>
  <c r="K279" i="55"/>
  <c r="B279" i="55"/>
  <c r="X278" i="55"/>
  <c r="W278" i="55"/>
  <c r="V278" i="55"/>
  <c r="S277" i="55"/>
  <c r="N277" i="55"/>
  <c r="K277" i="55"/>
  <c r="B277" i="55"/>
  <c r="X276" i="55"/>
  <c r="W276" i="55"/>
  <c r="V276" i="55"/>
  <c r="S275" i="55"/>
  <c r="N275" i="55"/>
  <c r="K275" i="55"/>
  <c r="B275" i="55"/>
  <c r="X274" i="55"/>
  <c r="W274" i="55"/>
  <c r="V274" i="55"/>
  <c r="S273" i="55"/>
  <c r="N273" i="55"/>
  <c r="K273" i="55"/>
  <c r="B273" i="55"/>
  <c r="X272" i="55"/>
  <c r="W272" i="55"/>
  <c r="V272" i="55"/>
  <c r="S271" i="55"/>
  <c r="N271" i="55"/>
  <c r="K271" i="55"/>
  <c r="B271" i="55"/>
  <c r="X270" i="55"/>
  <c r="W270" i="55"/>
  <c r="V270" i="55"/>
  <c r="S269" i="55"/>
  <c r="N269" i="55"/>
  <c r="K269" i="55"/>
  <c r="B269" i="55"/>
  <c r="X268" i="55"/>
  <c r="W268" i="55"/>
  <c r="V268" i="55"/>
  <c r="S267" i="55"/>
  <c r="N267" i="55"/>
  <c r="K267" i="55"/>
  <c r="B267" i="55"/>
  <c r="X266" i="55"/>
  <c r="W266" i="55"/>
  <c r="V266" i="55"/>
  <c r="S265" i="55"/>
  <c r="N265" i="55"/>
  <c r="K265" i="55"/>
  <c r="B265" i="55"/>
  <c r="X264" i="55"/>
  <c r="W264" i="55"/>
  <c r="V264" i="55"/>
  <c r="S263" i="55"/>
  <c r="N263" i="55"/>
  <c r="K263" i="55"/>
  <c r="B263" i="55"/>
  <c r="X262" i="55"/>
  <c r="W262" i="55"/>
  <c r="V262" i="55"/>
  <c r="S261" i="55"/>
  <c r="N261" i="55"/>
  <c r="K261" i="55"/>
  <c r="B261" i="55"/>
  <c r="X260" i="55"/>
  <c r="W260" i="55"/>
  <c r="V260" i="55"/>
  <c r="S259" i="55"/>
  <c r="N259" i="55"/>
  <c r="K259" i="55"/>
  <c r="B259" i="55"/>
  <c r="X258" i="55"/>
  <c r="W258" i="55"/>
  <c r="V258" i="55"/>
  <c r="S257" i="55"/>
  <c r="N257" i="55"/>
  <c r="K257" i="55"/>
  <c r="B257" i="55"/>
  <c r="X256" i="55"/>
  <c r="W256" i="55"/>
  <c r="V256" i="55"/>
  <c r="S255" i="55"/>
  <c r="N255" i="55"/>
  <c r="K255" i="55"/>
  <c r="B255" i="55"/>
  <c r="X254" i="55"/>
  <c r="W254" i="55"/>
  <c r="V254" i="55"/>
  <c r="S253" i="55"/>
  <c r="N253" i="55"/>
  <c r="K253" i="55"/>
  <c r="B253" i="55"/>
  <c r="X252" i="55"/>
  <c r="W252" i="55"/>
  <c r="V252" i="55"/>
  <c r="S251" i="55"/>
  <c r="N251" i="55"/>
  <c r="K251" i="55"/>
  <c r="B251" i="55"/>
  <c r="X250" i="55"/>
  <c r="W250" i="55"/>
  <c r="V250" i="55"/>
  <c r="S249" i="55"/>
  <c r="N249" i="55"/>
  <c r="K249" i="55"/>
  <c r="B249" i="55"/>
  <c r="X6" i="9"/>
  <c r="A6" i="9" s="1"/>
  <c r="A249" i="55" s="1"/>
  <c r="F23" i="55"/>
  <c r="R25" i="55"/>
  <c r="O25" i="55"/>
  <c r="N25" i="55"/>
  <c r="J25" i="55"/>
  <c r="F25" i="55"/>
  <c r="B25" i="55"/>
  <c r="X244" i="55"/>
  <c r="W244" i="55"/>
  <c r="V244" i="55"/>
  <c r="U244" i="55"/>
  <c r="T244" i="55"/>
  <c r="R243" i="55"/>
  <c r="Q243" i="55"/>
  <c r="P243" i="55"/>
  <c r="O243" i="55"/>
  <c r="N243" i="55"/>
  <c r="J243" i="55"/>
  <c r="F243" i="55"/>
  <c r="B243" i="55"/>
  <c r="X242" i="55"/>
  <c r="W242" i="55"/>
  <c r="V242" i="55"/>
  <c r="U242" i="55"/>
  <c r="T242" i="55"/>
  <c r="R241" i="55"/>
  <c r="Q241" i="55"/>
  <c r="P241" i="55"/>
  <c r="O241" i="55"/>
  <c r="N241" i="55"/>
  <c r="J241" i="55"/>
  <c r="F241" i="55"/>
  <c r="B241" i="55"/>
  <c r="X240" i="55"/>
  <c r="W240" i="55"/>
  <c r="V240" i="55"/>
  <c r="U240" i="55"/>
  <c r="T240" i="55"/>
  <c r="R239" i="55"/>
  <c r="Q239" i="55"/>
  <c r="P239" i="55"/>
  <c r="O239" i="55"/>
  <c r="N239" i="55"/>
  <c r="J239" i="55"/>
  <c r="F239" i="55"/>
  <c r="B239" i="55"/>
  <c r="X238" i="55"/>
  <c r="W238" i="55"/>
  <c r="V238" i="55"/>
  <c r="U238" i="55"/>
  <c r="T238" i="55"/>
  <c r="R237" i="55"/>
  <c r="Q237" i="55"/>
  <c r="P237" i="55"/>
  <c r="O237" i="55"/>
  <c r="N237" i="55"/>
  <c r="J237" i="55"/>
  <c r="F237" i="55"/>
  <c r="B237" i="55"/>
  <c r="X235" i="55"/>
  <c r="W235" i="55"/>
  <c r="V235" i="55"/>
  <c r="U235" i="55"/>
  <c r="T235" i="55"/>
  <c r="R234" i="55"/>
  <c r="Q234" i="55"/>
  <c r="P234" i="55"/>
  <c r="O234" i="55"/>
  <c r="N234" i="55"/>
  <c r="J234" i="55"/>
  <c r="F234" i="55"/>
  <c r="B234" i="55"/>
  <c r="X233" i="55"/>
  <c r="W233" i="55"/>
  <c r="V233" i="55"/>
  <c r="U233" i="55"/>
  <c r="T233" i="55"/>
  <c r="R232" i="55"/>
  <c r="Q232" i="55"/>
  <c r="P232" i="55"/>
  <c r="O232" i="55"/>
  <c r="N232" i="55"/>
  <c r="J232" i="55"/>
  <c r="F232" i="55"/>
  <c r="B232" i="55"/>
  <c r="X231" i="55"/>
  <c r="W231" i="55"/>
  <c r="V231" i="55"/>
  <c r="U231" i="55"/>
  <c r="T231" i="55"/>
  <c r="R230" i="55"/>
  <c r="Q230" i="55"/>
  <c r="P230" i="55"/>
  <c r="O230" i="55"/>
  <c r="N230" i="55"/>
  <c r="J230" i="55"/>
  <c r="F230" i="55"/>
  <c r="B230" i="55"/>
  <c r="X229" i="55"/>
  <c r="W229" i="55"/>
  <c r="V229" i="55"/>
  <c r="U229" i="55"/>
  <c r="T229" i="55"/>
  <c r="R228" i="55"/>
  <c r="Q228" i="55"/>
  <c r="P228" i="55"/>
  <c r="O228" i="55"/>
  <c r="N228" i="55"/>
  <c r="J228" i="55"/>
  <c r="F228" i="55"/>
  <c r="B228" i="55"/>
  <c r="X226" i="55"/>
  <c r="W226" i="55"/>
  <c r="V226" i="55"/>
  <c r="U226" i="55"/>
  <c r="T226" i="55"/>
  <c r="R225" i="55"/>
  <c r="Q225" i="55"/>
  <c r="P225" i="55"/>
  <c r="O225" i="55"/>
  <c r="N225" i="55"/>
  <c r="J225" i="55"/>
  <c r="F225" i="55"/>
  <c r="B225" i="55"/>
  <c r="X224" i="55"/>
  <c r="W224" i="55"/>
  <c r="V224" i="55"/>
  <c r="U224" i="55"/>
  <c r="T224" i="55"/>
  <c r="R223" i="55"/>
  <c r="Q223" i="55"/>
  <c r="P223" i="55"/>
  <c r="O223" i="55"/>
  <c r="N223" i="55"/>
  <c r="J223" i="55"/>
  <c r="F223" i="55"/>
  <c r="B223" i="55"/>
  <c r="X222" i="55"/>
  <c r="W222" i="55"/>
  <c r="V222" i="55"/>
  <c r="U222" i="55"/>
  <c r="T222" i="55"/>
  <c r="R221" i="55"/>
  <c r="Q221" i="55"/>
  <c r="P221" i="55"/>
  <c r="O221" i="55"/>
  <c r="N221" i="55"/>
  <c r="J221" i="55"/>
  <c r="F221" i="55"/>
  <c r="B221" i="55"/>
  <c r="X220" i="55"/>
  <c r="W220" i="55"/>
  <c r="V220" i="55"/>
  <c r="U220" i="55"/>
  <c r="T220" i="55"/>
  <c r="R219" i="55"/>
  <c r="Q219" i="55"/>
  <c r="P219" i="55"/>
  <c r="O219" i="55"/>
  <c r="N219" i="55"/>
  <c r="J219" i="55"/>
  <c r="F219" i="55"/>
  <c r="B219" i="55"/>
  <c r="X217" i="55"/>
  <c r="W217" i="55"/>
  <c r="V217" i="55"/>
  <c r="U217" i="55"/>
  <c r="T217" i="55"/>
  <c r="R216" i="55"/>
  <c r="Q216" i="55"/>
  <c r="P216" i="55"/>
  <c r="O216" i="55"/>
  <c r="N216" i="55"/>
  <c r="J216" i="55"/>
  <c r="F216" i="55"/>
  <c r="B216" i="55"/>
  <c r="X215" i="55"/>
  <c r="W215" i="55"/>
  <c r="V215" i="55"/>
  <c r="U215" i="55"/>
  <c r="T215" i="55"/>
  <c r="R214" i="55"/>
  <c r="Q214" i="55"/>
  <c r="P214" i="55"/>
  <c r="O214" i="55"/>
  <c r="N214" i="55"/>
  <c r="J214" i="55"/>
  <c r="F214" i="55"/>
  <c r="B214" i="55"/>
  <c r="X213" i="55"/>
  <c r="W213" i="55"/>
  <c r="V213" i="55"/>
  <c r="U213" i="55"/>
  <c r="T213" i="55"/>
  <c r="R212" i="55"/>
  <c r="Q212" i="55"/>
  <c r="P212" i="55"/>
  <c r="O212" i="55"/>
  <c r="N212" i="55"/>
  <c r="J212" i="55"/>
  <c r="F212" i="55"/>
  <c r="B212" i="55"/>
  <c r="X211" i="55"/>
  <c r="W211" i="55"/>
  <c r="V211" i="55"/>
  <c r="U211" i="55"/>
  <c r="T211" i="55"/>
  <c r="R210" i="55"/>
  <c r="Q210" i="55"/>
  <c r="P210" i="55"/>
  <c r="O210" i="55"/>
  <c r="N210" i="55"/>
  <c r="J210" i="55"/>
  <c r="F210" i="55"/>
  <c r="B210" i="55"/>
  <c r="X208" i="55"/>
  <c r="W208" i="55"/>
  <c r="V208" i="55"/>
  <c r="U208" i="55"/>
  <c r="T208" i="55"/>
  <c r="R207" i="55"/>
  <c r="Q207" i="55"/>
  <c r="P207" i="55"/>
  <c r="O207" i="55"/>
  <c r="N207" i="55"/>
  <c r="J207" i="55"/>
  <c r="F207" i="55"/>
  <c r="B207" i="55"/>
  <c r="X206" i="55"/>
  <c r="W206" i="55"/>
  <c r="V206" i="55"/>
  <c r="U206" i="55"/>
  <c r="T206" i="55"/>
  <c r="R205" i="55"/>
  <c r="Q205" i="55"/>
  <c r="P205" i="55"/>
  <c r="O205" i="55"/>
  <c r="N205" i="55"/>
  <c r="J205" i="55"/>
  <c r="F205" i="55"/>
  <c r="B205" i="55"/>
  <c r="X204" i="55"/>
  <c r="W204" i="55"/>
  <c r="V204" i="55"/>
  <c r="U204" i="55"/>
  <c r="T204" i="55"/>
  <c r="R203" i="55"/>
  <c r="Q203" i="55"/>
  <c r="P203" i="55"/>
  <c r="O203" i="55"/>
  <c r="N203" i="55"/>
  <c r="J203" i="55"/>
  <c r="F203" i="55"/>
  <c r="B203" i="55"/>
  <c r="X202" i="55"/>
  <c r="W202" i="55"/>
  <c r="V202" i="55"/>
  <c r="U202" i="55"/>
  <c r="T202" i="55"/>
  <c r="R201" i="55"/>
  <c r="Q201" i="55"/>
  <c r="P201" i="55"/>
  <c r="O201" i="55"/>
  <c r="N201" i="55"/>
  <c r="J201" i="55"/>
  <c r="F201" i="55"/>
  <c r="B201" i="55"/>
  <c r="X199" i="55"/>
  <c r="W199" i="55"/>
  <c r="V199" i="55"/>
  <c r="U199" i="55"/>
  <c r="T199" i="55"/>
  <c r="R198" i="55"/>
  <c r="Q198" i="55"/>
  <c r="P198" i="55"/>
  <c r="O198" i="55"/>
  <c r="N198" i="55"/>
  <c r="J198" i="55"/>
  <c r="F198" i="55"/>
  <c r="B198" i="55"/>
  <c r="X197" i="55"/>
  <c r="W197" i="55"/>
  <c r="V197" i="55"/>
  <c r="U197" i="55"/>
  <c r="T197" i="55"/>
  <c r="R196" i="55"/>
  <c r="Q196" i="55"/>
  <c r="P196" i="55"/>
  <c r="O196" i="55"/>
  <c r="N196" i="55"/>
  <c r="J196" i="55"/>
  <c r="F196" i="55"/>
  <c r="B196" i="55"/>
  <c r="X195" i="55"/>
  <c r="W195" i="55"/>
  <c r="V195" i="55"/>
  <c r="U195" i="55"/>
  <c r="T195" i="55"/>
  <c r="R194" i="55"/>
  <c r="Q194" i="55"/>
  <c r="P194" i="55"/>
  <c r="O194" i="55"/>
  <c r="N194" i="55"/>
  <c r="J194" i="55"/>
  <c r="F194" i="55"/>
  <c r="B194" i="55"/>
  <c r="X193" i="55"/>
  <c r="W193" i="55"/>
  <c r="V193" i="55"/>
  <c r="U193" i="55"/>
  <c r="T193" i="55"/>
  <c r="R192" i="55"/>
  <c r="Q192" i="55"/>
  <c r="P192" i="55"/>
  <c r="O192" i="55"/>
  <c r="N192" i="55"/>
  <c r="J192" i="55"/>
  <c r="F192" i="55"/>
  <c r="B192" i="55"/>
  <c r="X190" i="55"/>
  <c r="W190" i="55"/>
  <c r="V190" i="55"/>
  <c r="U190" i="55"/>
  <c r="T190" i="55"/>
  <c r="R189" i="55"/>
  <c r="Q189" i="55"/>
  <c r="P189" i="55"/>
  <c r="O189" i="55"/>
  <c r="N189" i="55"/>
  <c r="J189" i="55"/>
  <c r="F189" i="55"/>
  <c r="B189" i="55"/>
  <c r="X188" i="55"/>
  <c r="W188" i="55"/>
  <c r="V188" i="55"/>
  <c r="U188" i="55"/>
  <c r="T188" i="55"/>
  <c r="R187" i="55"/>
  <c r="Q187" i="55"/>
  <c r="P187" i="55"/>
  <c r="O187" i="55"/>
  <c r="N187" i="55"/>
  <c r="J187" i="55"/>
  <c r="F187" i="55"/>
  <c r="B187" i="55"/>
  <c r="X186" i="55"/>
  <c r="W186" i="55"/>
  <c r="V186" i="55"/>
  <c r="U186" i="55"/>
  <c r="T186" i="55"/>
  <c r="R185" i="55"/>
  <c r="Q185" i="55"/>
  <c r="P185" i="55"/>
  <c r="O185" i="55"/>
  <c r="N185" i="55"/>
  <c r="J185" i="55"/>
  <c r="F185" i="55"/>
  <c r="B185" i="55"/>
  <c r="X184" i="55"/>
  <c r="W184" i="55"/>
  <c r="V184" i="55"/>
  <c r="U184" i="55"/>
  <c r="T184" i="55"/>
  <c r="R183" i="55"/>
  <c r="Q183" i="55"/>
  <c r="P183" i="55"/>
  <c r="O183" i="55"/>
  <c r="N183" i="55"/>
  <c r="J183" i="55"/>
  <c r="F183" i="55"/>
  <c r="B183" i="55"/>
  <c r="X181" i="55"/>
  <c r="W181" i="55"/>
  <c r="V181" i="55"/>
  <c r="U181" i="55"/>
  <c r="T181" i="55"/>
  <c r="R180" i="55"/>
  <c r="Q180" i="55"/>
  <c r="P180" i="55"/>
  <c r="O180" i="55"/>
  <c r="N180" i="55"/>
  <c r="J180" i="55"/>
  <c r="F180" i="55"/>
  <c r="B180" i="55"/>
  <c r="X179" i="55"/>
  <c r="W179" i="55"/>
  <c r="V179" i="55"/>
  <c r="U179" i="55"/>
  <c r="T179" i="55"/>
  <c r="R178" i="55"/>
  <c r="Q178" i="55"/>
  <c r="P178" i="55"/>
  <c r="O178" i="55"/>
  <c r="N178" i="55"/>
  <c r="J178" i="55"/>
  <c r="F178" i="55"/>
  <c r="B178" i="55"/>
  <c r="X177" i="55"/>
  <c r="W177" i="55"/>
  <c r="V177" i="55"/>
  <c r="U177" i="55"/>
  <c r="T177" i="55"/>
  <c r="R176" i="55"/>
  <c r="Q176" i="55"/>
  <c r="P176" i="55"/>
  <c r="O176" i="55"/>
  <c r="N176" i="55"/>
  <c r="J176" i="55"/>
  <c r="F176" i="55"/>
  <c r="B176" i="55"/>
  <c r="X175" i="55"/>
  <c r="W175" i="55"/>
  <c r="V175" i="55"/>
  <c r="U175" i="55"/>
  <c r="T175" i="55"/>
  <c r="R174" i="55"/>
  <c r="Q174" i="55"/>
  <c r="P174" i="55"/>
  <c r="O174" i="55"/>
  <c r="N174" i="55"/>
  <c r="J174" i="55"/>
  <c r="F174" i="55"/>
  <c r="B174" i="55"/>
  <c r="X172" i="55"/>
  <c r="W172" i="55"/>
  <c r="V172" i="55"/>
  <c r="U172" i="55"/>
  <c r="T172" i="55"/>
  <c r="R171" i="55"/>
  <c r="Q171" i="55"/>
  <c r="P171" i="55"/>
  <c r="O171" i="55"/>
  <c r="N171" i="55"/>
  <c r="J171" i="55"/>
  <c r="F171" i="55"/>
  <c r="B171" i="55"/>
  <c r="X170" i="55"/>
  <c r="W170" i="55"/>
  <c r="V170" i="55"/>
  <c r="U170" i="55"/>
  <c r="T170" i="55"/>
  <c r="R169" i="55"/>
  <c r="Q169" i="55"/>
  <c r="P169" i="55"/>
  <c r="O169" i="55"/>
  <c r="N169" i="55"/>
  <c r="J169" i="55"/>
  <c r="F169" i="55"/>
  <c r="B169" i="55"/>
  <c r="X168" i="55"/>
  <c r="W168" i="55"/>
  <c r="V168" i="55"/>
  <c r="U168" i="55"/>
  <c r="T168" i="55"/>
  <c r="R167" i="55"/>
  <c r="Q167" i="55"/>
  <c r="P167" i="55"/>
  <c r="O167" i="55"/>
  <c r="N167" i="55"/>
  <c r="J167" i="55"/>
  <c r="F167" i="55"/>
  <c r="B167" i="55"/>
  <c r="X166" i="55"/>
  <c r="W166" i="55"/>
  <c r="V166" i="55"/>
  <c r="U166" i="55"/>
  <c r="T166" i="55"/>
  <c r="R165" i="55"/>
  <c r="Q165" i="55"/>
  <c r="P165" i="55"/>
  <c r="O165" i="55"/>
  <c r="N165" i="55"/>
  <c r="J165" i="55"/>
  <c r="F165" i="55"/>
  <c r="B165" i="55"/>
  <c r="X163" i="55"/>
  <c r="W163" i="55"/>
  <c r="V163" i="55"/>
  <c r="U163" i="55"/>
  <c r="T163" i="55"/>
  <c r="R162" i="55"/>
  <c r="Q162" i="55"/>
  <c r="P162" i="55"/>
  <c r="O162" i="55"/>
  <c r="N162" i="55"/>
  <c r="J162" i="55"/>
  <c r="F162" i="55"/>
  <c r="B162" i="55"/>
  <c r="X161" i="55"/>
  <c r="W161" i="55"/>
  <c r="V161" i="55"/>
  <c r="U161" i="55"/>
  <c r="T161" i="55"/>
  <c r="R160" i="55"/>
  <c r="Q160" i="55"/>
  <c r="P160" i="55"/>
  <c r="O160" i="55"/>
  <c r="N160" i="55"/>
  <c r="J160" i="55"/>
  <c r="F160" i="55"/>
  <c r="B160" i="55"/>
  <c r="X159" i="55"/>
  <c r="W159" i="55"/>
  <c r="V159" i="55"/>
  <c r="U159" i="55"/>
  <c r="T159" i="55"/>
  <c r="R158" i="55"/>
  <c r="Q158" i="55"/>
  <c r="P158" i="55"/>
  <c r="O158" i="55"/>
  <c r="N158" i="55"/>
  <c r="J158" i="55"/>
  <c r="F158" i="55"/>
  <c r="B158" i="55"/>
  <c r="X157" i="55"/>
  <c r="W157" i="55"/>
  <c r="V157" i="55"/>
  <c r="U157" i="55"/>
  <c r="T157" i="55"/>
  <c r="R156" i="55"/>
  <c r="Q156" i="55"/>
  <c r="P156" i="55"/>
  <c r="O156" i="55"/>
  <c r="N156" i="55"/>
  <c r="J156" i="55"/>
  <c r="F156" i="55"/>
  <c r="B156" i="55"/>
  <c r="X154" i="55"/>
  <c r="W154" i="55"/>
  <c r="V154" i="55"/>
  <c r="U154" i="55"/>
  <c r="T154" i="55"/>
  <c r="R153" i="55"/>
  <c r="Q153" i="55"/>
  <c r="P153" i="55"/>
  <c r="O153" i="55"/>
  <c r="N153" i="55"/>
  <c r="J153" i="55"/>
  <c r="F153" i="55"/>
  <c r="B153" i="55"/>
  <c r="X152" i="55"/>
  <c r="W152" i="55"/>
  <c r="V152" i="55"/>
  <c r="U152" i="55"/>
  <c r="T152" i="55"/>
  <c r="R151" i="55"/>
  <c r="Q151" i="55"/>
  <c r="P151" i="55"/>
  <c r="O151" i="55"/>
  <c r="N151" i="55"/>
  <c r="J151" i="55"/>
  <c r="F151" i="55"/>
  <c r="B151" i="55"/>
  <c r="X150" i="55"/>
  <c r="W150" i="55"/>
  <c r="V150" i="55"/>
  <c r="U150" i="55"/>
  <c r="T150" i="55"/>
  <c r="R149" i="55"/>
  <c r="Q149" i="55"/>
  <c r="P149" i="55"/>
  <c r="O149" i="55"/>
  <c r="N149" i="55"/>
  <c r="J149" i="55"/>
  <c r="F149" i="55"/>
  <c r="B149" i="55"/>
  <c r="X148" i="55"/>
  <c r="W148" i="55"/>
  <c r="V148" i="55"/>
  <c r="U148" i="55"/>
  <c r="T148" i="55"/>
  <c r="R147" i="55"/>
  <c r="Q147" i="55"/>
  <c r="P147" i="55"/>
  <c r="O147" i="55"/>
  <c r="N147" i="55"/>
  <c r="J147" i="55"/>
  <c r="F147" i="55"/>
  <c r="B147" i="55"/>
  <c r="X145" i="55"/>
  <c r="W145" i="55"/>
  <c r="V145" i="55"/>
  <c r="U145" i="55"/>
  <c r="T145" i="55"/>
  <c r="R144" i="55"/>
  <c r="Q144" i="55"/>
  <c r="P144" i="55"/>
  <c r="O144" i="55"/>
  <c r="N144" i="55"/>
  <c r="J144" i="55"/>
  <c r="F144" i="55"/>
  <c r="B144" i="55"/>
  <c r="X143" i="55"/>
  <c r="W143" i="55"/>
  <c r="V143" i="55"/>
  <c r="U143" i="55"/>
  <c r="T143" i="55"/>
  <c r="R142" i="55"/>
  <c r="Q142" i="55"/>
  <c r="P142" i="55"/>
  <c r="O142" i="55"/>
  <c r="N142" i="55"/>
  <c r="J142" i="55"/>
  <c r="F142" i="55"/>
  <c r="B142" i="55"/>
  <c r="X141" i="55"/>
  <c r="W141" i="55"/>
  <c r="V141" i="55"/>
  <c r="U141" i="55"/>
  <c r="T141" i="55"/>
  <c r="R140" i="55"/>
  <c r="Q140" i="55"/>
  <c r="P140" i="55"/>
  <c r="O140" i="55"/>
  <c r="N140" i="55"/>
  <c r="J140" i="55"/>
  <c r="F140" i="55"/>
  <c r="B140" i="55"/>
  <c r="X139" i="55"/>
  <c r="W139" i="55"/>
  <c r="V139" i="55"/>
  <c r="U139" i="55"/>
  <c r="T139" i="55"/>
  <c r="R138" i="55"/>
  <c r="Q138" i="55"/>
  <c r="P138" i="55"/>
  <c r="O138" i="55"/>
  <c r="N138" i="55"/>
  <c r="J138" i="55"/>
  <c r="F138" i="55"/>
  <c r="B138" i="55"/>
  <c r="X136" i="55"/>
  <c r="W136" i="55"/>
  <c r="V136" i="55"/>
  <c r="U136" i="55"/>
  <c r="T136" i="55"/>
  <c r="R135" i="55"/>
  <c r="Q135" i="55"/>
  <c r="P135" i="55"/>
  <c r="O135" i="55"/>
  <c r="N135" i="55"/>
  <c r="J135" i="55"/>
  <c r="F135" i="55"/>
  <c r="B135" i="55"/>
  <c r="X134" i="55"/>
  <c r="W134" i="55"/>
  <c r="V134" i="55"/>
  <c r="U134" i="55"/>
  <c r="T134" i="55"/>
  <c r="R133" i="55"/>
  <c r="Q133" i="55"/>
  <c r="P133" i="55"/>
  <c r="O133" i="55"/>
  <c r="N133" i="55"/>
  <c r="J133" i="55"/>
  <c r="F133" i="55"/>
  <c r="B133" i="55"/>
  <c r="X132" i="55"/>
  <c r="W132" i="55"/>
  <c r="V132" i="55"/>
  <c r="U132" i="55"/>
  <c r="T132" i="55"/>
  <c r="R131" i="55"/>
  <c r="Q131" i="55"/>
  <c r="P131" i="55"/>
  <c r="O131" i="55"/>
  <c r="N131" i="55"/>
  <c r="J131" i="55"/>
  <c r="F131" i="55"/>
  <c r="B131" i="55"/>
  <c r="X130" i="55"/>
  <c r="W130" i="55"/>
  <c r="V130" i="55"/>
  <c r="U130" i="55"/>
  <c r="T130" i="55"/>
  <c r="R129" i="55"/>
  <c r="Q129" i="55"/>
  <c r="P129" i="55"/>
  <c r="O129" i="55"/>
  <c r="N129" i="55"/>
  <c r="J129" i="55"/>
  <c r="F129" i="55"/>
  <c r="B129" i="55"/>
  <c r="X127" i="55"/>
  <c r="W127" i="55"/>
  <c r="V127" i="55"/>
  <c r="U127" i="55"/>
  <c r="T127" i="55"/>
  <c r="R126" i="55"/>
  <c r="Q126" i="55"/>
  <c r="P126" i="55"/>
  <c r="O126" i="55"/>
  <c r="N126" i="55"/>
  <c r="J126" i="55"/>
  <c r="F126" i="55"/>
  <c r="B126" i="55"/>
  <c r="X125" i="55"/>
  <c r="W125" i="55"/>
  <c r="V125" i="55"/>
  <c r="U125" i="55"/>
  <c r="T125" i="55"/>
  <c r="R124" i="55"/>
  <c r="Q124" i="55"/>
  <c r="P124" i="55"/>
  <c r="O124" i="55"/>
  <c r="N124" i="55"/>
  <c r="J124" i="55"/>
  <c r="F124" i="55"/>
  <c r="B124" i="55"/>
  <c r="X123" i="55"/>
  <c r="W123" i="55"/>
  <c r="V123" i="55"/>
  <c r="U123" i="55"/>
  <c r="T123" i="55"/>
  <c r="R122" i="55"/>
  <c r="Q122" i="55"/>
  <c r="P122" i="55"/>
  <c r="O122" i="55"/>
  <c r="N122" i="55"/>
  <c r="J122" i="55"/>
  <c r="F122" i="55"/>
  <c r="B122" i="55"/>
  <c r="X121" i="55"/>
  <c r="W121" i="55"/>
  <c r="V121" i="55"/>
  <c r="U121" i="55"/>
  <c r="T121" i="55"/>
  <c r="R120" i="55"/>
  <c r="Q120" i="55"/>
  <c r="P120" i="55"/>
  <c r="O120" i="55"/>
  <c r="N120" i="55"/>
  <c r="J120" i="55"/>
  <c r="F120" i="55"/>
  <c r="B120" i="55"/>
  <c r="X118" i="55"/>
  <c r="W118" i="55"/>
  <c r="V118" i="55"/>
  <c r="U118" i="55"/>
  <c r="T118" i="55"/>
  <c r="R117" i="55"/>
  <c r="Q117" i="55"/>
  <c r="P117" i="55"/>
  <c r="O117" i="55"/>
  <c r="N117" i="55"/>
  <c r="J117" i="55"/>
  <c r="F117" i="55"/>
  <c r="B117" i="55"/>
  <c r="X116" i="55"/>
  <c r="W116" i="55"/>
  <c r="V116" i="55"/>
  <c r="U116" i="55"/>
  <c r="T116" i="55"/>
  <c r="R115" i="55"/>
  <c r="Q115" i="55"/>
  <c r="P115" i="55"/>
  <c r="O115" i="55"/>
  <c r="N115" i="55"/>
  <c r="J115" i="55"/>
  <c r="F115" i="55"/>
  <c r="B115" i="55"/>
  <c r="X114" i="55"/>
  <c r="W114" i="55"/>
  <c r="V114" i="55"/>
  <c r="U114" i="55"/>
  <c r="T114" i="55"/>
  <c r="R113" i="55"/>
  <c r="Q113" i="55"/>
  <c r="P113" i="55"/>
  <c r="O113" i="55"/>
  <c r="N113" i="55"/>
  <c r="J113" i="55"/>
  <c r="F113" i="55"/>
  <c r="B113" i="55"/>
  <c r="X112" i="55"/>
  <c r="W112" i="55"/>
  <c r="V112" i="55"/>
  <c r="U112" i="55"/>
  <c r="T112" i="55"/>
  <c r="R111" i="55"/>
  <c r="Q111" i="55"/>
  <c r="P111" i="55"/>
  <c r="O111" i="55"/>
  <c r="N111" i="55"/>
  <c r="J111" i="55"/>
  <c r="F111" i="55"/>
  <c r="B111" i="55"/>
  <c r="X109" i="55"/>
  <c r="W109" i="55"/>
  <c r="V109" i="55"/>
  <c r="U109" i="55"/>
  <c r="T109" i="55"/>
  <c r="R108" i="55"/>
  <c r="Q108" i="55"/>
  <c r="P108" i="55"/>
  <c r="O108" i="55"/>
  <c r="N108" i="55"/>
  <c r="J108" i="55"/>
  <c r="F108" i="55"/>
  <c r="B108" i="55"/>
  <c r="X107" i="55"/>
  <c r="W107" i="55"/>
  <c r="V107" i="55"/>
  <c r="U107" i="55"/>
  <c r="T107" i="55"/>
  <c r="R106" i="55"/>
  <c r="Q106" i="55"/>
  <c r="P106" i="55"/>
  <c r="O106" i="55"/>
  <c r="N106" i="55"/>
  <c r="J106" i="55"/>
  <c r="F106" i="55"/>
  <c r="B106" i="55"/>
  <c r="X105" i="55"/>
  <c r="W105" i="55"/>
  <c r="V105" i="55"/>
  <c r="U105" i="55"/>
  <c r="T105" i="55"/>
  <c r="R104" i="55"/>
  <c r="Q104" i="55"/>
  <c r="P104" i="55"/>
  <c r="O104" i="55"/>
  <c r="N104" i="55"/>
  <c r="J104" i="55"/>
  <c r="F104" i="55"/>
  <c r="B104" i="55"/>
  <c r="X103" i="55"/>
  <c r="W103" i="55"/>
  <c r="V103" i="55"/>
  <c r="U103" i="55"/>
  <c r="T103" i="55"/>
  <c r="R102" i="55"/>
  <c r="Q102" i="55"/>
  <c r="P102" i="55"/>
  <c r="O102" i="55"/>
  <c r="N102" i="55"/>
  <c r="J102" i="55"/>
  <c r="F102" i="55"/>
  <c r="B102" i="55"/>
  <c r="X100" i="55"/>
  <c r="W100" i="55"/>
  <c r="V100" i="55"/>
  <c r="U100" i="55"/>
  <c r="T100" i="55"/>
  <c r="R99" i="55"/>
  <c r="Q99" i="55"/>
  <c r="P99" i="55"/>
  <c r="O99" i="55"/>
  <c r="N99" i="55"/>
  <c r="J99" i="55"/>
  <c r="F99" i="55"/>
  <c r="B99" i="55"/>
  <c r="X98" i="55"/>
  <c r="W98" i="55"/>
  <c r="V98" i="55"/>
  <c r="U98" i="55"/>
  <c r="T98" i="55"/>
  <c r="R97" i="55"/>
  <c r="Q97" i="55"/>
  <c r="P97" i="55"/>
  <c r="O97" i="55"/>
  <c r="N97" i="55"/>
  <c r="J97" i="55"/>
  <c r="F97" i="55"/>
  <c r="B97" i="55"/>
  <c r="X96" i="55"/>
  <c r="W96" i="55"/>
  <c r="V96" i="55"/>
  <c r="U96" i="55"/>
  <c r="T96" i="55"/>
  <c r="R95" i="55"/>
  <c r="Q95" i="55"/>
  <c r="P95" i="55"/>
  <c r="O95" i="55"/>
  <c r="N95" i="55"/>
  <c r="J95" i="55"/>
  <c r="F95" i="55"/>
  <c r="B95" i="55"/>
  <c r="X94" i="55"/>
  <c r="W94" i="55"/>
  <c r="V94" i="55"/>
  <c r="U94" i="55"/>
  <c r="T94" i="55"/>
  <c r="R93" i="55"/>
  <c r="Q93" i="55"/>
  <c r="P93" i="55"/>
  <c r="O93" i="55"/>
  <c r="N93" i="55"/>
  <c r="J93" i="55"/>
  <c r="F93" i="55"/>
  <c r="B93" i="55"/>
  <c r="X91" i="55"/>
  <c r="W91" i="55"/>
  <c r="V91" i="55"/>
  <c r="U91" i="55"/>
  <c r="T91" i="55"/>
  <c r="R90" i="55"/>
  <c r="Q90" i="55"/>
  <c r="P90" i="55"/>
  <c r="O90" i="55"/>
  <c r="N90" i="55"/>
  <c r="J90" i="55"/>
  <c r="F90" i="55"/>
  <c r="B90" i="55"/>
  <c r="X89" i="55"/>
  <c r="W89" i="55"/>
  <c r="V89" i="55"/>
  <c r="U89" i="55"/>
  <c r="T89" i="55"/>
  <c r="R88" i="55"/>
  <c r="Q88" i="55"/>
  <c r="P88" i="55"/>
  <c r="O88" i="55"/>
  <c r="N88" i="55"/>
  <c r="J88" i="55"/>
  <c r="F88" i="55"/>
  <c r="B88" i="55"/>
  <c r="X87" i="55"/>
  <c r="W87" i="55"/>
  <c r="V87" i="55"/>
  <c r="U87" i="55"/>
  <c r="T87" i="55"/>
  <c r="R86" i="55"/>
  <c r="Q86" i="55"/>
  <c r="P86" i="55"/>
  <c r="O86" i="55"/>
  <c r="N86" i="55"/>
  <c r="J86" i="55"/>
  <c r="F86" i="55"/>
  <c r="B86" i="55"/>
  <c r="X85" i="55"/>
  <c r="W85" i="55"/>
  <c r="V85" i="55"/>
  <c r="U85" i="55"/>
  <c r="T85" i="55"/>
  <c r="R84" i="55"/>
  <c r="Q84" i="55"/>
  <c r="P84" i="55"/>
  <c r="O84" i="55"/>
  <c r="N84" i="55"/>
  <c r="J84" i="55"/>
  <c r="F84" i="55"/>
  <c r="B84" i="55"/>
  <c r="X82" i="55"/>
  <c r="W82" i="55"/>
  <c r="V82" i="55"/>
  <c r="U82" i="55"/>
  <c r="T82" i="55"/>
  <c r="R81" i="55"/>
  <c r="Q81" i="55"/>
  <c r="P81" i="55"/>
  <c r="O81" i="55"/>
  <c r="N81" i="55"/>
  <c r="J81" i="55"/>
  <c r="F81" i="55"/>
  <c r="B81" i="55"/>
  <c r="X80" i="55"/>
  <c r="W80" i="55"/>
  <c r="V80" i="55"/>
  <c r="U80" i="55"/>
  <c r="T80" i="55"/>
  <c r="R79" i="55"/>
  <c r="Q79" i="55"/>
  <c r="P79" i="55"/>
  <c r="O79" i="55"/>
  <c r="N79" i="55"/>
  <c r="J79" i="55"/>
  <c r="F79" i="55"/>
  <c r="B79" i="55"/>
  <c r="X78" i="55"/>
  <c r="W78" i="55"/>
  <c r="V78" i="55"/>
  <c r="U78" i="55"/>
  <c r="T78" i="55"/>
  <c r="R77" i="55"/>
  <c r="Q77" i="55"/>
  <c r="P77" i="55"/>
  <c r="O77" i="55"/>
  <c r="N77" i="55"/>
  <c r="J77" i="55"/>
  <c r="F77" i="55"/>
  <c r="B77" i="55"/>
  <c r="X76" i="55"/>
  <c r="W76" i="55"/>
  <c r="V76" i="55"/>
  <c r="U76" i="55"/>
  <c r="T76" i="55"/>
  <c r="R75" i="55"/>
  <c r="Q75" i="55"/>
  <c r="P75" i="55"/>
  <c r="O75" i="55"/>
  <c r="N75" i="55"/>
  <c r="J75" i="55"/>
  <c r="F75" i="55"/>
  <c r="B75" i="55"/>
  <c r="X73" i="55"/>
  <c r="W73" i="55"/>
  <c r="V73" i="55"/>
  <c r="U73" i="55"/>
  <c r="T73" i="55"/>
  <c r="R72" i="55"/>
  <c r="Q72" i="55"/>
  <c r="P72" i="55"/>
  <c r="O72" i="55"/>
  <c r="N72" i="55"/>
  <c r="J72" i="55"/>
  <c r="F72" i="55"/>
  <c r="B72" i="55"/>
  <c r="X71" i="55"/>
  <c r="W71" i="55"/>
  <c r="V71" i="55"/>
  <c r="U71" i="55"/>
  <c r="T71" i="55"/>
  <c r="R70" i="55"/>
  <c r="Q70" i="55"/>
  <c r="P70" i="55"/>
  <c r="O70" i="55"/>
  <c r="N70" i="55"/>
  <c r="J70" i="55"/>
  <c r="F70" i="55"/>
  <c r="B70" i="55"/>
  <c r="X69" i="55"/>
  <c r="W69" i="55"/>
  <c r="V69" i="55"/>
  <c r="U69" i="55"/>
  <c r="T69" i="55"/>
  <c r="R68" i="55"/>
  <c r="Q68" i="55"/>
  <c r="P68" i="55"/>
  <c r="O68" i="55"/>
  <c r="N68" i="55"/>
  <c r="J68" i="55"/>
  <c r="F68" i="55"/>
  <c r="B68" i="55"/>
  <c r="X67" i="55"/>
  <c r="W67" i="55"/>
  <c r="V67" i="55"/>
  <c r="U67" i="55"/>
  <c r="T67" i="55"/>
  <c r="R66" i="55"/>
  <c r="Q66" i="55"/>
  <c r="P66" i="55"/>
  <c r="O66" i="55"/>
  <c r="N66" i="55"/>
  <c r="J66" i="55"/>
  <c r="F66" i="55"/>
  <c r="B66" i="55"/>
  <c r="X64" i="55"/>
  <c r="W64" i="55"/>
  <c r="V64" i="55"/>
  <c r="U64" i="55"/>
  <c r="T64" i="55"/>
  <c r="R63" i="55"/>
  <c r="Q63" i="55"/>
  <c r="P63" i="55"/>
  <c r="O63" i="55"/>
  <c r="N63" i="55"/>
  <c r="J63" i="55"/>
  <c r="F63" i="55"/>
  <c r="B63" i="55"/>
  <c r="X62" i="55"/>
  <c r="W62" i="55"/>
  <c r="V62" i="55"/>
  <c r="U62" i="55"/>
  <c r="T62" i="55"/>
  <c r="R61" i="55"/>
  <c r="Q61" i="55"/>
  <c r="P61" i="55"/>
  <c r="O61" i="55"/>
  <c r="N61" i="55"/>
  <c r="J61" i="55"/>
  <c r="F61" i="55"/>
  <c r="B61" i="55"/>
  <c r="X60" i="55"/>
  <c r="W60" i="55"/>
  <c r="V60" i="55"/>
  <c r="U60" i="55"/>
  <c r="T60" i="55"/>
  <c r="R59" i="55"/>
  <c r="Q59" i="55"/>
  <c r="P59" i="55"/>
  <c r="O59" i="55"/>
  <c r="N59" i="55"/>
  <c r="J59" i="55"/>
  <c r="F59" i="55"/>
  <c r="B59" i="55"/>
  <c r="X58" i="55"/>
  <c r="W58" i="55"/>
  <c r="V58" i="55"/>
  <c r="U58" i="55"/>
  <c r="T58" i="55"/>
  <c r="R57" i="55"/>
  <c r="Q57" i="55"/>
  <c r="P57" i="55"/>
  <c r="O57" i="55"/>
  <c r="N57" i="55"/>
  <c r="J57" i="55"/>
  <c r="F57" i="55"/>
  <c r="B57" i="55"/>
  <c r="X55" i="55"/>
  <c r="W55" i="55"/>
  <c r="V55" i="55"/>
  <c r="U55" i="55"/>
  <c r="T55" i="55"/>
  <c r="R54" i="55"/>
  <c r="Q54" i="55"/>
  <c r="P54" i="55"/>
  <c r="O54" i="55"/>
  <c r="N54" i="55"/>
  <c r="J54" i="55"/>
  <c r="F54" i="55"/>
  <c r="B54" i="55"/>
  <c r="X53" i="55"/>
  <c r="W53" i="55"/>
  <c r="V53" i="55"/>
  <c r="U53" i="55"/>
  <c r="T53" i="55"/>
  <c r="R52" i="55"/>
  <c r="Q52" i="55"/>
  <c r="P52" i="55"/>
  <c r="O52" i="55"/>
  <c r="N52" i="55"/>
  <c r="J52" i="55"/>
  <c r="F52" i="55"/>
  <c r="B52" i="55"/>
  <c r="X51" i="55"/>
  <c r="W51" i="55"/>
  <c r="V51" i="55"/>
  <c r="U51" i="55"/>
  <c r="T51" i="55"/>
  <c r="R50" i="55"/>
  <c r="Q50" i="55"/>
  <c r="P50" i="55"/>
  <c r="O50" i="55"/>
  <c r="N50" i="55"/>
  <c r="J50" i="55"/>
  <c r="F50" i="55"/>
  <c r="B50" i="55"/>
  <c r="X49" i="55"/>
  <c r="W49" i="55"/>
  <c r="V49" i="55"/>
  <c r="U49" i="55"/>
  <c r="T49" i="55"/>
  <c r="R48" i="55"/>
  <c r="Q48" i="55"/>
  <c r="P48" i="55"/>
  <c r="O48" i="55"/>
  <c r="N48" i="55"/>
  <c r="J48" i="55"/>
  <c r="F48" i="55"/>
  <c r="B48" i="55"/>
  <c r="X46" i="55"/>
  <c r="W46" i="55"/>
  <c r="V46" i="55"/>
  <c r="U46" i="55"/>
  <c r="T46" i="55"/>
  <c r="R45" i="55"/>
  <c r="Q45" i="55"/>
  <c r="P45" i="55"/>
  <c r="O45" i="55"/>
  <c r="N45" i="55"/>
  <c r="J45" i="55"/>
  <c r="F45" i="55"/>
  <c r="B45" i="55"/>
  <c r="X44" i="55"/>
  <c r="W44" i="55"/>
  <c r="V44" i="55"/>
  <c r="U44" i="55"/>
  <c r="T44" i="55"/>
  <c r="R43" i="55"/>
  <c r="Q43" i="55"/>
  <c r="P43" i="55"/>
  <c r="O43" i="55"/>
  <c r="N43" i="55"/>
  <c r="J43" i="55"/>
  <c r="F43" i="55"/>
  <c r="B43" i="55"/>
  <c r="X42" i="55"/>
  <c r="W42" i="55"/>
  <c r="V42" i="55"/>
  <c r="U42" i="55"/>
  <c r="T42" i="55"/>
  <c r="R41" i="55"/>
  <c r="Q41" i="55"/>
  <c r="P41" i="55"/>
  <c r="O41" i="55"/>
  <c r="N41" i="55"/>
  <c r="J41" i="55"/>
  <c r="F41" i="55"/>
  <c r="B41" i="55"/>
  <c r="X40" i="55"/>
  <c r="W40" i="55"/>
  <c r="V40" i="55"/>
  <c r="U40" i="55"/>
  <c r="T40" i="55"/>
  <c r="R39" i="55"/>
  <c r="Q39" i="55"/>
  <c r="P39" i="55"/>
  <c r="O39" i="55"/>
  <c r="N39" i="55"/>
  <c r="J39" i="55"/>
  <c r="F39" i="55"/>
  <c r="B39" i="55"/>
  <c r="X37" i="55"/>
  <c r="W37" i="55"/>
  <c r="V37" i="55"/>
  <c r="U37" i="55"/>
  <c r="T37" i="55"/>
  <c r="R36" i="55"/>
  <c r="Q36" i="55"/>
  <c r="P36" i="55"/>
  <c r="O36" i="55"/>
  <c r="N36" i="55"/>
  <c r="J36" i="55"/>
  <c r="F36" i="55"/>
  <c r="B36" i="55"/>
  <c r="X35" i="55"/>
  <c r="W35" i="55"/>
  <c r="V35" i="55"/>
  <c r="U35" i="55"/>
  <c r="T35" i="55"/>
  <c r="R34" i="55"/>
  <c r="Q34" i="55"/>
  <c r="P34" i="55"/>
  <c r="O34" i="55"/>
  <c r="N34" i="55"/>
  <c r="J34" i="55"/>
  <c r="F34" i="55"/>
  <c r="B34" i="55"/>
  <c r="X33" i="55"/>
  <c r="W33" i="55"/>
  <c r="V33" i="55"/>
  <c r="U33" i="55"/>
  <c r="T33" i="55"/>
  <c r="R32" i="55"/>
  <c r="Q32" i="55"/>
  <c r="P32" i="55"/>
  <c r="O32" i="55"/>
  <c r="N32" i="55"/>
  <c r="J32" i="55"/>
  <c r="F32" i="55"/>
  <c r="B32" i="55"/>
  <c r="X31" i="55"/>
  <c r="W31" i="55"/>
  <c r="V31" i="55"/>
  <c r="U31" i="55"/>
  <c r="T31" i="55"/>
  <c r="R30" i="55"/>
  <c r="Q30" i="55"/>
  <c r="P30" i="55"/>
  <c r="O30" i="55"/>
  <c r="N30" i="55"/>
  <c r="J30" i="55"/>
  <c r="F30" i="55"/>
  <c r="B30" i="55"/>
  <c r="X28" i="55"/>
  <c r="W28" i="55"/>
  <c r="V28" i="55"/>
  <c r="U28" i="55"/>
  <c r="T28" i="55"/>
  <c r="R27" i="55"/>
  <c r="Q27" i="55"/>
  <c r="P27" i="55"/>
  <c r="O27" i="55"/>
  <c r="N27" i="55"/>
  <c r="J27" i="55"/>
  <c r="F27" i="55"/>
  <c r="B27" i="55"/>
  <c r="X26" i="55"/>
  <c r="W26" i="55"/>
  <c r="V26" i="55"/>
  <c r="U26" i="55"/>
  <c r="T26" i="55"/>
  <c r="Q25" i="55"/>
  <c r="P25" i="55"/>
  <c r="X24" i="55"/>
  <c r="W24" i="55"/>
  <c r="V24" i="55"/>
  <c r="U24" i="55"/>
  <c r="T24" i="55"/>
  <c r="R23" i="55"/>
  <c r="Q23" i="55"/>
  <c r="P23" i="55"/>
  <c r="O23" i="55"/>
  <c r="N23" i="55"/>
  <c r="J23" i="55"/>
  <c r="F21" i="55"/>
  <c r="B23" i="55"/>
  <c r="B21" i="55"/>
  <c r="X22" i="55"/>
  <c r="W22" i="55"/>
  <c r="V22" i="55"/>
  <c r="U22" i="55"/>
  <c r="T22" i="55"/>
  <c r="R21" i="55"/>
  <c r="Q21" i="55"/>
  <c r="P21" i="55"/>
  <c r="O21" i="55"/>
  <c r="N21" i="55"/>
  <c r="J21" i="55"/>
  <c r="P3" i="55"/>
  <c r="O3" i="55"/>
  <c r="N3" i="55"/>
  <c r="V5" i="55"/>
  <c r="Q5" i="55"/>
  <c r="U4" i="55"/>
  <c r="U3" i="55"/>
  <c r="D6" i="55"/>
  <c r="O4" i="55"/>
  <c r="C5" i="55"/>
  <c r="K4" i="55"/>
  <c r="C4" i="55"/>
  <c r="D3" i="55"/>
  <c r="K56" i="17"/>
  <c r="F42" i="54" s="1"/>
  <c r="G109" i="54" s="1"/>
  <c r="C7" i="54"/>
  <c r="J244" i="52"/>
  <c r="I244" i="52"/>
  <c r="J228" i="52"/>
  <c r="I228" i="52"/>
  <c r="J212" i="52"/>
  <c r="I212" i="52"/>
  <c r="J196" i="52"/>
  <c r="I196" i="52"/>
  <c r="J180" i="52"/>
  <c r="I180" i="52"/>
  <c r="J164" i="52"/>
  <c r="I164" i="52"/>
  <c r="J148" i="52"/>
  <c r="I148" i="52"/>
  <c r="J132" i="52"/>
  <c r="I132" i="52"/>
  <c r="J116" i="52"/>
  <c r="I116" i="52"/>
  <c r="J100" i="52"/>
  <c r="I100" i="52"/>
  <c r="J84" i="52"/>
  <c r="I84" i="52"/>
  <c r="J68" i="52"/>
  <c r="I68" i="52"/>
  <c r="J52" i="52"/>
  <c r="I52" i="52"/>
  <c r="J36" i="52"/>
  <c r="I36" i="52"/>
  <c r="J20" i="52"/>
  <c r="I20" i="52"/>
  <c r="G21" i="54"/>
  <c r="F21" i="54"/>
  <c r="K10" i="55"/>
  <c r="F12" i="54"/>
  <c r="G16" i="21"/>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K57" i="17"/>
  <c r="S6" i="17"/>
  <c r="K26" i="20"/>
  <c r="R27" i="16"/>
  <c r="J30" i="16"/>
  <c r="J29" i="16"/>
  <c r="K16" i="14"/>
  <c r="F38" i="54" s="1"/>
  <c r="X78" i="9"/>
  <c r="A78" i="9" s="1"/>
  <c r="A297" i="55" s="1"/>
  <c r="X75" i="9"/>
  <c r="A75" i="9" s="1"/>
  <c r="A295" i="55" s="1"/>
  <c r="X72" i="9"/>
  <c r="A72" i="9" s="1"/>
  <c r="A293" i="55" s="1"/>
  <c r="X69" i="9"/>
  <c r="A69" i="9" s="1"/>
  <c r="A291" i="55" s="1"/>
  <c r="X66" i="9"/>
  <c r="A66" i="9" s="1"/>
  <c r="A289" i="55" s="1"/>
  <c r="X63" i="9"/>
  <c r="A63" i="9"/>
  <c r="A287" i="55" s="1"/>
  <c r="X60" i="9"/>
  <c r="A60" i="9" s="1"/>
  <c r="A285" i="55" s="1"/>
  <c r="X57" i="9"/>
  <c r="A57" i="9" s="1"/>
  <c r="A283" i="55" s="1"/>
  <c r="X54" i="9"/>
  <c r="A54" i="9" s="1"/>
  <c r="A281" i="55" s="1"/>
  <c r="X51" i="9"/>
  <c r="A51" i="9" s="1"/>
  <c r="A279" i="55" s="1"/>
  <c r="X48" i="9"/>
  <c r="A48" i="9" s="1"/>
  <c r="A277" i="55"/>
  <c r="X45" i="9"/>
  <c r="A45" i="9" s="1"/>
  <c r="A275" i="55" s="1"/>
  <c r="X42" i="9"/>
  <c r="A42" i="9" s="1"/>
  <c r="A273" i="55" s="1"/>
  <c r="X39" i="9"/>
  <c r="A39" i="9" s="1"/>
  <c r="A271" i="55" s="1"/>
  <c r="X36" i="9"/>
  <c r="A36" i="9" s="1"/>
  <c r="A269" i="55" s="1"/>
  <c r="X33" i="9"/>
  <c r="A33" i="9"/>
  <c r="A267" i="55" s="1"/>
  <c r="X30" i="9"/>
  <c r="A30" i="9" s="1"/>
  <c r="A265" i="55" s="1"/>
  <c r="X27" i="9"/>
  <c r="A27" i="9" s="1"/>
  <c r="A263" i="55" s="1"/>
  <c r="X24" i="9"/>
  <c r="A24" i="9" s="1"/>
  <c r="A261" i="55" s="1"/>
  <c r="X21" i="9"/>
  <c r="A21" i="9" s="1"/>
  <c r="A259" i="55" s="1"/>
  <c r="X18" i="9"/>
  <c r="A18" i="9"/>
  <c r="A257" i="55" s="1"/>
  <c r="X15" i="9"/>
  <c r="A15" i="9" s="1"/>
  <c r="A255" i="55" s="1"/>
  <c r="X12" i="9"/>
  <c r="A12" i="9" s="1"/>
  <c r="A253" i="55" s="1"/>
  <c r="X9" i="9"/>
  <c r="A9" i="9"/>
  <c r="A251" i="55" s="1"/>
  <c r="R27" i="13"/>
  <c r="G37" i="54" s="1"/>
  <c r="A496" i="11"/>
  <c r="A499" i="55" s="1"/>
  <c r="A481" i="11"/>
  <c r="A493" i="55" s="1"/>
  <c r="A476" i="11"/>
  <c r="A491" i="55" s="1"/>
  <c r="A461" i="11"/>
  <c r="A456" i="11"/>
  <c r="A483" i="55" s="1"/>
  <c r="A451" i="11"/>
  <c r="A481" i="55" s="1"/>
  <c r="A431" i="11"/>
  <c r="A473" i="55" s="1"/>
  <c r="A426" i="11"/>
  <c r="A471" i="55" s="1"/>
  <c r="A411" i="11"/>
  <c r="A465" i="55" s="1"/>
  <c r="A406" i="11"/>
  <c r="A463" i="55" s="1"/>
  <c r="A386" i="11"/>
  <c r="A455" i="55" s="1"/>
  <c r="A381" i="11"/>
  <c r="A453" i="55" s="1"/>
  <c r="A371" i="11"/>
  <c r="A449" i="55" s="1"/>
  <c r="A356" i="11"/>
  <c r="A443" i="55" s="1"/>
  <c r="A351" i="11"/>
  <c r="A441" i="55" s="1"/>
  <c r="A331" i="11"/>
  <c r="A433" i="55" s="1"/>
  <c r="A321" i="11"/>
  <c r="A429" i="55" s="1"/>
  <c r="A316" i="11"/>
  <c r="A427" i="55" s="1"/>
  <c r="A301" i="11"/>
  <c r="A421" i="55" s="1"/>
  <c r="A276" i="11"/>
  <c r="A411" i="55" s="1"/>
  <c r="A241" i="11"/>
  <c r="A397" i="55" s="1"/>
  <c r="A231" i="11"/>
  <c r="A393" i="55" s="1"/>
  <c r="A221" i="11"/>
  <c r="A389" i="55" s="1"/>
  <c r="A216" i="11"/>
  <c r="A387" i="55" s="1"/>
  <c r="A206" i="11"/>
  <c r="A383" i="55"/>
  <c r="A201" i="11"/>
  <c r="A381" i="55" s="1"/>
  <c r="A186" i="11"/>
  <c r="A375" i="55" s="1"/>
  <c r="A176" i="11"/>
  <c r="A371" i="55"/>
  <c r="A166" i="11"/>
  <c r="A367" i="55" s="1"/>
  <c r="A156" i="11"/>
  <c r="A363" i="55" s="1"/>
  <c r="A136" i="11"/>
  <c r="A355" i="55" s="1"/>
  <c r="A126" i="11"/>
  <c r="A351" i="55" s="1"/>
  <c r="A116" i="11"/>
  <c r="A347" i="55" s="1"/>
  <c r="A96" i="11"/>
  <c r="A339" i="55" s="1"/>
  <c r="A76" i="11"/>
  <c r="A331" i="55" s="1"/>
  <c r="A56" i="11"/>
  <c r="A323" i="55" s="1"/>
  <c r="A46" i="11"/>
  <c r="A319" i="55" s="1"/>
  <c r="A36" i="11"/>
  <c r="A315" i="55" s="1"/>
  <c r="A26" i="11"/>
  <c r="A311" i="55" s="1"/>
  <c r="X11" i="11"/>
  <c r="X6" i="11"/>
  <c r="W6" i="11" s="1"/>
  <c r="A485" i="55"/>
  <c r="A501" i="11"/>
  <c r="A501" i="55" s="1"/>
  <c r="S78" i="9"/>
  <c r="Y298" i="55" s="1"/>
  <c r="S75" i="9"/>
  <c r="Y296" i="55" s="1"/>
  <c r="R75" i="9"/>
  <c r="S69" i="9"/>
  <c r="Y292" i="55" s="1"/>
  <c r="R69" i="9"/>
  <c r="S66" i="9"/>
  <c r="Y290" i="55" s="1"/>
  <c r="R66" i="9"/>
  <c r="S63" i="9"/>
  <c r="Y288" i="55" s="1"/>
  <c r="R63" i="9"/>
  <c r="S60" i="9"/>
  <c r="Y286" i="55" s="1"/>
  <c r="R60" i="9"/>
  <c r="S57" i="9"/>
  <c r="Y284" i="55" s="1"/>
  <c r="R57" i="9"/>
  <c r="S54" i="9"/>
  <c r="Y282" i="55" s="1"/>
  <c r="R54" i="9"/>
  <c r="S51" i="9"/>
  <c r="Y280" i="55" s="1"/>
  <c r="R51" i="9"/>
  <c r="S48" i="9"/>
  <c r="Y278" i="55" s="1"/>
  <c r="R48" i="9"/>
  <c r="S45" i="9"/>
  <c r="Y276" i="55" s="1"/>
  <c r="R45" i="9"/>
  <c r="S42" i="9"/>
  <c r="Y274" i="55" s="1"/>
  <c r="R42" i="9"/>
  <c r="S39" i="9"/>
  <c r="Y272" i="55" s="1"/>
  <c r="R39" i="9"/>
  <c r="S36" i="9"/>
  <c r="Y270" i="55" s="1"/>
  <c r="R36" i="9"/>
  <c r="S33" i="9"/>
  <c r="Y268" i="55" s="1"/>
  <c r="R33" i="9"/>
  <c r="S30" i="9"/>
  <c r="Y266" i="55" s="1"/>
  <c r="R30" i="9"/>
  <c r="S27" i="9"/>
  <c r="Y264" i="55" s="1"/>
  <c r="R27" i="9"/>
  <c r="S24" i="9"/>
  <c r="Y262" i="55" s="1"/>
  <c r="R24" i="9"/>
  <c r="S21" i="9"/>
  <c r="Y260" i="55" s="1"/>
  <c r="R21" i="9"/>
  <c r="S18" i="9"/>
  <c r="Y258" i="55" s="1"/>
  <c r="R18" i="9"/>
  <c r="S15" i="9"/>
  <c r="Y256" i="55" s="1"/>
  <c r="R15" i="9"/>
  <c r="R78" i="9"/>
  <c r="S12" i="9"/>
  <c r="Y254" i="55" s="1"/>
  <c r="R72" i="9"/>
  <c r="S72" i="9"/>
  <c r="Y294" i="55" s="1"/>
  <c r="R12" i="9"/>
  <c r="H82" i="9"/>
  <c r="F30" i="54" s="1"/>
  <c r="H81" i="9"/>
  <c r="R81" i="9" s="1"/>
  <c r="G29" i="54" s="1"/>
  <c r="S6" i="9"/>
  <c r="Y250" i="55" s="1"/>
  <c r="R6" i="9"/>
  <c r="O84" i="9"/>
  <c r="L26" i="6"/>
  <c r="I16" i="57" s="1"/>
  <c r="F26" i="6"/>
  <c r="A27" i="6"/>
  <c r="A18" i="45" s="1"/>
  <c r="B24" i="6"/>
  <c r="BI3" i="1"/>
  <c r="BJ3" i="1" s="1"/>
  <c r="BH3" i="1"/>
  <c r="AL303" i="1"/>
  <c r="BT304" i="1" s="1"/>
  <c r="AK303" i="1"/>
  <c r="AI303" i="1"/>
  <c r="AH303" i="1"/>
  <c r="AL300" i="1"/>
  <c r="BW302" i="1" s="1"/>
  <c r="AK300" i="1"/>
  <c r="AI300" i="1"/>
  <c r="AH300" i="1"/>
  <c r="AY302" i="1" s="1"/>
  <c r="AL297" i="1"/>
  <c r="BW299" i="1" s="1"/>
  <c r="AK297" i="1"/>
  <c r="AI297" i="1"/>
  <c r="AH297" i="1"/>
  <c r="AY299" i="1" s="1"/>
  <c r="AL294" i="1"/>
  <c r="AK294" i="1"/>
  <c r="AI294" i="1"/>
  <c r="AH294" i="1"/>
  <c r="AL291" i="1"/>
  <c r="BT292" i="1" s="1"/>
  <c r="AK291" i="1"/>
  <c r="AI291" i="1"/>
  <c r="BB292" i="1" s="1"/>
  <c r="AH291" i="1"/>
  <c r="AL288" i="1"/>
  <c r="BW290" i="1" s="1"/>
  <c r="AK288" i="1"/>
  <c r="BN289" i="1" s="1"/>
  <c r="AI288" i="1"/>
  <c r="AH288" i="1"/>
  <c r="AV289" i="1" s="1"/>
  <c r="AL285" i="1"/>
  <c r="BW287" i="1" s="1"/>
  <c r="AK285" i="1"/>
  <c r="AI285" i="1"/>
  <c r="BB286" i="1" s="1"/>
  <c r="AH285" i="1"/>
  <c r="AY287" i="1" s="1"/>
  <c r="AL282" i="1"/>
  <c r="AK282" i="1"/>
  <c r="BN283" i="1" s="1"/>
  <c r="AI282" i="1"/>
  <c r="AH282" i="1"/>
  <c r="AV283" i="1" s="1"/>
  <c r="AL279" i="1"/>
  <c r="AK279" i="1"/>
  <c r="AI279" i="1"/>
  <c r="AH279" i="1"/>
  <c r="AL276" i="1"/>
  <c r="AK276" i="1"/>
  <c r="AI276" i="1"/>
  <c r="BB277" i="1" s="1"/>
  <c r="AH276" i="1"/>
  <c r="AL273" i="1"/>
  <c r="AK273" i="1"/>
  <c r="BN274" i="1" s="1"/>
  <c r="AI273" i="1"/>
  <c r="AH273" i="1"/>
  <c r="AL270" i="1"/>
  <c r="BX272" i="1" s="1"/>
  <c r="BY272" i="1" s="1"/>
  <c r="AK270" i="1"/>
  <c r="BN271" i="1" s="1"/>
  <c r="AI270" i="1"/>
  <c r="BE272" i="1" s="1"/>
  <c r="AH270" i="1"/>
  <c r="AL267" i="1"/>
  <c r="BW269" i="1" s="1"/>
  <c r="AK267" i="1"/>
  <c r="AI267" i="1"/>
  <c r="BE269" i="1" s="1"/>
  <c r="AH267" i="1"/>
  <c r="AL264" i="1"/>
  <c r="AK264" i="1"/>
  <c r="AI264" i="1"/>
  <c r="AH264" i="1"/>
  <c r="AL261" i="1"/>
  <c r="AK261" i="1"/>
  <c r="AI261" i="1"/>
  <c r="AH261" i="1"/>
  <c r="AV262" i="1" s="1"/>
  <c r="AL258" i="1"/>
  <c r="AK258" i="1"/>
  <c r="AI258" i="1"/>
  <c r="AH258" i="1"/>
  <c r="AY260" i="1" s="1"/>
  <c r="AL255" i="1"/>
  <c r="AK255" i="1"/>
  <c r="AI255" i="1"/>
  <c r="AH255" i="1"/>
  <c r="AV256" i="1"/>
  <c r="AL252" i="1"/>
  <c r="BW254" i="1" s="1"/>
  <c r="AK252" i="1"/>
  <c r="AI252" i="1"/>
  <c r="BB253" i="1" s="1"/>
  <c r="AH252" i="1"/>
  <c r="AL249" i="1"/>
  <c r="AK249" i="1"/>
  <c r="BN250" i="1" s="1"/>
  <c r="AI249" i="1"/>
  <c r="AH249" i="1"/>
  <c r="AL246" i="1"/>
  <c r="AK246" i="1"/>
  <c r="AI246" i="1"/>
  <c r="BB247" i="1" s="1"/>
  <c r="AH246" i="1"/>
  <c r="AY248" i="1" s="1"/>
  <c r="AL243" i="1"/>
  <c r="BT244" i="1" s="1"/>
  <c r="AK243" i="1"/>
  <c r="AI243" i="1"/>
  <c r="BE245" i="1" s="1"/>
  <c r="AH243" i="1"/>
  <c r="AY245" i="1" s="1"/>
  <c r="AL240" i="1"/>
  <c r="AK240" i="1"/>
  <c r="AI240" i="1"/>
  <c r="AH240" i="1"/>
  <c r="AL237" i="1"/>
  <c r="BW239" i="1" s="1"/>
  <c r="AK237" i="1"/>
  <c r="AI237" i="1"/>
  <c r="BE239" i="1" s="1"/>
  <c r="AH237" i="1"/>
  <c r="AY239" i="1" s="1"/>
  <c r="AL234" i="1"/>
  <c r="AK234" i="1"/>
  <c r="AI234" i="1"/>
  <c r="BB235" i="1" s="1"/>
  <c r="AH234" i="1"/>
  <c r="AV235" i="1" s="1"/>
  <c r="AL231" i="1"/>
  <c r="BW233" i="1" s="1"/>
  <c r="AK231" i="1"/>
  <c r="AI231" i="1"/>
  <c r="AH231" i="1"/>
  <c r="AV232" i="1" s="1"/>
  <c r="AL228" i="1"/>
  <c r="AK228" i="1"/>
  <c r="AI228" i="1"/>
  <c r="AH228" i="1"/>
  <c r="AL225" i="1"/>
  <c r="AK225" i="1"/>
  <c r="AI225" i="1"/>
  <c r="AH225" i="1"/>
  <c r="AL222" i="1"/>
  <c r="BT223" i="1" s="1"/>
  <c r="AK222" i="1"/>
  <c r="AI222" i="1"/>
  <c r="BB223" i="1" s="1"/>
  <c r="AH222" i="1"/>
  <c r="AL219" i="1"/>
  <c r="AK219" i="1"/>
  <c r="BN220" i="1" s="1"/>
  <c r="AI219" i="1"/>
  <c r="BB220" i="1" s="1"/>
  <c r="AH219" i="1"/>
  <c r="AY221" i="1" s="1"/>
  <c r="AL216" i="1"/>
  <c r="BT217" i="1" s="1"/>
  <c r="AK216" i="1"/>
  <c r="AI216" i="1"/>
  <c r="AH216" i="1"/>
  <c r="AL213" i="1"/>
  <c r="AK213" i="1"/>
  <c r="BN214" i="1" s="1"/>
  <c r="AI213" i="1"/>
  <c r="AH213" i="1"/>
  <c r="AL210" i="1"/>
  <c r="BW212" i="1" s="1"/>
  <c r="AK210" i="1"/>
  <c r="BN211" i="1" s="1"/>
  <c r="AI210" i="1"/>
  <c r="BE212" i="1" s="1"/>
  <c r="AH210" i="1"/>
  <c r="AY212" i="1" s="1"/>
  <c r="AL207" i="1"/>
  <c r="BW209" i="1" s="1"/>
  <c r="AK207" i="1"/>
  <c r="AI207" i="1"/>
  <c r="BB208" i="1" s="1"/>
  <c r="AH207" i="1"/>
  <c r="AL204" i="1"/>
  <c r="BW206" i="1" s="1"/>
  <c r="AK204" i="1"/>
  <c r="AI204" i="1"/>
  <c r="AH204" i="1"/>
  <c r="AV205" i="1" s="1"/>
  <c r="AL201" i="1"/>
  <c r="AK201" i="1"/>
  <c r="AI201" i="1"/>
  <c r="AH201" i="1"/>
  <c r="AL198" i="1"/>
  <c r="AK198" i="1"/>
  <c r="AI198" i="1"/>
  <c r="AH198" i="1"/>
  <c r="AL195" i="1"/>
  <c r="AK195" i="1"/>
  <c r="AI195" i="1"/>
  <c r="AH195" i="1"/>
  <c r="AY197" i="1" s="1"/>
  <c r="AL192" i="1"/>
  <c r="BW194" i="1" s="1"/>
  <c r="AK192" i="1"/>
  <c r="AI192" i="1"/>
  <c r="AH192" i="1"/>
  <c r="AV193" i="1" s="1"/>
  <c r="AL189" i="1"/>
  <c r="AK189" i="1"/>
  <c r="AI189" i="1"/>
  <c r="AH189" i="1"/>
  <c r="AL186" i="1"/>
  <c r="AK186" i="1"/>
  <c r="AI186" i="1"/>
  <c r="AH186" i="1"/>
  <c r="AV187" i="1" s="1"/>
  <c r="AL183" i="1"/>
  <c r="AK183" i="1"/>
  <c r="AI183" i="1"/>
  <c r="BE185" i="1" s="1"/>
  <c r="AH183" i="1"/>
  <c r="AV184" i="1" s="1"/>
  <c r="AL180" i="1"/>
  <c r="AK180" i="1"/>
  <c r="AI180" i="1"/>
  <c r="BE182" i="1" s="1"/>
  <c r="AH180" i="1"/>
  <c r="AY182" i="1"/>
  <c r="AL177" i="1"/>
  <c r="AK177" i="1"/>
  <c r="BN178" i="1" s="1"/>
  <c r="AI177" i="1"/>
  <c r="BE179" i="1"/>
  <c r="AH177" i="1"/>
  <c r="AL174" i="1"/>
  <c r="AK174" i="1"/>
  <c r="AI174" i="1"/>
  <c r="AH174" i="1"/>
  <c r="AY176" i="1" s="1"/>
  <c r="AL171" i="1"/>
  <c r="AK171" i="1"/>
  <c r="BN172" i="1"/>
  <c r="AI171" i="1"/>
  <c r="AH171" i="1"/>
  <c r="AV172" i="1" s="1"/>
  <c r="AL168" i="1"/>
  <c r="AK168" i="1"/>
  <c r="BN169" i="1" s="1"/>
  <c r="AI168" i="1"/>
  <c r="AH168" i="1"/>
  <c r="AL165" i="1"/>
  <c r="AK165" i="1"/>
  <c r="AI165" i="1"/>
  <c r="AH165" i="1"/>
  <c r="AL162" i="1"/>
  <c r="AK162" i="1"/>
  <c r="AI162" i="1"/>
  <c r="AH162" i="1"/>
  <c r="AL159" i="1"/>
  <c r="AK159" i="1"/>
  <c r="BN160" i="1" s="1"/>
  <c r="AI159" i="1"/>
  <c r="AH159" i="1"/>
  <c r="AL156" i="1"/>
  <c r="AK156" i="1"/>
  <c r="BN157" i="1"/>
  <c r="AI156" i="1"/>
  <c r="AH156" i="1"/>
  <c r="AY158" i="1" s="1"/>
  <c r="AL153" i="1"/>
  <c r="AK153" i="1"/>
  <c r="BN154" i="1" s="1"/>
  <c r="AI153" i="1"/>
  <c r="AH153" i="1"/>
  <c r="AY155" i="1" s="1"/>
  <c r="AL150" i="1"/>
  <c r="AK150" i="1"/>
  <c r="BN151" i="1" s="1"/>
  <c r="AI150" i="1"/>
  <c r="AH150" i="1"/>
  <c r="AY152" i="1" s="1"/>
  <c r="AL147" i="1"/>
  <c r="AK147" i="1"/>
  <c r="AI147" i="1"/>
  <c r="AH147" i="1"/>
  <c r="AY149" i="1" s="1"/>
  <c r="AL144" i="1"/>
  <c r="AK144" i="1"/>
  <c r="AI144" i="1"/>
  <c r="BB145" i="1" s="1"/>
  <c r="AH144" i="1"/>
  <c r="AY146" i="1"/>
  <c r="AL141" i="1"/>
  <c r="BT142" i="1" s="1"/>
  <c r="AK141" i="1"/>
  <c r="AI141" i="1"/>
  <c r="AH141" i="1"/>
  <c r="AL138" i="1"/>
  <c r="BW140" i="1" s="1"/>
  <c r="AK138" i="1"/>
  <c r="BN139" i="1" s="1"/>
  <c r="AI138" i="1"/>
  <c r="AH138" i="1"/>
  <c r="AL135" i="1"/>
  <c r="BW137" i="1" s="1"/>
  <c r="AK135" i="1"/>
  <c r="BN136" i="1" s="1"/>
  <c r="AI135" i="1"/>
  <c r="AH135" i="1"/>
  <c r="AL132" i="1"/>
  <c r="AK132" i="1"/>
  <c r="BN133" i="1" s="1"/>
  <c r="AI132" i="1"/>
  <c r="AH132" i="1"/>
  <c r="AY134" i="1" s="1"/>
  <c r="AL129" i="1"/>
  <c r="AK129" i="1"/>
  <c r="BN130" i="1" s="1"/>
  <c r="AI129" i="1"/>
  <c r="AH129" i="1"/>
  <c r="AY131" i="1" s="1"/>
  <c r="AL126" i="1"/>
  <c r="AK126" i="1"/>
  <c r="BN127" i="1" s="1"/>
  <c r="AI126" i="1"/>
  <c r="BB127" i="1" s="1"/>
  <c r="AH126" i="1"/>
  <c r="AY128" i="1" s="1"/>
  <c r="AL123" i="1"/>
  <c r="AK123" i="1"/>
  <c r="BN124" i="1" s="1"/>
  <c r="AI123" i="1"/>
  <c r="BE125" i="1" s="1"/>
  <c r="AH123" i="1"/>
  <c r="AL120" i="1"/>
  <c r="AK120" i="1"/>
  <c r="AI120" i="1"/>
  <c r="AH120" i="1"/>
  <c r="AV121" i="1" s="1"/>
  <c r="AL117" i="1"/>
  <c r="AK117" i="1"/>
  <c r="AI117" i="1"/>
  <c r="AH117" i="1"/>
  <c r="AY119" i="1" s="1"/>
  <c r="AL114" i="1"/>
  <c r="BT115" i="1" s="1"/>
  <c r="AK114" i="1"/>
  <c r="AI114" i="1"/>
  <c r="AH114" i="1"/>
  <c r="AL111" i="1"/>
  <c r="AK111" i="1"/>
  <c r="AI111" i="1"/>
  <c r="AH111" i="1"/>
  <c r="AL108" i="1"/>
  <c r="BW110" i="1" s="1"/>
  <c r="AK108" i="1"/>
  <c r="AI108" i="1"/>
  <c r="AH108" i="1"/>
  <c r="AL105" i="1"/>
  <c r="AK105" i="1"/>
  <c r="BN106" i="1" s="1"/>
  <c r="AI105" i="1"/>
  <c r="AH105" i="1"/>
  <c r="AL102" i="1"/>
  <c r="AK102" i="1"/>
  <c r="BN103" i="1" s="1"/>
  <c r="AI102" i="1"/>
  <c r="AH102" i="1"/>
  <c r="AL99" i="1"/>
  <c r="AK99" i="1"/>
  <c r="AI99" i="1"/>
  <c r="BE101" i="1" s="1"/>
  <c r="AH99" i="1"/>
  <c r="AL96" i="1"/>
  <c r="AK96" i="1"/>
  <c r="BN97" i="1" s="1"/>
  <c r="AI96" i="1"/>
  <c r="BF98" i="1" s="1"/>
  <c r="BG98" i="1" s="1"/>
  <c r="AH96" i="1"/>
  <c r="AY98" i="1"/>
  <c r="AL93" i="1"/>
  <c r="AK93" i="1"/>
  <c r="BN94" i="1" s="1"/>
  <c r="AI93" i="1"/>
  <c r="AH93" i="1"/>
  <c r="AY95" i="1" s="1"/>
  <c r="AL90" i="1"/>
  <c r="AK90" i="1"/>
  <c r="BN91" i="1" s="1"/>
  <c r="AI90" i="1"/>
  <c r="BB91" i="1" s="1"/>
  <c r="AH90" i="1"/>
  <c r="AY92" i="1" s="1"/>
  <c r="AL87" i="1"/>
  <c r="BW89" i="1" s="1"/>
  <c r="AK87" i="1"/>
  <c r="AI87" i="1"/>
  <c r="AH87" i="1"/>
  <c r="AL84" i="1"/>
  <c r="AK84" i="1"/>
  <c r="BN85" i="1" s="1"/>
  <c r="AI84" i="1"/>
  <c r="AH84" i="1"/>
  <c r="AY86" i="1" s="1"/>
  <c r="AL81" i="1"/>
  <c r="AK81" i="1"/>
  <c r="BN82" i="1" s="1"/>
  <c r="AI81" i="1"/>
  <c r="AH81" i="1"/>
  <c r="AL78" i="1"/>
  <c r="AK78" i="1"/>
  <c r="BN79" i="1" s="1"/>
  <c r="AI78" i="1"/>
  <c r="AH78" i="1"/>
  <c r="AY80" i="1" s="1"/>
  <c r="AL75" i="1"/>
  <c r="AK75" i="1"/>
  <c r="BN76" i="1"/>
  <c r="AI75" i="1"/>
  <c r="AH75" i="1"/>
  <c r="AL72" i="1"/>
  <c r="AK72" i="1"/>
  <c r="AI72" i="1"/>
  <c r="BC73" i="1" s="1"/>
  <c r="BD73" i="1" s="1"/>
  <c r="AH72" i="1"/>
  <c r="AL69" i="1"/>
  <c r="BT70" i="1"/>
  <c r="AK69" i="1"/>
  <c r="AI69" i="1"/>
  <c r="AH69" i="1"/>
  <c r="AY71" i="1"/>
  <c r="AL66" i="1"/>
  <c r="AK66" i="1"/>
  <c r="BN67" i="1" s="1"/>
  <c r="AI66" i="1"/>
  <c r="AH66" i="1"/>
  <c r="AY68" i="1" s="1"/>
  <c r="AL63" i="1"/>
  <c r="BT64" i="1" s="1"/>
  <c r="AK63" i="1"/>
  <c r="AI63" i="1"/>
  <c r="AH63" i="1"/>
  <c r="AL60" i="1"/>
  <c r="AK60" i="1"/>
  <c r="AI60" i="1"/>
  <c r="BE62" i="1" s="1"/>
  <c r="AH60" i="1"/>
  <c r="AY62" i="1" s="1"/>
  <c r="AL57" i="1"/>
  <c r="BW59" i="1" s="1"/>
  <c r="AK57" i="1"/>
  <c r="AI57" i="1"/>
  <c r="AH57" i="1"/>
  <c r="AL54" i="1"/>
  <c r="AK54" i="1"/>
  <c r="BN55" i="1" s="1"/>
  <c r="AI54" i="1"/>
  <c r="AH54" i="1"/>
  <c r="AL51" i="1"/>
  <c r="BX53" i="1" s="1"/>
  <c r="BY53" i="1" s="1"/>
  <c r="AK51" i="1"/>
  <c r="AI51" i="1"/>
  <c r="AH51" i="1"/>
  <c r="AL48" i="1"/>
  <c r="BT49" i="1" s="1"/>
  <c r="AK48" i="1"/>
  <c r="AI48" i="1"/>
  <c r="AH48" i="1"/>
  <c r="AL45" i="1"/>
  <c r="AK45" i="1"/>
  <c r="BN46" i="1" s="1"/>
  <c r="AI45" i="1"/>
  <c r="AH45" i="1"/>
  <c r="AY47" i="1" s="1"/>
  <c r="AL42" i="1"/>
  <c r="AK42" i="1"/>
  <c r="AI42" i="1"/>
  <c r="AH42" i="1"/>
  <c r="AY44" i="1" s="1"/>
  <c r="AL39" i="1"/>
  <c r="AK39" i="1"/>
  <c r="BN40" i="1" s="1"/>
  <c r="AI39" i="1"/>
  <c r="BB40" i="1" s="1"/>
  <c r="AH39" i="1"/>
  <c r="AL36" i="1"/>
  <c r="BT37" i="1" s="1"/>
  <c r="AK36" i="1"/>
  <c r="BN37" i="1" s="1"/>
  <c r="AI36" i="1"/>
  <c r="AH36" i="1"/>
  <c r="AL33" i="1"/>
  <c r="BT34" i="1" s="1"/>
  <c r="AK33" i="1"/>
  <c r="BN34" i="1" s="1"/>
  <c r="AI33" i="1"/>
  <c r="AH33" i="1"/>
  <c r="AY35" i="1" s="1"/>
  <c r="AL30" i="1"/>
  <c r="AK30" i="1"/>
  <c r="AI30" i="1"/>
  <c r="AH30" i="1"/>
  <c r="AL27" i="1"/>
  <c r="AK27" i="1"/>
  <c r="BN28" i="1" s="1"/>
  <c r="AI27" i="1"/>
  <c r="BB28" i="1" s="1"/>
  <c r="AH27" i="1"/>
  <c r="AL24" i="1"/>
  <c r="BW26" i="1" s="1"/>
  <c r="AK24" i="1"/>
  <c r="AI24" i="1"/>
  <c r="AH24" i="1"/>
  <c r="AL21" i="1"/>
  <c r="BW23" i="1" s="1"/>
  <c r="AK21" i="1"/>
  <c r="BN22" i="1" s="1"/>
  <c r="AI21" i="1"/>
  <c r="BE23" i="1" s="1"/>
  <c r="AH21" i="1"/>
  <c r="AL18" i="1"/>
  <c r="AK18" i="1"/>
  <c r="BN19" i="1" s="1"/>
  <c r="AI18" i="1"/>
  <c r="AH18" i="1"/>
  <c r="AL15" i="1"/>
  <c r="AK15" i="1"/>
  <c r="BN16" i="1" s="1"/>
  <c r="AI15" i="1"/>
  <c r="AH15" i="1"/>
  <c r="AL12" i="1"/>
  <c r="BT13" i="1" s="1"/>
  <c r="AK12" i="1"/>
  <c r="BN13" i="1" s="1"/>
  <c r="AI12" i="1"/>
  <c r="AH12" i="1"/>
  <c r="AY14" i="1" s="1"/>
  <c r="AL9" i="1"/>
  <c r="BT10" i="1" s="1"/>
  <c r="AK9" i="1"/>
  <c r="BN10" i="1" s="1"/>
  <c r="AI9" i="1"/>
  <c r="BF11" i="1" s="1"/>
  <c r="BG11" i="1" s="1"/>
  <c r="AH9" i="1"/>
  <c r="AY11" i="1" s="1"/>
  <c r="AL6" i="1"/>
  <c r="AK6" i="1"/>
  <c r="AI6" i="1"/>
  <c r="AH6" i="1"/>
  <c r="AT284" i="1"/>
  <c r="AU284" i="1" s="1"/>
  <c r="AT236" i="1"/>
  <c r="AU236" i="1" s="1"/>
  <c r="AT230" i="1"/>
  <c r="AU230" i="1" s="1"/>
  <c r="AP217" i="1"/>
  <c r="AQ217" i="1" s="1"/>
  <c r="AP211" i="1"/>
  <c r="AQ211" i="1" s="1"/>
  <c r="AP163" i="1"/>
  <c r="AQ163" i="1" s="1"/>
  <c r="AT158" i="1"/>
  <c r="AU158" i="1" s="1"/>
  <c r="AS146" i="1"/>
  <c r="AP139" i="1"/>
  <c r="AQ139" i="1" s="1"/>
  <c r="AT128" i="1"/>
  <c r="AU128" i="1" s="1"/>
  <c r="AP124" i="1"/>
  <c r="AQ124" i="1" s="1"/>
  <c r="AT122" i="1"/>
  <c r="AU122" i="1" s="1"/>
  <c r="AS116" i="1"/>
  <c r="AP112" i="1"/>
  <c r="AQ112" i="1" s="1"/>
  <c r="AP76" i="1"/>
  <c r="AQ76" i="1" s="1"/>
  <c r="AP67" i="1"/>
  <c r="AQ67" i="1" s="1"/>
  <c r="AT65" i="1"/>
  <c r="AU65" i="1" s="1"/>
  <c r="AT50" i="1"/>
  <c r="AU50" i="1" s="1"/>
  <c r="AP43" i="1"/>
  <c r="AQ43" i="1" s="1"/>
  <c r="AS41" i="1"/>
  <c r="AP10" i="1"/>
  <c r="AQ10" i="1" s="1"/>
  <c r="BZ127" i="1"/>
  <c r="AV10" i="1"/>
  <c r="BK11" i="1"/>
  <c r="BH10" i="1"/>
  <c r="BW14" i="1"/>
  <c r="BQ17" i="1"/>
  <c r="BK17" i="1"/>
  <c r="BH16" i="1"/>
  <c r="BQ23" i="1"/>
  <c r="BK23" i="1"/>
  <c r="BH22" i="1"/>
  <c r="BT25" i="1"/>
  <c r="BR29" i="1"/>
  <c r="BQ29" i="1"/>
  <c r="BL29" i="1"/>
  <c r="BS29" i="1" s="1"/>
  <c r="BK29" i="1"/>
  <c r="BH28" i="1"/>
  <c r="BQ35" i="1"/>
  <c r="BK35" i="1"/>
  <c r="BH34" i="1"/>
  <c r="BW38" i="1"/>
  <c r="BR41" i="1"/>
  <c r="BQ41" i="1"/>
  <c r="BL41" i="1"/>
  <c r="BM41" i="1" s="1"/>
  <c r="BK41" i="1"/>
  <c r="BH40" i="1"/>
  <c r="BQ47" i="1"/>
  <c r="BK47" i="1"/>
  <c r="BH46" i="1"/>
  <c r="BR53" i="1"/>
  <c r="BQ53" i="1"/>
  <c r="BL53" i="1"/>
  <c r="BK53" i="1"/>
  <c r="BH52" i="1"/>
  <c r="BQ59" i="1"/>
  <c r="BK59" i="1"/>
  <c r="BH58" i="1"/>
  <c r="BK65" i="1"/>
  <c r="BH64" i="1"/>
  <c r="BQ71" i="1"/>
  <c r="BK71" i="1"/>
  <c r="BH70" i="1"/>
  <c r="BQ77" i="1"/>
  <c r="BK77" i="1"/>
  <c r="BH76" i="1"/>
  <c r="BQ83" i="1"/>
  <c r="BH82" i="1"/>
  <c r="BK83" i="1"/>
  <c r="BQ89" i="1"/>
  <c r="BH88" i="1"/>
  <c r="BK89" i="1"/>
  <c r="BQ95" i="1"/>
  <c r="BK95" i="1"/>
  <c r="BH94" i="1"/>
  <c r="BQ101" i="1"/>
  <c r="BK101" i="1"/>
  <c r="BH100" i="1"/>
  <c r="BQ107" i="1"/>
  <c r="BK107" i="1"/>
  <c r="BH106" i="1"/>
  <c r="BQ113" i="1"/>
  <c r="BK113" i="1"/>
  <c r="BH112" i="1"/>
  <c r="BQ119" i="1"/>
  <c r="BK119" i="1"/>
  <c r="BH118" i="1"/>
  <c r="BQ125" i="1"/>
  <c r="BH124" i="1"/>
  <c r="BK125" i="1"/>
  <c r="BQ131" i="1"/>
  <c r="BH130" i="1"/>
  <c r="BK131" i="1"/>
  <c r="BQ137" i="1"/>
  <c r="BH136" i="1"/>
  <c r="BK137" i="1"/>
  <c r="BQ143" i="1"/>
  <c r="BK143" i="1"/>
  <c r="BH142" i="1"/>
  <c r="BQ149" i="1"/>
  <c r="BK149" i="1"/>
  <c r="BH148" i="1"/>
  <c r="BQ155" i="1"/>
  <c r="BK155" i="1"/>
  <c r="BH154" i="1"/>
  <c r="BW158" i="1"/>
  <c r="BT157" i="1"/>
  <c r="BQ161" i="1"/>
  <c r="BK161" i="1"/>
  <c r="BH160" i="1"/>
  <c r="BQ167" i="1"/>
  <c r="BK167" i="1"/>
  <c r="BH166" i="1"/>
  <c r="BQ173" i="1"/>
  <c r="BH172" i="1"/>
  <c r="BK173" i="1"/>
  <c r="BQ179" i="1"/>
  <c r="BH178" i="1"/>
  <c r="BK179" i="1"/>
  <c r="BW182" i="1"/>
  <c r="BT181" i="1"/>
  <c r="BQ185" i="1"/>
  <c r="BH184" i="1"/>
  <c r="BK185" i="1"/>
  <c r="BW188" i="1"/>
  <c r="BQ191" i="1"/>
  <c r="BK191" i="1"/>
  <c r="BH190" i="1"/>
  <c r="BT193" i="1"/>
  <c r="BQ197" i="1"/>
  <c r="BK197" i="1"/>
  <c r="BH196" i="1"/>
  <c r="BQ203" i="1"/>
  <c r="BK203" i="1"/>
  <c r="BH202" i="1"/>
  <c r="BT205" i="1"/>
  <c r="BQ209" i="1"/>
  <c r="BK209" i="1"/>
  <c r="BH208" i="1"/>
  <c r="BT211" i="1"/>
  <c r="BQ215" i="1"/>
  <c r="BK215" i="1"/>
  <c r="BH214" i="1"/>
  <c r="BW218" i="1"/>
  <c r="BQ221" i="1"/>
  <c r="BH220" i="1"/>
  <c r="BK221" i="1"/>
  <c r="BQ227" i="1"/>
  <c r="BH226" i="1"/>
  <c r="BK227" i="1"/>
  <c r="BQ233" i="1"/>
  <c r="BH232" i="1"/>
  <c r="BK233" i="1"/>
  <c r="BQ239" i="1"/>
  <c r="BK239" i="1"/>
  <c r="BH238" i="1"/>
  <c r="BQ245" i="1"/>
  <c r="BK245" i="1"/>
  <c r="BH244" i="1"/>
  <c r="BQ251" i="1"/>
  <c r="BK251" i="1"/>
  <c r="BH250" i="1"/>
  <c r="BT253" i="1"/>
  <c r="BQ257" i="1"/>
  <c r="BK257" i="1"/>
  <c r="BH256" i="1"/>
  <c r="BQ263" i="1"/>
  <c r="BK263" i="1"/>
  <c r="BH262" i="1"/>
  <c r="BH268" i="1"/>
  <c r="BK269" i="1"/>
  <c r="BQ269" i="1"/>
  <c r="BQ275" i="1"/>
  <c r="BH274" i="1"/>
  <c r="BK275" i="1"/>
  <c r="BQ281" i="1"/>
  <c r="BH280" i="1"/>
  <c r="BK281" i="1"/>
  <c r="BQ287" i="1"/>
  <c r="BK287" i="1"/>
  <c r="BH286" i="1"/>
  <c r="BT289" i="1"/>
  <c r="BQ293" i="1"/>
  <c r="BK293" i="1"/>
  <c r="BH292" i="1"/>
  <c r="BW296" i="1"/>
  <c r="BQ299" i="1"/>
  <c r="BK299" i="1"/>
  <c r="BH298" i="1"/>
  <c r="BT301" i="1"/>
  <c r="BQ305" i="1"/>
  <c r="BK305" i="1"/>
  <c r="BH304" i="1"/>
  <c r="BN52" i="1"/>
  <c r="BE56" i="1"/>
  <c r="BB55" i="1"/>
  <c r="BB61" i="1"/>
  <c r="BB79" i="1"/>
  <c r="BE92" i="1"/>
  <c r="BN100" i="1"/>
  <c r="BE104" i="1"/>
  <c r="BN112" i="1"/>
  <c r="BF116" i="1"/>
  <c r="BG116" i="1" s="1"/>
  <c r="BN118" i="1"/>
  <c r="BE128" i="1"/>
  <c r="BN166" i="1"/>
  <c r="BN184" i="1"/>
  <c r="BN190" i="1"/>
  <c r="BN196" i="1"/>
  <c r="BN202" i="1"/>
  <c r="BN208" i="1"/>
  <c r="BN226" i="1"/>
  <c r="BN232" i="1"/>
  <c r="BE236" i="1"/>
  <c r="BN238" i="1"/>
  <c r="BN244" i="1"/>
  <c r="BE248" i="1"/>
  <c r="BE254" i="1"/>
  <c r="BN256" i="1"/>
  <c r="BE260" i="1"/>
  <c r="BB259" i="1"/>
  <c r="BN262" i="1"/>
  <c r="BN268" i="1"/>
  <c r="BB271" i="1"/>
  <c r="BE278" i="1"/>
  <c r="BN280" i="1"/>
  <c r="BE284" i="1"/>
  <c r="BB283" i="1"/>
  <c r="BN286" i="1"/>
  <c r="BN292" i="1"/>
  <c r="BN298" i="1"/>
  <c r="BN304" i="1"/>
  <c r="AV145" i="1"/>
  <c r="BW11" i="1"/>
  <c r="BQ14" i="1"/>
  <c r="BK14" i="1"/>
  <c r="BH13" i="1"/>
  <c r="BX17" i="1"/>
  <c r="BY17" i="1" s="1"/>
  <c r="BW17" i="1"/>
  <c r="BT16" i="1"/>
  <c r="BK20" i="1"/>
  <c r="BH19" i="1"/>
  <c r="BQ20" i="1"/>
  <c r="BQ26" i="1"/>
  <c r="BK26" i="1"/>
  <c r="BH25" i="1"/>
  <c r="BW29" i="1"/>
  <c r="BX29" i="1"/>
  <c r="BY29" i="1" s="1"/>
  <c r="BT28" i="1"/>
  <c r="BQ32" i="1"/>
  <c r="BK32" i="1"/>
  <c r="BH31" i="1"/>
  <c r="BW35" i="1"/>
  <c r="BQ38" i="1"/>
  <c r="BK38" i="1"/>
  <c r="BH37" i="1"/>
  <c r="BK44" i="1"/>
  <c r="BQ44" i="1"/>
  <c r="BH43" i="1"/>
  <c r="BQ50" i="1"/>
  <c r="BK50" i="1"/>
  <c r="BH49" i="1"/>
  <c r="BQ56" i="1"/>
  <c r="BK56" i="1"/>
  <c r="BH55" i="1"/>
  <c r="BT58" i="1"/>
  <c r="BQ62" i="1"/>
  <c r="BH61" i="1"/>
  <c r="BK62" i="1"/>
  <c r="BW65" i="1"/>
  <c r="BK68" i="1"/>
  <c r="BQ68" i="1"/>
  <c r="BH67" i="1"/>
  <c r="BW71" i="1"/>
  <c r="BR74" i="1"/>
  <c r="BQ74" i="1"/>
  <c r="BL74" i="1"/>
  <c r="BM74" i="1" s="1"/>
  <c r="BK74" i="1"/>
  <c r="BH73" i="1"/>
  <c r="BQ80" i="1"/>
  <c r="BK80" i="1"/>
  <c r="BH79" i="1"/>
  <c r="BQ86" i="1"/>
  <c r="BK86" i="1"/>
  <c r="BH85" i="1"/>
  <c r="BT88" i="1"/>
  <c r="BK92" i="1"/>
  <c r="BQ92" i="1"/>
  <c r="BH91" i="1"/>
  <c r="BQ98" i="1"/>
  <c r="BK98" i="1"/>
  <c r="BH97" i="1"/>
  <c r="BQ104" i="1"/>
  <c r="BK104" i="1"/>
  <c r="BH103" i="1"/>
  <c r="BR110" i="1"/>
  <c r="BQ110" i="1"/>
  <c r="BL110" i="1"/>
  <c r="BS110" i="1" s="1"/>
  <c r="BH109" i="1"/>
  <c r="BK110" i="1"/>
  <c r="BR116" i="1"/>
  <c r="BL116" i="1"/>
  <c r="BM116" i="1" s="1"/>
  <c r="BH115" i="1"/>
  <c r="BK116" i="1"/>
  <c r="BQ116" i="1"/>
  <c r="BQ122" i="1"/>
  <c r="BH121" i="1"/>
  <c r="BK122" i="1"/>
  <c r="BT124" i="1"/>
  <c r="BQ128" i="1"/>
  <c r="BK128" i="1"/>
  <c r="BH127" i="1"/>
  <c r="BQ134" i="1"/>
  <c r="BK134" i="1"/>
  <c r="BH133" i="1"/>
  <c r="BK140" i="1"/>
  <c r="BQ140" i="1"/>
  <c r="BH139" i="1"/>
  <c r="BW143" i="1"/>
  <c r="BR146" i="1"/>
  <c r="BQ146" i="1"/>
  <c r="BK146" i="1"/>
  <c r="BH145" i="1"/>
  <c r="BL146" i="1"/>
  <c r="BR152" i="1"/>
  <c r="BQ152" i="1"/>
  <c r="BL152" i="1"/>
  <c r="BM152" i="1" s="1"/>
  <c r="BH151" i="1"/>
  <c r="BK152" i="1"/>
  <c r="BW155" i="1"/>
  <c r="BT154" i="1"/>
  <c r="BQ158" i="1"/>
  <c r="BH157" i="1"/>
  <c r="BK158" i="1"/>
  <c r="BW161" i="1"/>
  <c r="BT160" i="1"/>
  <c r="BH163" i="1"/>
  <c r="BK164" i="1"/>
  <c r="BQ164" i="1"/>
  <c r="BW167" i="1"/>
  <c r="BT166" i="1"/>
  <c r="BQ170" i="1"/>
  <c r="BH169" i="1"/>
  <c r="BK170" i="1"/>
  <c r="BQ176" i="1"/>
  <c r="BK176" i="1"/>
  <c r="BH175" i="1"/>
  <c r="BW179" i="1"/>
  <c r="BT178" i="1"/>
  <c r="BQ182" i="1"/>
  <c r="BK182" i="1"/>
  <c r="BH181" i="1"/>
  <c r="BW185" i="1"/>
  <c r="BT184" i="1"/>
  <c r="BQ188" i="1"/>
  <c r="BK188" i="1"/>
  <c r="BH187" i="1"/>
  <c r="BQ194" i="1"/>
  <c r="BK194" i="1"/>
  <c r="BH193" i="1"/>
  <c r="BW197" i="1"/>
  <c r="BT196" i="1"/>
  <c r="BQ200" i="1"/>
  <c r="BK200" i="1"/>
  <c r="BH199" i="1"/>
  <c r="BT202" i="1"/>
  <c r="BW203" i="1"/>
  <c r="BQ206" i="1"/>
  <c r="BK206" i="1"/>
  <c r="BH205" i="1"/>
  <c r="BT208" i="1"/>
  <c r="BQ212" i="1"/>
  <c r="BH211" i="1"/>
  <c r="BK212" i="1"/>
  <c r="BW215" i="1"/>
  <c r="BT214" i="1"/>
  <c r="BQ218" i="1"/>
  <c r="BH217" i="1"/>
  <c r="BK218" i="1"/>
  <c r="BW221" i="1"/>
  <c r="BT220" i="1"/>
  <c r="BQ224" i="1"/>
  <c r="BK224" i="1"/>
  <c r="BH223" i="1"/>
  <c r="BW227" i="1"/>
  <c r="BT226" i="1"/>
  <c r="BQ230" i="1"/>
  <c r="BK230" i="1"/>
  <c r="BH229" i="1"/>
  <c r="BT232" i="1"/>
  <c r="BQ236" i="1"/>
  <c r="BK236" i="1"/>
  <c r="BH235" i="1"/>
  <c r="BQ242" i="1"/>
  <c r="BK242" i="1"/>
  <c r="BH241" i="1"/>
  <c r="BQ248" i="1"/>
  <c r="BK248" i="1"/>
  <c r="BH247" i="1"/>
  <c r="BQ254" i="1"/>
  <c r="BH253" i="1"/>
  <c r="BK254" i="1"/>
  <c r="BQ260" i="1"/>
  <c r="BH259" i="1"/>
  <c r="BK260" i="1"/>
  <c r="BQ266" i="1"/>
  <c r="BH265" i="1"/>
  <c r="BK266" i="1"/>
  <c r="BQ272" i="1"/>
  <c r="BK272" i="1"/>
  <c r="BH271" i="1"/>
  <c r="BQ278" i="1"/>
  <c r="BK278" i="1"/>
  <c r="BH277" i="1"/>
  <c r="BQ284" i="1"/>
  <c r="BK284" i="1"/>
  <c r="BH283" i="1"/>
  <c r="BT286" i="1"/>
  <c r="BQ290" i="1"/>
  <c r="BK290" i="1"/>
  <c r="BH289" i="1"/>
  <c r="BW293" i="1"/>
  <c r="BQ296" i="1"/>
  <c r="BH295" i="1"/>
  <c r="BK296" i="1"/>
  <c r="BT298" i="1"/>
  <c r="BQ302" i="1"/>
  <c r="BK302" i="1"/>
  <c r="BH301" i="1"/>
  <c r="BW305" i="1"/>
  <c r="BF17" i="1"/>
  <c r="BG17" i="1" s="1"/>
  <c r="BE17" i="1"/>
  <c r="BB16" i="1"/>
  <c r="BB22" i="1"/>
  <c r="BN25" i="1"/>
  <c r="BN31" i="1"/>
  <c r="BE41" i="1"/>
  <c r="BN43" i="1"/>
  <c r="BN49" i="1"/>
  <c r="BB58" i="1"/>
  <c r="BE59" i="1"/>
  <c r="BE65" i="1"/>
  <c r="BB64" i="1"/>
  <c r="BN73" i="1"/>
  <c r="BE83" i="1"/>
  <c r="BB88" i="1"/>
  <c r="BB94" i="1"/>
  <c r="BB106" i="1"/>
  <c r="BN109" i="1"/>
  <c r="BN115" i="1"/>
  <c r="BB124" i="1"/>
  <c r="BE137" i="1"/>
  <c r="BN145" i="1"/>
  <c r="BN163" i="1"/>
  <c r="BN175" i="1"/>
  <c r="BN181" i="1"/>
  <c r="BN187" i="1"/>
  <c r="BN193" i="1"/>
  <c r="BN199" i="1"/>
  <c r="BN205" i="1"/>
  <c r="BE209" i="1"/>
  <c r="BN217" i="1"/>
  <c r="BN223" i="1"/>
  <c r="BN229" i="1"/>
  <c r="BE233" i="1"/>
  <c r="BN235" i="1"/>
  <c r="BN241" i="1"/>
  <c r="BB244" i="1"/>
  <c r="BN247" i="1"/>
  <c r="BN253" i="1"/>
  <c r="BB256" i="1"/>
  <c r="BE257" i="1"/>
  <c r="BN259" i="1"/>
  <c r="BB262" i="1"/>
  <c r="BE263" i="1"/>
  <c r="BN265" i="1"/>
  <c r="BB268" i="1"/>
  <c r="BN277" i="1"/>
  <c r="BE281" i="1"/>
  <c r="BB280" i="1"/>
  <c r="BE287" i="1"/>
  <c r="BE293" i="1"/>
  <c r="BN295" i="1"/>
  <c r="BN301" i="1"/>
  <c r="AY122" i="1"/>
  <c r="AV118" i="1"/>
  <c r="AS74" i="1"/>
  <c r="AS110" i="1"/>
  <c r="AV178" i="1"/>
  <c r="AY179" i="1"/>
  <c r="AY185" i="1"/>
  <c r="AV190" i="1"/>
  <c r="AY191" i="1"/>
  <c r="AV220" i="1"/>
  <c r="AY233" i="1"/>
  <c r="AV244" i="1"/>
  <c r="AV268" i="1"/>
  <c r="AY269" i="1"/>
  <c r="AV274" i="1"/>
  <c r="AY275" i="1"/>
  <c r="AV13" i="1"/>
  <c r="AV46" i="1"/>
  <c r="AV61" i="1"/>
  <c r="AV70" i="1"/>
  <c r="AV79" i="1"/>
  <c r="AV85" i="1"/>
  <c r="AV109" i="1"/>
  <c r="AV151" i="1"/>
  <c r="AV157" i="1"/>
  <c r="AV175" i="1"/>
  <c r="AV196" i="1"/>
  <c r="AV238" i="1"/>
  <c r="AV259" i="1"/>
  <c r="AZ146" i="1"/>
  <c r="BA146" i="1" s="1"/>
  <c r="AY188" i="1"/>
  <c r="AS17" i="1"/>
  <c r="AS29" i="1"/>
  <c r="AS53" i="1"/>
  <c r="AZ53" i="1"/>
  <c r="BA53" i="1" s="1"/>
  <c r="AV181" i="1"/>
  <c r="AV286" i="1"/>
  <c r="AY194" i="1"/>
  <c r="AY236" i="1"/>
  <c r="AY257" i="1"/>
  <c r="AS80" i="1"/>
  <c r="AS152" i="1"/>
  <c r="AZ152" i="1"/>
  <c r="BA152" i="1" s="1"/>
  <c r="AV199" i="1"/>
  <c r="AY200" i="1"/>
  <c r="AY206" i="1"/>
  <c r="AV211" i="1"/>
  <c r="AV247" i="1"/>
  <c r="AY272" i="1"/>
  <c r="AV271" i="1"/>
  <c r="AY278" i="1"/>
  <c r="AV277" i="1"/>
  <c r="AY290" i="1"/>
  <c r="AV34" i="1"/>
  <c r="AV43" i="1"/>
  <c r="AV67" i="1"/>
  <c r="AV91" i="1"/>
  <c r="AV133" i="1"/>
  <c r="AV148" i="1"/>
  <c r="AV154" i="1"/>
  <c r="AY263" i="1"/>
  <c r="AY284" i="1"/>
  <c r="AP40" i="1"/>
  <c r="AQ40" i="1" s="1"/>
  <c r="AP136" i="1"/>
  <c r="AQ136" i="1" s="1"/>
  <c r="AP52" i="1"/>
  <c r="AQ52" i="1" s="1"/>
  <c r="AP100" i="1"/>
  <c r="AQ100" i="1" s="1"/>
  <c r="AP193" i="1"/>
  <c r="AQ193" i="1" s="1"/>
  <c r="AT29" i="1"/>
  <c r="AU29" i="1" s="1"/>
  <c r="AT146" i="1"/>
  <c r="AU146" i="1" s="1"/>
  <c r="AP16" i="1"/>
  <c r="AQ16" i="1" s="1"/>
  <c r="AP64" i="1"/>
  <c r="AQ64" i="1" s="1"/>
  <c r="AT188" i="1"/>
  <c r="AU188" i="1" s="1"/>
  <c r="AP28" i="1"/>
  <c r="AQ28" i="1" s="1"/>
  <c r="AT23" i="1"/>
  <c r="AU23" i="1" s="1"/>
  <c r="AT47" i="1"/>
  <c r="AU47" i="1" s="1"/>
  <c r="AT83" i="1"/>
  <c r="AU83" i="1" s="1"/>
  <c r="AT107" i="1"/>
  <c r="AU107" i="1" s="1"/>
  <c r="AT119" i="1"/>
  <c r="AU119" i="1" s="1"/>
  <c r="AT143" i="1"/>
  <c r="AU143" i="1" s="1"/>
  <c r="AT167" i="1"/>
  <c r="AU167" i="1" s="1"/>
  <c r="AT191" i="1"/>
  <c r="AU191" i="1" s="1"/>
  <c r="AT275" i="1"/>
  <c r="AU275" i="1" s="1"/>
  <c r="AP22" i="1"/>
  <c r="AQ22" i="1" s="1"/>
  <c r="AP46" i="1"/>
  <c r="AQ46" i="1" s="1"/>
  <c r="AP94" i="1"/>
  <c r="AQ94" i="1" s="1"/>
  <c r="AP118" i="1"/>
  <c r="AQ118" i="1" s="1"/>
  <c r="AP142" i="1"/>
  <c r="AQ142" i="1" s="1"/>
  <c r="AP226" i="1"/>
  <c r="AQ226" i="1" s="1"/>
  <c r="AT98" i="1"/>
  <c r="AU98" i="1" s="1"/>
  <c r="AT134" i="1"/>
  <c r="AU134" i="1" s="1"/>
  <c r="BR134" i="1"/>
  <c r="AT170" i="1"/>
  <c r="AU170" i="1" s="1"/>
  <c r="AT206" i="1"/>
  <c r="AU206" i="1" s="1"/>
  <c r="AT218" i="1"/>
  <c r="AU218" i="1" s="1"/>
  <c r="BL230" i="1"/>
  <c r="BS230" i="1" s="1"/>
  <c r="AP241" i="1"/>
  <c r="AQ241" i="1" s="1"/>
  <c r="AT242" i="1"/>
  <c r="AU242" i="1" s="1"/>
  <c r="AT254" i="1"/>
  <c r="AU254" i="1" s="1"/>
  <c r="AP253" i="1"/>
  <c r="AQ253" i="1" s="1"/>
  <c r="AT266" i="1"/>
  <c r="AU266" i="1" s="1"/>
  <c r="AP265" i="1"/>
  <c r="AQ265" i="1" s="1"/>
  <c r="BR278" i="1"/>
  <c r="AP277" i="1"/>
  <c r="AQ277" i="1" s="1"/>
  <c r="AP289" i="1"/>
  <c r="AQ289" i="1" s="1"/>
  <c r="AT290" i="1"/>
  <c r="AU290" i="1" s="1"/>
  <c r="AT302" i="1"/>
  <c r="AU302" i="1" s="1"/>
  <c r="AP301" i="1"/>
  <c r="AQ301" i="1" s="1"/>
  <c r="BO145" i="1"/>
  <c r="BP145" i="1" s="1"/>
  <c r="AP229" i="1"/>
  <c r="AQ229" i="1" s="1"/>
  <c r="AT17" i="1"/>
  <c r="AU17" i="1" s="1"/>
  <c r="BL92" i="1"/>
  <c r="AT110" i="1"/>
  <c r="AU110" i="1" s="1"/>
  <c r="AT131" i="1"/>
  <c r="AU131" i="1" s="1"/>
  <c r="AT152" i="1"/>
  <c r="AU152" i="1" s="1"/>
  <c r="AT278" i="1"/>
  <c r="AU278" i="1" s="1"/>
  <c r="AT299" i="1"/>
  <c r="AU299" i="1" s="1"/>
  <c r="AT77" i="1"/>
  <c r="AU77" i="1" s="1"/>
  <c r="AT113" i="1"/>
  <c r="AU113" i="1" s="1"/>
  <c r="AT125" i="1"/>
  <c r="AU125" i="1" s="1"/>
  <c r="AT149" i="1"/>
  <c r="AU149" i="1" s="1"/>
  <c r="BC184" i="1"/>
  <c r="BD184" i="1" s="1"/>
  <c r="AT185" i="1"/>
  <c r="AU185" i="1" s="1"/>
  <c r="AT233" i="1"/>
  <c r="AU233" i="1" s="1"/>
  <c r="AT245" i="1"/>
  <c r="AU245" i="1" s="1"/>
  <c r="AT281" i="1"/>
  <c r="AU281" i="1" s="1"/>
  <c r="AN304" i="1"/>
  <c r="AP37" i="1"/>
  <c r="AQ37" i="1" s="1"/>
  <c r="AP73" i="1"/>
  <c r="AQ73" i="1" s="1"/>
  <c r="AP79" i="1"/>
  <c r="AQ79" i="1" s="1"/>
  <c r="AP85" i="1"/>
  <c r="AQ85" i="1" s="1"/>
  <c r="AP91" i="1"/>
  <c r="AQ91" i="1" s="1"/>
  <c r="AP97" i="1"/>
  <c r="AQ97" i="1" s="1"/>
  <c r="AP109" i="1"/>
  <c r="AQ109" i="1" s="1"/>
  <c r="AP115" i="1"/>
  <c r="AQ115" i="1" s="1"/>
  <c r="AP121" i="1"/>
  <c r="AQ121" i="1" s="1"/>
  <c r="AP127" i="1"/>
  <c r="AQ127" i="1" s="1"/>
  <c r="AP133" i="1"/>
  <c r="AQ133" i="1" s="1"/>
  <c r="AP145" i="1"/>
  <c r="AQ145" i="1" s="1"/>
  <c r="AP151" i="1"/>
  <c r="AQ151" i="1" s="1"/>
  <c r="AP157" i="1"/>
  <c r="AQ157" i="1" s="1"/>
  <c r="AP166" i="1"/>
  <c r="AQ166" i="1" s="1"/>
  <c r="AP205" i="1"/>
  <c r="AQ205" i="1" s="1"/>
  <c r="AP232" i="1"/>
  <c r="AQ232" i="1" s="1"/>
  <c r="AP274" i="1"/>
  <c r="AQ274" i="1" s="1"/>
  <c r="AP298" i="1"/>
  <c r="AQ298" i="1" s="1"/>
  <c r="AT53" i="1"/>
  <c r="AU53" i="1" s="1"/>
  <c r="AT74" i="1"/>
  <c r="AU74" i="1" s="1"/>
  <c r="AT95" i="1"/>
  <c r="AU95" i="1" s="1"/>
  <c r="AT116" i="1"/>
  <c r="AU116" i="1" s="1"/>
  <c r="AT137" i="1"/>
  <c r="AU137" i="1" s="1"/>
  <c r="BL242" i="1"/>
  <c r="AT305" i="1"/>
  <c r="AU305" i="1" s="1"/>
  <c r="AT11" i="1"/>
  <c r="AU11" i="1" s="1"/>
  <c r="AT35" i="1"/>
  <c r="AU35" i="1" s="1"/>
  <c r="BX35" i="1"/>
  <c r="BY35" i="1" s="1"/>
  <c r="AT59" i="1"/>
  <c r="AU59" i="1" s="1"/>
  <c r="AT155" i="1"/>
  <c r="AU155" i="1" s="1"/>
  <c r="AT179" i="1"/>
  <c r="AU179" i="1" s="1"/>
  <c r="AT263" i="1"/>
  <c r="AU263" i="1" s="1"/>
  <c r="AP34" i="1"/>
  <c r="AQ34" i="1" s="1"/>
  <c r="AP58" i="1"/>
  <c r="AQ58" i="1" s="1"/>
  <c r="AP106" i="1"/>
  <c r="AQ106" i="1" s="1"/>
  <c r="AP130" i="1"/>
  <c r="AQ130" i="1" s="1"/>
  <c r="AP178" i="1"/>
  <c r="AQ178" i="1" s="1"/>
  <c r="AP286" i="1"/>
  <c r="AQ286" i="1" s="1"/>
  <c r="AT44" i="1"/>
  <c r="AU44" i="1" s="1"/>
  <c r="AT68" i="1"/>
  <c r="AU68" i="1" s="1"/>
  <c r="BR68" i="1"/>
  <c r="AT104" i="1"/>
  <c r="AU104" i="1" s="1"/>
  <c r="AT140" i="1"/>
  <c r="AU140" i="1" s="1"/>
  <c r="BL140" i="1"/>
  <c r="AT176" i="1"/>
  <c r="AU176" i="1" s="1"/>
  <c r="AT212" i="1"/>
  <c r="AU212" i="1" s="1"/>
  <c r="AT224" i="1"/>
  <c r="AU224" i="1" s="1"/>
  <c r="AP247" i="1"/>
  <c r="AQ247" i="1" s="1"/>
  <c r="AT248" i="1"/>
  <c r="AU248" i="1" s="1"/>
  <c r="AT260" i="1"/>
  <c r="AU260" i="1" s="1"/>
  <c r="AP259" i="1"/>
  <c r="AQ259" i="1" s="1"/>
  <c r="BI259" i="1"/>
  <c r="BJ259" i="1" s="1"/>
  <c r="AT272" i="1"/>
  <c r="AU272" i="1" s="1"/>
  <c r="AP271" i="1"/>
  <c r="AQ271" i="1" s="1"/>
  <c r="BX284" i="1"/>
  <c r="BY284" i="1" s="1"/>
  <c r="AP283" i="1"/>
  <c r="AQ283" i="1" s="1"/>
  <c r="AP295" i="1"/>
  <c r="AQ295" i="1" s="1"/>
  <c r="AT296" i="1"/>
  <c r="AU296" i="1" s="1"/>
  <c r="AP160" i="1"/>
  <c r="AQ160" i="1" s="1"/>
  <c r="AP199" i="1"/>
  <c r="AQ199" i="1" s="1"/>
  <c r="AP208" i="1"/>
  <c r="AQ208" i="1" s="1"/>
  <c r="AP223" i="1"/>
  <c r="AQ223" i="1" s="1"/>
  <c r="AP235" i="1"/>
  <c r="AQ235" i="1" s="1"/>
  <c r="AP280" i="1"/>
  <c r="AQ280" i="1" s="1"/>
  <c r="AP304" i="1"/>
  <c r="AQ304" i="1" s="1"/>
  <c r="AT41" i="1"/>
  <c r="AU41" i="1" s="1"/>
  <c r="AT80" i="1"/>
  <c r="AU80" i="1" s="1"/>
  <c r="AT101" i="1"/>
  <c r="AU101" i="1" s="1"/>
  <c r="AT161" i="1"/>
  <c r="AU161" i="1" s="1"/>
  <c r="AT182" i="1"/>
  <c r="AU182" i="1" s="1"/>
  <c r="A303" i="1"/>
  <c r="A243" i="55" s="1"/>
  <c r="A297" i="1"/>
  <c r="A239" i="55" s="1"/>
  <c r="A294" i="1"/>
  <c r="A237" i="55" s="1"/>
  <c r="A288" i="1"/>
  <c r="A232" i="55" s="1"/>
  <c r="A282" i="1"/>
  <c r="A228" i="55" s="1"/>
  <c r="A276" i="1"/>
  <c r="A223" i="55" s="1"/>
  <c r="A270" i="1"/>
  <c r="A219" i="55" s="1"/>
  <c r="A264" i="1"/>
  <c r="A214" i="55" s="1"/>
  <c r="A258" i="1"/>
  <c r="A210" i="55" s="1"/>
  <c r="A252" i="1"/>
  <c r="A205" i="55" s="1"/>
  <c r="A246" i="1"/>
  <c r="A201" i="55" s="1"/>
  <c r="A240" i="1"/>
  <c r="A196" i="55" s="1"/>
  <c r="A237" i="1"/>
  <c r="A194" i="55" s="1"/>
  <c r="A234" i="1"/>
  <c r="A192" i="55" s="1"/>
  <c r="A228" i="1"/>
  <c r="A187" i="55" s="1"/>
  <c r="A225" i="1"/>
  <c r="A185" i="55" s="1"/>
  <c r="A222" i="1"/>
  <c r="A183" i="55" s="1"/>
  <c r="A216" i="1"/>
  <c r="A178" i="55" s="1"/>
  <c r="A213" i="1"/>
  <c r="A176" i="55" s="1"/>
  <c r="A210" i="1"/>
  <c r="A174" i="55" s="1"/>
  <c r="A204" i="1"/>
  <c r="A169" i="55" s="1"/>
  <c r="A201" i="1"/>
  <c r="A167" i="55" s="1"/>
  <c r="A198" i="1"/>
  <c r="A165" i="55" s="1"/>
  <c r="A192" i="1"/>
  <c r="A160" i="55" s="1"/>
  <c r="A189" i="1"/>
  <c r="A158" i="55" s="1"/>
  <c r="A186" i="1"/>
  <c r="A156" i="55" s="1"/>
  <c r="A180" i="1"/>
  <c r="A151" i="55" s="1"/>
  <c r="A177" i="1"/>
  <c r="A149" i="55" s="1"/>
  <c r="A174" i="1"/>
  <c r="A147" i="55" s="1"/>
  <c r="A168" i="1"/>
  <c r="A142" i="55" s="1"/>
  <c r="A165" i="1"/>
  <c r="A140" i="55" s="1"/>
  <c r="A162" i="1"/>
  <c r="A138" i="55" s="1"/>
  <c r="A156" i="1"/>
  <c r="A133" i="55" s="1"/>
  <c r="A153" i="1"/>
  <c r="A131" i="55" s="1"/>
  <c r="A150" i="1"/>
  <c r="A129" i="55" s="1"/>
  <c r="A147" i="1"/>
  <c r="A126" i="55" s="1"/>
  <c r="A144" i="1"/>
  <c r="A124" i="55" s="1"/>
  <c r="A141" i="1"/>
  <c r="A122" i="55" s="1"/>
  <c r="A138" i="1"/>
  <c r="A120" i="55" s="1"/>
  <c r="A135" i="1"/>
  <c r="A117" i="55" s="1"/>
  <c r="A132" i="1"/>
  <c r="A115" i="55" s="1"/>
  <c r="A129" i="1"/>
  <c r="A113" i="55" s="1"/>
  <c r="A126" i="1"/>
  <c r="A111" i="55" s="1"/>
  <c r="A123" i="1"/>
  <c r="A108" i="55" s="1"/>
  <c r="A120" i="1"/>
  <c r="A106" i="55" s="1"/>
  <c r="A117" i="1"/>
  <c r="A104" i="55" s="1"/>
  <c r="A114" i="1"/>
  <c r="A102" i="55" s="1"/>
  <c r="A111" i="1"/>
  <c r="A99" i="55" s="1"/>
  <c r="A108" i="1"/>
  <c r="A97" i="55" s="1"/>
  <c r="A105" i="1"/>
  <c r="A95" i="55" s="1"/>
  <c r="A102" i="1"/>
  <c r="A93" i="55" s="1"/>
  <c r="A99" i="1"/>
  <c r="A90" i="55" s="1"/>
  <c r="A96" i="1"/>
  <c r="A88" i="55" s="1"/>
  <c r="A90" i="1"/>
  <c r="A84" i="55" s="1"/>
  <c r="A84" i="1"/>
  <c r="A79" i="55" s="1"/>
  <c r="A78" i="1"/>
  <c r="A75" i="55" s="1"/>
  <c r="A72" i="1"/>
  <c r="A70" i="55" s="1"/>
  <c r="A66" i="1"/>
  <c r="A66" i="55" s="1"/>
  <c r="A63" i="1"/>
  <c r="A63" i="55" s="1"/>
  <c r="A57" i="1"/>
  <c r="A59" i="55" s="1"/>
  <c r="A54" i="1"/>
  <c r="A57" i="55" s="1"/>
  <c r="A51" i="1"/>
  <c r="A54" i="55" s="1"/>
  <c r="A45" i="1"/>
  <c r="A50" i="55" s="1"/>
  <c r="A42" i="1"/>
  <c r="A48" i="55" s="1"/>
  <c r="A39" i="1"/>
  <c r="A45" i="55" s="1"/>
  <c r="A33" i="1"/>
  <c r="A41" i="55" s="1"/>
  <c r="A27" i="1"/>
  <c r="A36" i="55" s="1"/>
  <c r="A15" i="1"/>
  <c r="A27" i="55" s="1"/>
  <c r="CD140" i="1"/>
  <c r="CE140" i="1" s="1"/>
  <c r="BX302" i="1"/>
  <c r="BY302" i="1" s="1"/>
  <c r="BX248" i="1"/>
  <c r="BY248" i="1" s="1"/>
  <c r="BF248" i="1"/>
  <c r="BG248" i="1" s="1"/>
  <c r="BC295" i="1"/>
  <c r="BD295" i="1" s="1"/>
  <c r="BF254" i="1"/>
  <c r="BG254" i="1" s="1"/>
  <c r="BX254" i="1"/>
  <c r="BY254" i="1" s="1"/>
  <c r="BX98" i="1"/>
  <c r="BY98" i="1" s="1"/>
  <c r="BX86" i="1"/>
  <c r="BY86" i="1" s="1"/>
  <c r="BF86" i="1"/>
  <c r="BG86" i="1" s="1"/>
  <c r="BR86" i="1"/>
  <c r="BU211" i="1"/>
  <c r="BV211" i="1" s="1"/>
  <c r="BR302" i="1"/>
  <c r="BI295" i="1"/>
  <c r="BJ295" i="1" s="1"/>
  <c r="BR284" i="1"/>
  <c r="BL260" i="1"/>
  <c r="BR254" i="1"/>
  <c r="BR248" i="1"/>
  <c r="BL68" i="1"/>
  <c r="BS68" i="1" s="1"/>
  <c r="BX11" i="1"/>
  <c r="BY11" i="1" s="1"/>
  <c r="BU118" i="1"/>
  <c r="BV118" i="1" s="1"/>
  <c r="BU22" i="1"/>
  <c r="BV22" i="1" s="1"/>
  <c r="BI22" i="1"/>
  <c r="BJ22" i="1" s="1"/>
  <c r="BO22" i="1"/>
  <c r="BP22" i="1" s="1"/>
  <c r="BX104" i="1"/>
  <c r="BY104" i="1" s="1"/>
  <c r="BL35" i="1"/>
  <c r="BR35" i="1"/>
  <c r="BF158" i="1"/>
  <c r="BG158" i="1" s="1"/>
  <c r="BU151" i="1"/>
  <c r="BV151" i="1" s="1"/>
  <c r="BC127" i="1"/>
  <c r="BD127" i="1" s="1"/>
  <c r="BX266" i="1"/>
  <c r="BY266" i="1" s="1"/>
  <c r="BF266" i="1"/>
  <c r="BG266" i="1" s="1"/>
  <c r="BR23" i="1"/>
  <c r="BL23" i="1"/>
  <c r="BS23" i="1" s="1"/>
  <c r="BF167" i="1"/>
  <c r="BG167" i="1" s="1"/>
  <c r="BF23" i="1"/>
  <c r="BG23" i="1" s="1"/>
  <c r="BI211" i="1"/>
  <c r="BJ211" i="1" s="1"/>
  <c r="BL194" i="1"/>
  <c r="BI157" i="1"/>
  <c r="BJ157" i="1" s="1"/>
  <c r="BM146" i="1"/>
  <c r="BS146" i="1"/>
  <c r="BI127" i="1"/>
  <c r="BJ127" i="1" s="1"/>
  <c r="BX119" i="1"/>
  <c r="BY119" i="1" s="1"/>
  <c r="BR104" i="1"/>
  <c r="BL98" i="1"/>
  <c r="BS98" i="1" s="1"/>
  <c r="BL86" i="1"/>
  <c r="BM86" i="1" s="1"/>
  <c r="BF122" i="1"/>
  <c r="BG122" i="1" s="1"/>
  <c r="BI64" i="1"/>
  <c r="BJ64" i="1" s="1"/>
  <c r="BU16" i="1"/>
  <c r="BV16" i="1" s="1"/>
  <c r="BU259" i="1"/>
  <c r="BV259" i="1" s="1"/>
  <c r="BU184" i="1"/>
  <c r="BV184" i="1" s="1"/>
  <c r="BI184" i="1"/>
  <c r="BJ184" i="1" s="1"/>
  <c r="BO184" i="1"/>
  <c r="BP184" i="1" s="1"/>
  <c r="BU145" i="1"/>
  <c r="BV145" i="1" s="1"/>
  <c r="BC145" i="1"/>
  <c r="BD145" i="1" s="1"/>
  <c r="BX278" i="1"/>
  <c r="BY278" i="1" s="1"/>
  <c r="BF278" i="1"/>
  <c r="BG278" i="1" s="1"/>
  <c r="BX134" i="1"/>
  <c r="BY134" i="1" s="1"/>
  <c r="BL167" i="1"/>
  <c r="BM167" i="1" s="1"/>
  <c r="BR167" i="1"/>
  <c r="BO295" i="1"/>
  <c r="BP295" i="1" s="1"/>
  <c r="BC118" i="1"/>
  <c r="BD118" i="1" s="1"/>
  <c r="BF47" i="1"/>
  <c r="BG47" i="1" s="1"/>
  <c r="BL302" i="1"/>
  <c r="BM302" i="1" s="1"/>
  <c r="BL284" i="1"/>
  <c r="BS284" i="1" s="1"/>
  <c r="BL278" i="1"/>
  <c r="BR266" i="1"/>
  <c r="BL254" i="1"/>
  <c r="BS254" i="1" s="1"/>
  <c r="BL236" i="1"/>
  <c r="BS236" i="1" s="1"/>
  <c r="BI205" i="1"/>
  <c r="BJ205" i="1" s="1"/>
  <c r="BL134" i="1"/>
  <c r="BS134" i="1" s="1"/>
  <c r="BR122" i="1"/>
  <c r="BR98" i="1"/>
  <c r="BF272" i="1"/>
  <c r="BG272" i="1" s="1"/>
  <c r="BU106" i="1"/>
  <c r="BV106" i="1" s="1"/>
  <c r="BI106" i="1"/>
  <c r="BJ106" i="1" s="1"/>
  <c r="BO106" i="1"/>
  <c r="BP106" i="1" s="1"/>
  <c r="BU58" i="1"/>
  <c r="BV58" i="1" s="1"/>
  <c r="BI58" i="1"/>
  <c r="BJ58" i="1" s="1"/>
  <c r="BU10" i="1"/>
  <c r="BF260" i="1"/>
  <c r="BG260" i="1" s="1"/>
  <c r="BX260" i="1"/>
  <c r="BY260" i="1" s="1"/>
  <c r="BX140" i="1"/>
  <c r="BY140" i="1" s="1"/>
  <c r="BF140" i="1"/>
  <c r="BG140" i="1" s="1"/>
  <c r="BX68" i="1"/>
  <c r="BY68" i="1" s="1"/>
  <c r="BL11" i="1"/>
  <c r="BL113" i="1"/>
  <c r="BF194" i="1"/>
  <c r="BG194" i="1" s="1"/>
  <c r="BX194" i="1"/>
  <c r="BY194" i="1" s="1"/>
  <c r="BX92" i="1"/>
  <c r="BY92" i="1" s="1"/>
  <c r="BF92" i="1"/>
  <c r="BG92" i="1" s="1"/>
  <c r="BU241" i="1"/>
  <c r="BV241" i="1" s="1"/>
  <c r="BC241" i="1"/>
  <c r="BD241" i="1" s="1"/>
  <c r="BR299" i="1"/>
  <c r="BR47" i="1"/>
  <c r="BL47" i="1"/>
  <c r="BS47" i="1" s="1"/>
  <c r="BR65" i="1"/>
  <c r="BL65" i="1"/>
  <c r="BM65" i="1" s="1"/>
  <c r="BF128" i="1"/>
  <c r="BG128" i="1" s="1"/>
  <c r="BX128" i="1"/>
  <c r="BY128" i="1" s="1"/>
  <c r="BO259" i="1"/>
  <c r="BP259" i="1" s="1"/>
  <c r="BO211" i="1"/>
  <c r="BP211" i="1" s="1"/>
  <c r="BO199" i="1"/>
  <c r="BP199" i="1" s="1"/>
  <c r="BF65" i="1"/>
  <c r="BG65" i="1" s="1"/>
  <c r="BC58" i="1"/>
  <c r="BD58" i="1" s="1"/>
  <c r="BC22" i="1"/>
  <c r="BD22" i="1" s="1"/>
  <c r="BL272" i="1"/>
  <c r="BL266" i="1"/>
  <c r="BS266" i="1" s="1"/>
  <c r="BL248" i="1"/>
  <c r="BM248" i="1" s="1"/>
  <c r="BI241" i="1"/>
  <c r="BJ241" i="1" s="1"/>
  <c r="BL218" i="1"/>
  <c r="BS218" i="1" s="1"/>
  <c r="BI145" i="1"/>
  <c r="BJ145" i="1" s="1"/>
  <c r="BR140" i="1"/>
  <c r="BL128" i="1"/>
  <c r="BL122" i="1"/>
  <c r="BS122" i="1" s="1"/>
  <c r="BL104" i="1"/>
  <c r="BM104" i="1" s="1"/>
  <c r="BR92" i="1"/>
  <c r="BR44" i="1"/>
  <c r="BX23" i="1"/>
  <c r="BY23" i="1" s="1"/>
  <c r="BF302" i="1"/>
  <c r="BG302" i="1" s="1"/>
  <c r="BF284" i="1"/>
  <c r="BG284" i="1" s="1"/>
  <c r="BM53" i="1"/>
  <c r="BS53" i="1"/>
  <c r="BS41" i="1"/>
  <c r="AW205" i="1"/>
  <c r="AX205" i="1" s="1"/>
  <c r="AS254" i="1"/>
  <c r="AZ254" i="1"/>
  <c r="BA254" i="1" s="1"/>
  <c r="AS98" i="1"/>
  <c r="AZ98" i="1"/>
  <c r="BA98" i="1" s="1"/>
  <c r="AS86" i="1"/>
  <c r="AZ86" i="1"/>
  <c r="BA86" i="1" s="1"/>
  <c r="AW211" i="1"/>
  <c r="AX211" i="1" s="1"/>
  <c r="AS122" i="1"/>
  <c r="AZ122" i="1"/>
  <c r="BA122" i="1" s="1"/>
  <c r="AS284" i="1"/>
  <c r="AZ284" i="1"/>
  <c r="BA284" i="1" s="1"/>
  <c r="AS104" i="1"/>
  <c r="AZ104" i="1"/>
  <c r="BA104" i="1" s="1"/>
  <c r="AZ56" i="1"/>
  <c r="BA56" i="1" s="1"/>
  <c r="AS35" i="1"/>
  <c r="AZ35" i="1"/>
  <c r="BA35" i="1" s="1"/>
  <c r="AS158" i="1"/>
  <c r="AZ158" i="1"/>
  <c r="BA158" i="1" s="1"/>
  <c r="AW199" i="1"/>
  <c r="AX199" i="1" s="1"/>
  <c r="AW127" i="1"/>
  <c r="AX127" i="1" s="1"/>
  <c r="AS266" i="1"/>
  <c r="AZ266" i="1"/>
  <c r="BA266" i="1" s="1"/>
  <c r="AS23" i="1"/>
  <c r="AS248" i="1"/>
  <c r="AZ248" i="1"/>
  <c r="BA248" i="1" s="1"/>
  <c r="AW295" i="1"/>
  <c r="AX295" i="1" s="1"/>
  <c r="AW64" i="1"/>
  <c r="AX64" i="1" s="1"/>
  <c r="AW259" i="1"/>
  <c r="AX259" i="1" s="1"/>
  <c r="AS236" i="1"/>
  <c r="AS242" i="1"/>
  <c r="AW145" i="1"/>
  <c r="AX145" i="1" s="1"/>
  <c r="AW73" i="1"/>
  <c r="AX73" i="1" s="1"/>
  <c r="AS302" i="1"/>
  <c r="AZ302" i="1"/>
  <c r="BA302" i="1" s="1"/>
  <c r="AS278" i="1"/>
  <c r="AZ278" i="1"/>
  <c r="BA278" i="1" s="1"/>
  <c r="AS134" i="1"/>
  <c r="AZ134" i="1"/>
  <c r="BA134" i="1" s="1"/>
  <c r="AS167" i="1"/>
  <c r="AZ167" i="1"/>
  <c r="BA167" i="1" s="1"/>
  <c r="AS272" i="1"/>
  <c r="AZ272" i="1"/>
  <c r="BA272" i="1" s="1"/>
  <c r="AW106" i="1"/>
  <c r="AX106" i="1" s="1"/>
  <c r="AW58" i="1"/>
  <c r="AX58" i="1" s="1"/>
  <c r="AS260" i="1"/>
  <c r="AZ260" i="1"/>
  <c r="BA260" i="1" s="1"/>
  <c r="AS140" i="1"/>
  <c r="AZ140" i="1"/>
  <c r="BA140" i="1" s="1"/>
  <c r="AS68" i="1"/>
  <c r="AZ68" i="1"/>
  <c r="BA68" i="1" s="1"/>
  <c r="AZ44" i="1"/>
  <c r="BA44" i="1" s="1"/>
  <c r="AS11" i="1"/>
  <c r="AZ11" i="1"/>
  <c r="BA11" i="1" s="1"/>
  <c r="AZ149" i="1"/>
  <c r="BA149" i="1" s="1"/>
  <c r="AS194" i="1"/>
  <c r="AZ194" i="1"/>
  <c r="BA194" i="1" s="1"/>
  <c r="AS92" i="1"/>
  <c r="AZ92" i="1"/>
  <c r="BA92" i="1" s="1"/>
  <c r="AW241" i="1"/>
  <c r="AX241" i="1" s="1"/>
  <c r="AZ230" i="1"/>
  <c r="BA230" i="1" s="1"/>
  <c r="AS47" i="1"/>
  <c r="AZ47" i="1"/>
  <c r="BA47" i="1" s="1"/>
  <c r="AS65" i="1"/>
  <c r="AS128" i="1"/>
  <c r="AZ128" i="1"/>
  <c r="BA128" i="1" s="1"/>
  <c r="BM68" i="1"/>
  <c r="BM23" i="1"/>
  <c r="BM134" i="1"/>
  <c r="A21" i="1"/>
  <c r="A32" i="55" s="1"/>
  <c r="A300" i="1"/>
  <c r="A241" i="55" s="1"/>
  <c r="AO295" i="1"/>
  <c r="BU295" i="1"/>
  <c r="BV295" i="1" s="1"/>
  <c r="AO259" i="1"/>
  <c r="BC259" i="1"/>
  <c r="BD259" i="1" s="1"/>
  <c r="BB139" i="1"/>
  <c r="BE140" i="1"/>
  <c r="BE143" i="1"/>
  <c r="BB142" i="1"/>
  <c r="BE149" i="1"/>
  <c r="BB148" i="1"/>
  <c r="BF152" i="1"/>
  <c r="BG152" i="1" s="1"/>
  <c r="BB151" i="1"/>
  <c r="BE152" i="1"/>
  <c r="BB154" i="1"/>
  <c r="BE155" i="1"/>
  <c r="BE158" i="1"/>
  <c r="BB157" i="1"/>
  <c r="BE161" i="1"/>
  <c r="BB160" i="1"/>
  <c r="BB163" i="1"/>
  <c r="BE164" i="1"/>
  <c r="BE167" i="1"/>
  <c r="BB166" i="1"/>
  <c r="BE170" i="1"/>
  <c r="BB169" i="1"/>
  <c r="BB172" i="1"/>
  <c r="BE188" i="1"/>
  <c r="BB187" i="1"/>
  <c r="BE191" i="1"/>
  <c r="BB190" i="1"/>
  <c r="BB193" i="1"/>
  <c r="BE194" i="1"/>
  <c r="BB202" i="1"/>
  <c r="BE203" i="1"/>
  <c r="BB205" i="1"/>
  <c r="BE206" i="1"/>
  <c r="R416" i="11"/>
  <c r="Y468" i="55" s="1"/>
  <c r="Q416" i="11"/>
  <c r="A416" i="11"/>
  <c r="A467" i="55" s="1"/>
  <c r="Q436" i="11"/>
  <c r="A436" i="11"/>
  <c r="A475" i="55" s="1"/>
  <c r="Q466" i="11"/>
  <c r="A466" i="11"/>
  <c r="A487" i="55" s="1"/>
  <c r="BW245" i="1"/>
  <c r="BT238" i="1"/>
  <c r="AY56" i="1"/>
  <c r="AV55" i="1"/>
  <c r="AY59" i="1"/>
  <c r="AV58" i="1"/>
  <c r="BT67" i="1"/>
  <c r="BW68" i="1"/>
  <c r="BX74" i="1"/>
  <c r="BY74" i="1" s="1"/>
  <c r="BW74" i="1"/>
  <c r="BT73" i="1"/>
  <c r="BW83" i="1"/>
  <c r="BT82" i="1"/>
  <c r="BW86" i="1"/>
  <c r="BT85" i="1"/>
  <c r="BT91" i="1"/>
  <c r="BW92" i="1"/>
  <c r="BW95" i="1"/>
  <c r="BT94" i="1"/>
  <c r="BT97" i="1"/>
  <c r="BW98" i="1"/>
  <c r="BT100" i="1"/>
  <c r="BW101" i="1"/>
  <c r="BT106" i="1"/>
  <c r="BW107" i="1"/>
  <c r="BT109" i="1"/>
  <c r="BX110" i="1"/>
  <c r="BY110" i="1" s="1"/>
  <c r="BW113" i="1"/>
  <c r="BT112" i="1"/>
  <c r="BN121" i="1"/>
  <c r="R31" i="11"/>
  <c r="Y314" i="55" s="1"/>
  <c r="A31" i="11"/>
  <c r="A313" i="55" s="1"/>
  <c r="R51" i="11"/>
  <c r="Y322" i="55" s="1"/>
  <c r="A51" i="11"/>
  <c r="A321" i="55"/>
  <c r="Q86" i="11"/>
  <c r="A86" i="11"/>
  <c r="A335" i="55" s="1"/>
  <c r="BE44" i="1"/>
  <c r="BB43" i="1"/>
  <c r="BE47" i="1"/>
  <c r="BB46" i="1"/>
  <c r="BF53" i="1"/>
  <c r="BG53" i="1" s="1"/>
  <c r="BE53" i="1"/>
  <c r="BB52" i="1"/>
  <c r="R211" i="11"/>
  <c r="Y386" i="55" s="1"/>
  <c r="Q211" i="11"/>
  <c r="R346" i="11"/>
  <c r="Y440" i="55" s="1"/>
  <c r="A346" i="11"/>
  <c r="A439" i="55" s="1"/>
  <c r="R366" i="11"/>
  <c r="Y448" i="55" s="1"/>
  <c r="A366" i="11"/>
  <c r="A447" i="55" s="1"/>
  <c r="R17" i="49"/>
  <c r="G19" i="54" s="1"/>
  <c r="F19" i="54"/>
  <c r="BL296" i="1"/>
  <c r="AS296" i="1"/>
  <c r="BF296" i="1"/>
  <c r="BG296" i="1" s="1"/>
  <c r="AZ296" i="1"/>
  <c r="BA296" i="1" s="1"/>
  <c r="BR296" i="1"/>
  <c r="BR80" i="1"/>
  <c r="AZ80" i="1"/>
  <c r="BA80" i="1" s="1"/>
  <c r="BL80" i="1"/>
  <c r="BS80" i="1" s="1"/>
  <c r="AV208" i="1"/>
  <c r="AY209" i="1"/>
  <c r="AV214" i="1"/>
  <c r="AY215" i="1"/>
  <c r="AV217" i="1"/>
  <c r="AY218" i="1"/>
  <c r="AY224" i="1"/>
  <c r="AV223" i="1"/>
  <c r="AV226" i="1"/>
  <c r="AY227" i="1"/>
  <c r="AY230" i="1"/>
  <c r="AV229" i="1"/>
  <c r="BW236" i="1"/>
  <c r="BT235" i="1"/>
  <c r="BW242" i="1"/>
  <c r="BT241" i="1"/>
  <c r="BW248" i="1"/>
  <c r="BT247" i="1"/>
  <c r="BW251" i="1"/>
  <c r="BT250" i="1"/>
  <c r="BW257" i="1"/>
  <c r="BT256" i="1"/>
  <c r="BW272" i="1"/>
  <c r="BT271" i="1"/>
  <c r="BW275" i="1"/>
  <c r="BT274" i="1"/>
  <c r="BW278" i="1"/>
  <c r="BT277" i="1"/>
  <c r="BW281" i="1"/>
  <c r="BT280" i="1"/>
  <c r="BW284" i="1"/>
  <c r="BT283" i="1"/>
  <c r="BT295" i="1"/>
  <c r="BX296" i="1"/>
  <c r="BY296" i="1" s="1"/>
  <c r="BO223" i="1"/>
  <c r="BP223" i="1" s="1"/>
  <c r="Q196" i="11"/>
  <c r="R196" i="11"/>
  <c r="Y380" i="55" s="1"/>
  <c r="A196" i="11"/>
  <c r="A379" i="55" s="1"/>
  <c r="AT86" i="1"/>
  <c r="AU86" i="1" s="1"/>
  <c r="AP103" i="1"/>
  <c r="AQ103" i="1" s="1"/>
  <c r="AP154" i="1"/>
  <c r="AQ154" i="1" s="1"/>
  <c r="AT200" i="1"/>
  <c r="AU200" i="1" s="1"/>
  <c r="AP244" i="1"/>
  <c r="AQ244" i="1" s="1"/>
  <c r="AN244" i="1"/>
  <c r="BC244" i="1" s="1"/>
  <c r="BD244" i="1" s="1"/>
  <c r="AN232" i="1"/>
  <c r="BI232" i="1" s="1"/>
  <c r="BJ232" i="1" s="1"/>
  <c r="AN148" i="1"/>
  <c r="BC148" i="1" s="1"/>
  <c r="BD148" i="1" s="1"/>
  <c r="AN136" i="1"/>
  <c r="BU136" i="1" s="1"/>
  <c r="BV136" i="1" s="1"/>
  <c r="AN52" i="1"/>
  <c r="AO52" i="1" s="1"/>
  <c r="AN40" i="1"/>
  <c r="BO40" i="1" s="1"/>
  <c r="BP40" i="1" s="1"/>
  <c r="AN193" i="1"/>
  <c r="BU193" i="1" s="1"/>
  <c r="BV193" i="1" s="1"/>
  <c r="AN181" i="1"/>
  <c r="AN97" i="1"/>
  <c r="AN85" i="1"/>
  <c r="Q96" i="11"/>
  <c r="Q376" i="11"/>
  <c r="M106" i="52"/>
  <c r="AR251" i="1"/>
  <c r="BX251" i="1" s="1"/>
  <c r="BY251" i="1" s="1"/>
  <c r="AR155" i="1"/>
  <c r="AS155" i="1" s="1"/>
  <c r="AR59" i="1"/>
  <c r="BR59" i="1" s="1"/>
  <c r="AT92" i="1"/>
  <c r="AU92" i="1" s="1"/>
  <c r="AP148" i="1"/>
  <c r="AQ148" i="1" s="1"/>
  <c r="AT194" i="1"/>
  <c r="AU194" i="1" s="1"/>
  <c r="BF41" i="1"/>
  <c r="BG41" i="1" s="1"/>
  <c r="AN238" i="1"/>
  <c r="AO238" i="1" s="1"/>
  <c r="AN142" i="1"/>
  <c r="BU142" i="1" s="1"/>
  <c r="BV142" i="1" s="1"/>
  <c r="AN130" i="1"/>
  <c r="BU130" i="1" s="1"/>
  <c r="BV130" i="1" s="1"/>
  <c r="AN46" i="1"/>
  <c r="AW46" i="1" s="1"/>
  <c r="AX46" i="1" s="1"/>
  <c r="AN34" i="1"/>
  <c r="BI34" i="1" s="1"/>
  <c r="BJ34" i="1" s="1"/>
  <c r="AY104" i="1"/>
  <c r="AV103" i="1"/>
  <c r="AV106" i="1"/>
  <c r="AY107" i="1"/>
  <c r="AY110" i="1"/>
  <c r="AZ110" i="1"/>
  <c r="BA110" i="1" s="1"/>
  <c r="AY113" i="1"/>
  <c r="AV112" i="1"/>
  <c r="BW119" i="1"/>
  <c r="BT118" i="1"/>
  <c r="BW122" i="1"/>
  <c r="BT121" i="1"/>
  <c r="BX122" i="1"/>
  <c r="BY122" i="1" s="1"/>
  <c r="BW125" i="1"/>
  <c r="BW131" i="1"/>
  <c r="BT130" i="1"/>
  <c r="BW134" i="1"/>
  <c r="BT133" i="1"/>
  <c r="BT136" i="1"/>
  <c r="BN142" i="1"/>
  <c r="BN148" i="1"/>
  <c r="AY20" i="1"/>
  <c r="AV19" i="1"/>
  <c r="AY23" i="1"/>
  <c r="AV22" i="1"/>
  <c r="AZ23" i="1"/>
  <c r="BA23" i="1" s="1"/>
  <c r="AW22" i="1"/>
  <c r="AX22" i="1" s="1"/>
  <c r="AY26" i="1"/>
  <c r="AV25" i="1"/>
  <c r="AV28" i="1"/>
  <c r="AY32" i="1"/>
  <c r="AV31" i="1"/>
  <c r="AY38" i="1"/>
  <c r="BT46" i="1"/>
  <c r="BW47" i="1"/>
  <c r="BX47" i="1"/>
  <c r="BY47" i="1" s="1"/>
  <c r="BW53" i="1"/>
  <c r="BT52" i="1"/>
  <c r="BN58" i="1"/>
  <c r="BO58" i="1"/>
  <c r="BP58" i="1" s="1"/>
  <c r="BN61" i="1"/>
  <c r="BN64" i="1"/>
  <c r="BB67" i="1"/>
  <c r="BE68" i="1"/>
  <c r="BF68" i="1"/>
  <c r="BG68" i="1" s="1"/>
  <c r="BE71" i="1"/>
  <c r="BB70" i="1"/>
  <c r="BE77" i="1"/>
  <c r="BB76" i="1"/>
  <c r="BE80" i="1"/>
  <c r="BF80" i="1"/>
  <c r="BG80" i="1" s="1"/>
  <c r="BB82" i="1"/>
  <c r="BB85" i="1"/>
  <c r="BE86" i="1"/>
  <c r="BE89" i="1"/>
  <c r="BE95" i="1"/>
  <c r="BB100" i="1"/>
  <c r="R26" i="22"/>
  <c r="G57" i="54" s="1"/>
  <c r="F61" i="54"/>
  <c r="AS131" i="1"/>
  <c r="BE14" i="1"/>
  <c r="BB13" i="1"/>
  <c r="BB37" i="1"/>
  <c r="BE38" i="1"/>
  <c r="BW62" i="1"/>
  <c r="BT61" i="1"/>
  <c r="A11" i="11"/>
  <c r="A305" i="55" s="1"/>
  <c r="R11" i="11"/>
  <c r="Y306" i="55" s="1"/>
  <c r="AV97" i="1"/>
  <c r="AV94" i="1"/>
  <c r="BW224" i="1"/>
  <c r="BT163" i="1"/>
  <c r="BW164" i="1"/>
  <c r="BW170" i="1"/>
  <c r="BT169" i="1"/>
  <c r="BW200" i="1"/>
  <c r="BT199" i="1"/>
  <c r="BW230" i="1"/>
  <c r="BT229" i="1"/>
  <c r="A251" i="11"/>
  <c r="A401" i="55" s="1"/>
  <c r="F58" i="54"/>
  <c r="F62" i="54"/>
  <c r="F64" i="54"/>
  <c r="R46" i="11"/>
  <c r="Y320" i="55" s="1"/>
  <c r="R86" i="11"/>
  <c r="Y336" i="55" s="1"/>
  <c r="Q156" i="11"/>
  <c r="Q316" i="11"/>
  <c r="Q351" i="11"/>
  <c r="Q396" i="11"/>
  <c r="M215" i="52"/>
  <c r="M177" i="52"/>
  <c r="M158" i="52"/>
  <c r="M122" i="52"/>
  <c r="W11" i="11"/>
  <c r="W16" i="11" s="1"/>
  <c r="W21" i="11" s="1"/>
  <c r="W26" i="11" s="1"/>
  <c r="W31" i="11" s="1"/>
  <c r="W36" i="11" s="1"/>
  <c r="W41" i="11" s="1"/>
  <c r="W46" i="11" s="1"/>
  <c r="W51" i="11" s="1"/>
  <c r="W56" i="11" s="1"/>
  <c r="W61" i="11" s="1"/>
  <c r="W66" i="11" s="1"/>
  <c r="W71" i="11" s="1"/>
  <c r="W76" i="11" s="1"/>
  <c r="W81" i="11" s="1"/>
  <c r="W86" i="11" s="1"/>
  <c r="W91" i="11" s="1"/>
  <c r="W96" i="11" s="1"/>
  <c r="W101" i="11" s="1"/>
  <c r="W106" i="11" s="1"/>
  <c r="W111" i="11" s="1"/>
  <c r="W116" i="11" s="1"/>
  <c r="W121" i="11" s="1"/>
  <c r="W126" i="11" s="1"/>
  <c r="W131" i="11" s="1"/>
  <c r="W136" i="11" s="1"/>
  <c r="W141" i="11" s="1"/>
  <c r="W146" i="11" s="1"/>
  <c r="W151" i="11" s="1"/>
  <c r="W156" i="11" s="1"/>
  <c r="W161" i="11" s="1"/>
  <c r="W166" i="11" s="1"/>
  <c r="W171" i="11" s="1"/>
  <c r="W176" i="11" s="1"/>
  <c r="W181" i="11" s="1"/>
  <c r="W186" i="11" s="1"/>
  <c r="W191" i="11" s="1"/>
  <c r="W196" i="11" s="1"/>
  <c r="W201" i="11" s="1"/>
  <c r="W206" i="11" s="1"/>
  <c r="W211" i="11" s="1"/>
  <c r="W216" i="11" s="1"/>
  <c r="W221" i="11" s="1"/>
  <c r="W226" i="11" s="1"/>
  <c r="W231" i="11" s="1"/>
  <c r="W236" i="11" s="1"/>
  <c r="W241" i="11" s="1"/>
  <c r="W246" i="11" s="1"/>
  <c r="W251" i="11" s="1"/>
  <c r="W256" i="11" s="1"/>
  <c r="W261" i="11" s="1"/>
  <c r="W266" i="11" s="1"/>
  <c r="W271" i="11" s="1"/>
  <c r="W276" i="11" s="1"/>
  <c r="W281" i="11" s="1"/>
  <c r="W286" i="11" s="1"/>
  <c r="W291" i="11" s="1"/>
  <c r="W296" i="11" s="1"/>
  <c r="W301" i="11" s="1"/>
  <c r="W306" i="11" s="1"/>
  <c r="W311" i="11" s="1"/>
  <c r="W316" i="11" s="1"/>
  <c r="W321" i="11" s="1"/>
  <c r="W326" i="11" s="1"/>
  <c r="W331" i="11" s="1"/>
  <c r="W336" i="11" s="1"/>
  <c r="W341" i="11" s="1"/>
  <c r="W346" i="11" s="1"/>
  <c r="W351" i="11" s="1"/>
  <c r="W356" i="11" s="1"/>
  <c r="W361" i="11" s="1"/>
  <c r="W366" i="11" s="1"/>
  <c r="W371" i="11" s="1"/>
  <c r="W376" i="11" s="1"/>
  <c r="W381" i="11" s="1"/>
  <c r="W386" i="11" s="1"/>
  <c r="W391" i="11" s="1"/>
  <c r="W396" i="11" s="1"/>
  <c r="W401" i="11" s="1"/>
  <c r="W406" i="11" s="1"/>
  <c r="W411" i="11" s="1"/>
  <c r="W416" i="11" s="1"/>
  <c r="W421" i="11" s="1"/>
  <c r="W426" i="11" s="1"/>
  <c r="W431" i="11" s="1"/>
  <c r="W436" i="11" s="1"/>
  <c r="W441" i="11" s="1"/>
  <c r="W446" i="11" s="1"/>
  <c r="W451" i="11" s="1"/>
  <c r="W456" i="11" s="1"/>
  <c r="W461" i="11" s="1"/>
  <c r="W466" i="11" s="1"/>
  <c r="W471" i="11" s="1"/>
  <c r="W476" i="11" s="1"/>
  <c r="W481" i="11" s="1"/>
  <c r="W486" i="11" s="1"/>
  <c r="W491" i="11" s="1"/>
  <c r="W496" i="11" s="1"/>
  <c r="W501" i="11" s="1"/>
  <c r="A66" i="11"/>
  <c r="A327" i="55" s="1"/>
  <c r="A236" i="11"/>
  <c r="A395" i="55"/>
  <c r="A291" i="11"/>
  <c r="A417" i="55" s="1"/>
  <c r="G44" i="54"/>
  <c r="Q36" i="11"/>
  <c r="Q76" i="11"/>
  <c r="Q171" i="11"/>
  <c r="Q236" i="11"/>
  <c r="Q331" i="11"/>
  <c r="Q371" i="11"/>
  <c r="Q411" i="11"/>
  <c r="R436" i="11"/>
  <c r="Y476" i="55" s="1"/>
  <c r="M145" i="52"/>
  <c r="M27" i="52"/>
  <c r="R26" i="11"/>
  <c r="Y312" i="55" s="1"/>
  <c r="R66" i="11"/>
  <c r="Y328" i="55" s="1"/>
  <c r="Q251" i="11"/>
  <c r="Q426" i="11"/>
  <c r="R466" i="11"/>
  <c r="Y488" i="55" s="1"/>
  <c r="M223" i="52"/>
  <c r="M170" i="52"/>
  <c r="M154" i="52"/>
  <c r="M138" i="52"/>
  <c r="M113" i="52"/>
  <c r="Q16" i="19"/>
  <c r="G45" i="54"/>
  <c r="F45" i="54"/>
  <c r="R26" i="24"/>
  <c r="G59" i="54" s="1"/>
  <c r="F59" i="54"/>
  <c r="R16" i="28"/>
  <c r="G63" i="54" s="1"/>
  <c r="F63" i="54"/>
  <c r="AO223" i="1"/>
  <c r="L16" i="36"/>
  <c r="R16" i="36" s="1"/>
  <c r="G70" i="54" s="1"/>
  <c r="R131" i="11"/>
  <c r="Y354" i="55" s="1"/>
  <c r="Q131" i="11"/>
  <c r="A131" i="11"/>
  <c r="A353" i="55"/>
  <c r="R271" i="11"/>
  <c r="Y410" i="55" s="1"/>
  <c r="Q271" i="11"/>
  <c r="A271" i="11"/>
  <c r="A409" i="55"/>
  <c r="R391" i="11"/>
  <c r="Y458" i="55" s="1"/>
  <c r="Q391" i="11"/>
  <c r="A486" i="11"/>
  <c r="A495" i="55" s="1"/>
  <c r="B15" i="52"/>
  <c r="M15" i="52" s="1"/>
  <c r="BR17" i="1"/>
  <c r="BL17" i="1"/>
  <c r="BM17" i="1" s="1"/>
  <c r="AV127" i="1"/>
  <c r="BB184" i="1"/>
  <c r="BE173" i="1"/>
  <c r="BX146" i="1"/>
  <c r="BY146" i="1" s="1"/>
  <c r="BT139" i="1"/>
  <c r="Q116" i="11"/>
  <c r="R116" i="11"/>
  <c r="Y348" i="55" s="1"/>
  <c r="R256" i="11"/>
  <c r="Y404" i="55" s="1"/>
  <c r="A256" i="11"/>
  <c r="A403" i="55"/>
  <c r="Q256" i="11"/>
  <c r="R296" i="11"/>
  <c r="Y420" i="55" s="1"/>
  <c r="Q296" i="11"/>
  <c r="A296" i="11"/>
  <c r="A419" i="55" s="1"/>
  <c r="Q446" i="11"/>
  <c r="R446" i="11"/>
  <c r="Y480" i="55" s="1"/>
  <c r="A446" i="11"/>
  <c r="A479" i="55" s="1"/>
  <c r="B51" i="52"/>
  <c r="M51" i="52" s="1"/>
  <c r="AV130" i="1"/>
  <c r="BB181" i="1"/>
  <c r="B221" i="52"/>
  <c r="M221" i="52" s="1"/>
  <c r="BW50" i="1"/>
  <c r="R106" i="11"/>
  <c r="Y344" i="55" s="1"/>
  <c r="A106" i="11"/>
  <c r="A343" i="55" s="1"/>
  <c r="R146" i="11"/>
  <c r="Y360" i="55" s="1"/>
  <c r="A146" i="11"/>
  <c r="A359" i="55" s="1"/>
  <c r="B121" i="52"/>
  <c r="M121" i="52" s="1"/>
  <c r="F56" i="54"/>
  <c r="F60" i="54"/>
  <c r="Q111" i="11"/>
  <c r="Q136" i="11"/>
  <c r="R151" i="11"/>
  <c r="Y362" i="55" s="1"/>
  <c r="Q151" i="11"/>
  <c r="Q176" i="11"/>
  <c r="R276" i="11"/>
  <c r="Y412" i="55" s="1"/>
  <c r="Q291" i="11"/>
  <c r="R476" i="11"/>
  <c r="Y492" i="55" s="1"/>
  <c r="B242" i="52"/>
  <c r="M242" i="52" s="1"/>
  <c r="M225" i="52"/>
  <c r="M217" i="52"/>
  <c r="M198" i="52"/>
  <c r="M174" i="52"/>
  <c r="M153" i="52"/>
  <c r="B137" i="52"/>
  <c r="M137" i="52" s="1"/>
  <c r="B126" i="52"/>
  <c r="M126" i="52" s="1"/>
  <c r="Q31" i="11"/>
  <c r="Q51" i="11"/>
  <c r="Q71" i="11"/>
  <c r="Q91" i="11"/>
  <c r="Q191" i="11"/>
  <c r="Q216" i="11"/>
  <c r="R231" i="11"/>
  <c r="Y394" i="55" s="1"/>
  <c r="Q231" i="11"/>
  <c r="R356" i="11"/>
  <c r="Y444" i="55" s="1"/>
  <c r="R496" i="11"/>
  <c r="Y500" i="55" s="1"/>
  <c r="Q496" i="11"/>
  <c r="M169" i="52"/>
  <c r="B162" i="52"/>
  <c r="M162" i="52" s="1"/>
  <c r="B157" i="52"/>
  <c r="M157" i="52" s="1"/>
  <c r="B142" i="52"/>
  <c r="M142" i="52" s="1"/>
  <c r="B102" i="52"/>
  <c r="M102" i="52" s="1"/>
  <c r="B63" i="52"/>
  <c r="M63" i="52" s="1"/>
  <c r="B57" i="52"/>
  <c r="M57" i="52" s="1"/>
  <c r="Q11" i="11"/>
  <c r="W9" i="9"/>
  <c r="W12" i="9" s="1"/>
  <c r="W15" i="9" s="1"/>
  <c r="W18" i="9" s="1"/>
  <c r="W21" i="9" s="1"/>
  <c r="W24" i="9" s="1"/>
  <c r="W27" i="9" s="1"/>
  <c r="W30" i="9" s="1"/>
  <c r="W33" i="9" s="1"/>
  <c r="W36" i="9" s="1"/>
  <c r="W39" i="9" s="1"/>
  <c r="W42" i="9" s="1"/>
  <c r="W45" i="9" s="1"/>
  <c r="W48" i="9" s="1"/>
  <c r="W51" i="9" s="1"/>
  <c r="W54" i="9" s="1"/>
  <c r="W57" i="9" s="1"/>
  <c r="W60" i="9" s="1"/>
  <c r="W63" i="9" s="1"/>
  <c r="W66" i="9" s="1"/>
  <c r="W69" i="9" s="1"/>
  <c r="W72" i="9" s="1"/>
  <c r="W75" i="9" s="1"/>
  <c r="W78" i="9" s="1"/>
  <c r="R311" i="11"/>
  <c r="Y426" i="55" s="1"/>
  <c r="Q311" i="11"/>
  <c r="R431" i="11"/>
  <c r="Y474" i="55" s="1"/>
  <c r="Q431" i="11"/>
  <c r="B234" i="52"/>
  <c r="M234" i="52" s="1"/>
  <c r="M206" i="52"/>
  <c r="B178" i="52"/>
  <c r="M178" i="52"/>
  <c r="B173" i="52"/>
  <c r="M173" i="52" s="1"/>
  <c r="B105" i="52"/>
  <c r="M105" i="52" s="1"/>
  <c r="Q441" i="11"/>
  <c r="Q451" i="11"/>
  <c r="M238" i="52"/>
  <c r="M230" i="52"/>
  <c r="M166" i="52"/>
  <c r="M150" i="52"/>
  <c r="M141" i="52"/>
  <c r="M134" i="52"/>
  <c r="M125" i="52"/>
  <c r="M118" i="52"/>
  <c r="M110" i="52"/>
  <c r="M79" i="52"/>
  <c r="M77" i="52"/>
  <c r="M43" i="52"/>
  <c r="M38" i="52"/>
  <c r="M35" i="52"/>
  <c r="M30" i="52"/>
  <c r="M18" i="52"/>
  <c r="M7" i="52"/>
  <c r="M226" i="52"/>
  <c r="M218" i="52"/>
  <c r="M214" i="52"/>
  <c r="M210" i="52"/>
  <c r="M202" i="52"/>
  <c r="M146" i="52"/>
  <c r="M130" i="52"/>
  <c r="M114" i="52"/>
  <c r="M55" i="52"/>
  <c r="AY29" i="1"/>
  <c r="AZ29" i="1"/>
  <c r="BA29" i="1" s="1"/>
  <c r="BW32" i="1"/>
  <c r="BT31" i="1"/>
  <c r="BW80" i="1"/>
  <c r="BT79" i="1"/>
  <c r="BX80" i="1"/>
  <c r="BY80" i="1" s="1"/>
  <c r="BE110" i="1"/>
  <c r="BB109" i="1"/>
  <c r="BF110" i="1"/>
  <c r="BG110" i="1" s="1"/>
  <c r="AY125" i="1"/>
  <c r="AV124" i="1"/>
  <c r="BW128" i="1"/>
  <c r="BT127" i="1"/>
  <c r="BT187" i="1"/>
  <c r="BW191" i="1"/>
  <c r="BT190" i="1"/>
  <c r="BE242" i="1"/>
  <c r="BB241" i="1"/>
  <c r="BB250" i="1"/>
  <c r="BE251" i="1"/>
  <c r="AY281" i="1"/>
  <c r="AV280" i="1"/>
  <c r="R6" i="11"/>
  <c r="Y304" i="55" s="1"/>
  <c r="A6" i="11"/>
  <c r="A303" i="55" s="1"/>
  <c r="Q6" i="11"/>
  <c r="BE26" i="1"/>
  <c r="BB25" i="1"/>
  <c r="AY41" i="1"/>
  <c r="AV40" i="1"/>
  <c r="AZ41" i="1"/>
  <c r="BA41" i="1" s="1"/>
  <c r="BW44" i="1"/>
  <c r="BT43" i="1"/>
  <c r="BE74" i="1"/>
  <c r="BB73" i="1"/>
  <c r="BF74" i="1"/>
  <c r="BG74" i="1" s="1"/>
  <c r="AY89" i="1"/>
  <c r="AV88" i="1"/>
  <c r="BE122" i="1"/>
  <c r="BB121" i="1"/>
  <c r="AY137" i="1"/>
  <c r="AV136" i="1"/>
  <c r="AZ137" i="1"/>
  <c r="BA137" i="1" s="1"/>
  <c r="BE176" i="1"/>
  <c r="BB175" i="1"/>
  <c r="BB178" i="1"/>
  <c r="AY203" i="1"/>
  <c r="AV202" i="1"/>
  <c r="BE266" i="1"/>
  <c r="BB265" i="1"/>
  <c r="BE275" i="1"/>
  <c r="BB274" i="1"/>
  <c r="AK306" i="1"/>
  <c r="C136" i="54" s="1"/>
  <c r="AY53" i="1"/>
  <c r="AV52" i="1"/>
  <c r="BW56" i="1"/>
  <c r="BT55" i="1"/>
  <c r="AY101" i="1"/>
  <c r="AV100" i="1"/>
  <c r="BW104" i="1"/>
  <c r="BT103" i="1"/>
  <c r="BW152" i="1"/>
  <c r="BT151" i="1"/>
  <c r="BX152" i="1"/>
  <c r="BY152" i="1" s="1"/>
  <c r="BE197" i="1"/>
  <c r="BB196" i="1"/>
  <c r="BE200" i="1"/>
  <c r="BB199" i="1"/>
  <c r="BE296" i="1"/>
  <c r="BB295" i="1"/>
  <c r="BB298" i="1"/>
  <c r="BE299" i="1"/>
  <c r="BB301" i="1"/>
  <c r="BE302" i="1"/>
  <c r="BB304" i="1"/>
  <c r="BE305" i="1"/>
  <c r="AY17" i="1"/>
  <c r="AZ17" i="1"/>
  <c r="BA17" i="1" s="1"/>
  <c r="AH306" i="1"/>
  <c r="C133" i="54" s="1"/>
  <c r="AV16" i="1"/>
  <c r="BW20" i="1"/>
  <c r="BT19" i="1"/>
  <c r="BE50" i="1"/>
  <c r="BB49" i="1"/>
  <c r="AY65" i="1"/>
  <c r="AV64" i="1"/>
  <c r="BE98" i="1"/>
  <c r="BB97" i="1"/>
  <c r="BX116" i="1"/>
  <c r="BY116" i="1" s="1"/>
  <c r="BW116" i="1"/>
  <c r="BF146" i="1"/>
  <c r="BG146" i="1" s="1"/>
  <c r="BE146" i="1"/>
  <c r="AY161" i="1"/>
  <c r="AV160" i="1"/>
  <c r="BE224" i="1"/>
  <c r="BC223" i="1"/>
  <c r="BD223" i="1" s="1"/>
  <c r="BE227" i="1"/>
  <c r="BB226" i="1"/>
  <c r="F46" i="54"/>
  <c r="Q26" i="20"/>
  <c r="G46" i="54" s="1"/>
  <c r="R26" i="39"/>
  <c r="G74" i="54" s="1"/>
  <c r="F74" i="54"/>
  <c r="R21" i="11"/>
  <c r="Y310" i="55" s="1"/>
  <c r="Q21" i="11"/>
  <c r="R41" i="11"/>
  <c r="Y318" i="55" s="1"/>
  <c r="Q41" i="11"/>
  <c r="R61" i="11"/>
  <c r="Y326" i="55" s="1"/>
  <c r="Q61" i="11"/>
  <c r="R81" i="11"/>
  <c r="Y334" i="55" s="1"/>
  <c r="Q81" i="11"/>
  <c r="R101" i="11"/>
  <c r="Y342" i="55" s="1"/>
  <c r="Q101" i="11"/>
  <c r="R181" i="11"/>
  <c r="Y374" i="55" s="1"/>
  <c r="Q181" i="11"/>
  <c r="R261" i="11"/>
  <c r="Y406" i="55" s="1"/>
  <c r="Q261" i="11"/>
  <c r="R341" i="11"/>
  <c r="Y438" i="55" s="1"/>
  <c r="Q341" i="11"/>
  <c r="R421" i="11"/>
  <c r="Y470" i="55" s="1"/>
  <c r="Q421" i="11"/>
  <c r="B243" i="52"/>
  <c r="M243" i="52" s="1"/>
  <c r="B235" i="52"/>
  <c r="M235" i="52" s="1"/>
  <c r="B104" i="52"/>
  <c r="M104" i="52" s="1"/>
  <c r="B56" i="52"/>
  <c r="M56" i="52" s="1"/>
  <c r="B31" i="52"/>
  <c r="M31" i="52"/>
  <c r="B25" i="52"/>
  <c r="M25" i="52" s="1"/>
  <c r="A21" i="11"/>
  <c r="A309" i="55" s="1"/>
  <c r="A41" i="11"/>
  <c r="A317" i="55" s="1"/>
  <c r="A61" i="11"/>
  <c r="A325" i="55" s="1"/>
  <c r="A81" i="11"/>
  <c r="A333" i="55" s="1"/>
  <c r="A101" i="11"/>
  <c r="A341" i="55" s="1"/>
  <c r="A181" i="11"/>
  <c r="A373" i="55" s="1"/>
  <c r="A261" i="11"/>
  <c r="A405" i="55" s="1"/>
  <c r="A341" i="11"/>
  <c r="A437" i="55"/>
  <c r="A421" i="11"/>
  <c r="A469" i="55" s="1"/>
  <c r="Q16" i="14"/>
  <c r="G38" i="54" s="1"/>
  <c r="L16" i="35"/>
  <c r="R16" i="35" s="1"/>
  <c r="G69" i="54" s="1"/>
  <c r="R161" i="11"/>
  <c r="Y366" i="55" s="1"/>
  <c r="Q161" i="11"/>
  <c r="R241" i="11"/>
  <c r="Y398" i="55" s="1"/>
  <c r="Q241" i="11"/>
  <c r="R321" i="11"/>
  <c r="Y430" i="55" s="1"/>
  <c r="Q321" i="11"/>
  <c r="R401" i="11"/>
  <c r="Y462" i="55" s="1"/>
  <c r="Q401" i="11"/>
  <c r="B237" i="52"/>
  <c r="M237" i="52" s="1"/>
  <c r="Q16" i="12"/>
  <c r="G34" i="54" s="1"/>
  <c r="F34" i="54"/>
  <c r="R141" i="11"/>
  <c r="Y358" i="55" s="1"/>
  <c r="Q141" i="11"/>
  <c r="R221" i="11"/>
  <c r="Y390" i="55" s="1"/>
  <c r="Q221" i="11"/>
  <c r="R301" i="11"/>
  <c r="Y422" i="55" s="1"/>
  <c r="Q301" i="11"/>
  <c r="R381" i="11"/>
  <c r="Y454" i="55" s="1"/>
  <c r="Q381" i="11"/>
  <c r="B239" i="52"/>
  <c r="M239" i="52" s="1"/>
  <c r="F39" i="54"/>
  <c r="R16" i="38"/>
  <c r="G73" i="54" s="1"/>
  <c r="L46" i="53"/>
  <c r="R46" i="53" s="1"/>
  <c r="G24" i="54" s="1"/>
  <c r="R121" i="11"/>
  <c r="Y350" i="55" s="1"/>
  <c r="Q121" i="11"/>
  <c r="R201" i="11"/>
  <c r="Y382" i="55" s="1"/>
  <c r="Q201" i="11"/>
  <c r="Q281" i="11"/>
  <c r="R361" i="11"/>
  <c r="Y446" i="55" s="1"/>
  <c r="Q361" i="11"/>
  <c r="R501" i="11"/>
  <c r="Y502" i="55" s="1"/>
  <c r="Q501" i="11"/>
  <c r="H63" i="54"/>
  <c r="G120" i="54" s="1"/>
  <c r="X659" i="55"/>
  <c r="H24" i="54"/>
  <c r="X11" i="55"/>
  <c r="B241" i="52"/>
  <c r="M241" i="52"/>
  <c r="B233" i="52"/>
  <c r="M233" i="52" s="1"/>
  <c r="R21" i="30"/>
  <c r="G65" i="54" s="1"/>
  <c r="R21" i="32"/>
  <c r="G66" i="54" s="1"/>
  <c r="R16" i="33"/>
  <c r="G67" i="54" s="1"/>
  <c r="R16" i="34"/>
  <c r="G68" i="54" s="1"/>
  <c r="Q106" i="11"/>
  <c r="Q126" i="11"/>
  <c r="Q146" i="11"/>
  <c r="Q166" i="11"/>
  <c r="Q186" i="11"/>
  <c r="Q206" i="11"/>
  <c r="Q226" i="11"/>
  <c r="Q246" i="11"/>
  <c r="Q266" i="11"/>
  <c r="Q286" i="11"/>
  <c r="Q306" i="11"/>
  <c r="Q326" i="11"/>
  <c r="Q346" i="11"/>
  <c r="Q366" i="11"/>
  <c r="Q386" i="11"/>
  <c r="Q406" i="11"/>
  <c r="Q461" i="11"/>
  <c r="Q471" i="11"/>
  <c r="M211" i="52"/>
  <c r="M209" i="52"/>
  <c r="M207" i="52"/>
  <c r="M205" i="52"/>
  <c r="M203" i="52"/>
  <c r="M201" i="52"/>
  <c r="M199" i="52"/>
  <c r="M194" i="52"/>
  <c r="M190" i="52"/>
  <c r="M186" i="52"/>
  <c r="M182" i="52"/>
  <c r="M168" i="52"/>
  <c r="M152" i="52"/>
  <c r="M136" i="52"/>
  <c r="M120" i="52"/>
  <c r="B108" i="52"/>
  <c r="M108" i="52" s="1"/>
  <c r="Q481" i="11"/>
  <c r="Q491" i="11"/>
  <c r="M195" i="52"/>
  <c r="M193" i="52"/>
  <c r="M191" i="52"/>
  <c r="M189" i="52"/>
  <c r="M187" i="52"/>
  <c r="M185" i="52"/>
  <c r="M183" i="52"/>
  <c r="B112" i="52"/>
  <c r="M112" i="52" s="1"/>
  <c r="B81" i="52"/>
  <c r="M81" i="52" s="1"/>
  <c r="M176" i="52"/>
  <c r="M160" i="52"/>
  <c r="M144" i="52"/>
  <c r="M128" i="52"/>
  <c r="M179" i="52"/>
  <c r="M171" i="52"/>
  <c r="M163" i="52"/>
  <c r="M155" i="52"/>
  <c r="M147" i="52"/>
  <c r="M139" i="52"/>
  <c r="M131" i="52"/>
  <c r="M123" i="52"/>
  <c r="M115" i="52"/>
  <c r="B111" i="52"/>
  <c r="M111" i="52"/>
  <c r="B107" i="52"/>
  <c r="M107" i="52" s="1"/>
  <c r="B103" i="52"/>
  <c r="M103" i="52" s="1"/>
  <c r="M96" i="52"/>
  <c r="M92" i="52"/>
  <c r="M88" i="52"/>
  <c r="M76" i="52"/>
  <c r="M71" i="52"/>
  <c r="B64" i="52"/>
  <c r="M64" i="52" s="1"/>
  <c r="B59" i="52"/>
  <c r="M59" i="52" s="1"/>
  <c r="B33" i="52"/>
  <c r="M33" i="52"/>
  <c r="M17" i="52"/>
  <c r="B99" i="52"/>
  <c r="M99" i="52" s="1"/>
  <c r="B95" i="52"/>
  <c r="M95" i="52" s="1"/>
  <c r="B91" i="52"/>
  <c r="M91" i="52" s="1"/>
  <c r="B87" i="52"/>
  <c r="M87" i="52" s="1"/>
  <c r="B67" i="52"/>
  <c r="M67" i="52" s="1"/>
  <c r="B61" i="52"/>
  <c r="M61" i="52" s="1"/>
  <c r="M45" i="52"/>
  <c r="M175" i="52"/>
  <c r="M167" i="52"/>
  <c r="M159" i="52"/>
  <c r="M151" i="52"/>
  <c r="M143" i="52"/>
  <c r="M135" i="52"/>
  <c r="M127" i="52"/>
  <c r="M119" i="52"/>
  <c r="M73" i="52"/>
  <c r="B28" i="52"/>
  <c r="M28" i="52" s="1"/>
  <c r="B23" i="52"/>
  <c r="M23" i="52" s="1"/>
  <c r="M9" i="52"/>
  <c r="M48" i="52"/>
  <c r="M40" i="52"/>
  <c r="M12" i="52"/>
  <c r="M83" i="52"/>
  <c r="M75" i="52"/>
  <c r="M60" i="52"/>
  <c r="M47" i="52"/>
  <c r="M39" i="52"/>
  <c r="M32" i="52"/>
  <c r="M24" i="52"/>
  <c r="M19" i="52"/>
  <c r="M11" i="52"/>
  <c r="AJ306" i="1"/>
  <c r="C135" i="54" s="1"/>
  <c r="I146" i="54" s="1"/>
  <c r="M80" i="52"/>
  <c r="M72" i="52"/>
  <c r="M44" i="52"/>
  <c r="M16" i="52"/>
  <c r="M8" i="52"/>
  <c r="CA205" i="1"/>
  <c r="CB205" i="1" s="1"/>
  <c r="BO193" i="1"/>
  <c r="BP193" i="1" s="1"/>
  <c r="BI193" i="1"/>
  <c r="BJ193" i="1" s="1"/>
  <c r="BO136" i="1"/>
  <c r="BP136" i="1" s="1"/>
  <c r="AZ155" i="1"/>
  <c r="BA155" i="1" s="1"/>
  <c r="AW148" i="1"/>
  <c r="AX148" i="1" s="1"/>
  <c r="AO97" i="1"/>
  <c r="BF251" i="1"/>
  <c r="BG251" i="1" s="1"/>
  <c r="BL251" i="1"/>
  <c r="BM251" i="1" s="1"/>
  <c r="BU52" i="1"/>
  <c r="BV52" i="1" s="1"/>
  <c r="F24" i="54"/>
  <c r="BS251" i="1"/>
  <c r="BR11" i="1" l="1"/>
  <c r="BV10" i="1"/>
  <c r="BB10" i="1"/>
  <c r="BE11" i="1"/>
  <c r="BI10" i="1"/>
  <c r="BJ10" i="1" s="1"/>
  <c r="AW10" i="1"/>
  <c r="AX10" i="1" s="1"/>
  <c r="BC10" i="1"/>
  <c r="BO10" i="1"/>
  <c r="BP10" i="1" s="1"/>
  <c r="AW160" i="1"/>
  <c r="AX160" i="1" s="1"/>
  <c r="BI160" i="1"/>
  <c r="BJ160" i="1" s="1"/>
  <c r="BO160" i="1"/>
  <c r="BP160" i="1" s="1"/>
  <c r="BC34" i="1"/>
  <c r="BD34" i="1" s="1"/>
  <c r="AO151" i="1"/>
  <c r="BM98" i="1"/>
  <c r="AW16" i="1"/>
  <c r="AX16" i="1" s="1"/>
  <c r="AO34" i="1"/>
  <c r="AW151" i="1"/>
  <c r="AX151" i="1" s="1"/>
  <c r="AW118" i="1"/>
  <c r="AX118" i="1" s="1"/>
  <c r="BI151" i="1"/>
  <c r="BJ151" i="1" s="1"/>
  <c r="BO16" i="1"/>
  <c r="BP16" i="1" s="1"/>
  <c r="CD44" i="1"/>
  <c r="CE44" i="1" s="1"/>
  <c r="AN43" i="1"/>
  <c r="BI244" i="1"/>
  <c r="BJ244" i="1" s="1"/>
  <c r="BC151" i="1"/>
  <c r="BD151" i="1" s="1"/>
  <c r="BI199" i="1"/>
  <c r="BJ199" i="1" s="1"/>
  <c r="BU73" i="1"/>
  <c r="BV73" i="1" s="1"/>
  <c r="BI16" i="1"/>
  <c r="BJ16" i="1" s="1"/>
  <c r="BU199" i="1"/>
  <c r="BV199" i="1" s="1"/>
  <c r="BI118" i="1"/>
  <c r="BJ118" i="1" s="1"/>
  <c r="BI73" i="1"/>
  <c r="BJ73" i="1" s="1"/>
  <c r="BC16" i="1"/>
  <c r="BD16" i="1" s="1"/>
  <c r="BO73" i="1"/>
  <c r="BP73" i="1" s="1"/>
  <c r="BO118" i="1"/>
  <c r="BP118" i="1" s="1"/>
  <c r="AR62" i="1"/>
  <c r="AS62" i="1" s="1"/>
  <c r="AT62" i="1"/>
  <c r="AU62" i="1" s="1"/>
  <c r="A60" i="1"/>
  <c r="A61" i="55" s="1"/>
  <c r="AP61" i="1"/>
  <c r="AQ61" i="1" s="1"/>
  <c r="AN61" i="1"/>
  <c r="BO61" i="1" s="1"/>
  <c r="BP61" i="1" s="1"/>
  <c r="BS11" i="1"/>
  <c r="BM11" i="1"/>
  <c r="AW223" i="1"/>
  <c r="AX223" i="1" s="1"/>
  <c r="BI223" i="1"/>
  <c r="BJ223" i="1" s="1"/>
  <c r="BU223" i="1"/>
  <c r="BV223" i="1" s="1"/>
  <c r="AO184" i="1"/>
  <c r="AW184" i="1"/>
  <c r="AX184" i="1" s="1"/>
  <c r="AO64" i="1"/>
  <c r="BU64" i="1"/>
  <c r="BV64" i="1" s="1"/>
  <c r="BO64" i="1"/>
  <c r="BP64" i="1" s="1"/>
  <c r="BC64" i="1"/>
  <c r="BD64" i="1" s="1"/>
  <c r="AR245" i="1"/>
  <c r="A243" i="1"/>
  <c r="A198" i="55" s="1"/>
  <c r="AR239" i="1"/>
  <c r="CD239" i="1" s="1"/>
  <c r="CE239" i="1" s="1"/>
  <c r="AT239" i="1"/>
  <c r="AU239" i="1" s="1"/>
  <c r="AP238" i="1"/>
  <c r="AQ238" i="1" s="1"/>
  <c r="AR233" i="1"/>
  <c r="A231" i="1"/>
  <c r="A189" i="55" s="1"/>
  <c r="AR227" i="1"/>
  <c r="AT227" i="1"/>
  <c r="AU227" i="1" s="1"/>
  <c r="AN226" i="1"/>
  <c r="AR221" i="1"/>
  <c r="AF219" i="1" s="1"/>
  <c r="AG219" i="1" s="1"/>
  <c r="AP220" i="1"/>
  <c r="AQ220" i="1" s="1"/>
  <c r="A219" i="1"/>
  <c r="A180" i="55" s="1"/>
  <c r="AT221" i="1"/>
  <c r="AU221" i="1" s="1"/>
  <c r="AR215" i="1"/>
  <c r="BF215" i="1" s="1"/>
  <c r="BG215" i="1" s="1"/>
  <c r="AT215" i="1"/>
  <c r="AU215" i="1" s="1"/>
  <c r="AN214" i="1"/>
  <c r="AP214" i="1"/>
  <c r="AQ214" i="1" s="1"/>
  <c r="AR209" i="1"/>
  <c r="CD209" i="1" s="1"/>
  <c r="CE209" i="1" s="1"/>
  <c r="AN208" i="1"/>
  <c r="AO208" i="1" s="1"/>
  <c r="AT209" i="1"/>
  <c r="AU209" i="1" s="1"/>
  <c r="A207" i="1"/>
  <c r="A171" i="55" s="1"/>
  <c r="AP202" i="1"/>
  <c r="AQ202" i="1" s="1"/>
  <c r="AT203" i="1"/>
  <c r="AU203" i="1" s="1"/>
  <c r="AR197" i="1"/>
  <c r="AT197" i="1"/>
  <c r="AU197" i="1" s="1"/>
  <c r="A195" i="1"/>
  <c r="A162" i="55" s="1"/>
  <c r="AN196" i="1"/>
  <c r="AP196" i="1"/>
  <c r="AQ196" i="1" s="1"/>
  <c r="AR191" i="1"/>
  <c r="AN190" i="1"/>
  <c r="BO190" i="1" s="1"/>
  <c r="BP190" i="1" s="1"/>
  <c r="AP190" i="1"/>
  <c r="AQ190" i="1" s="1"/>
  <c r="AR185" i="1"/>
  <c r="AP184" i="1"/>
  <c r="AQ184" i="1" s="1"/>
  <c r="A183" i="1"/>
  <c r="A153" i="55" s="1"/>
  <c r="AR179" i="1"/>
  <c r="AN178" i="1"/>
  <c r="AR173" i="1"/>
  <c r="AN172" i="1"/>
  <c r="BO172" i="1" s="1"/>
  <c r="BP172" i="1" s="1"/>
  <c r="AP172" i="1"/>
  <c r="AQ172" i="1" s="1"/>
  <c r="A171" i="1"/>
  <c r="A144" i="55" s="1"/>
  <c r="AT173" i="1"/>
  <c r="AU173" i="1" s="1"/>
  <c r="AR161" i="1"/>
  <c r="CD161" i="1" s="1"/>
  <c r="CE161" i="1" s="1"/>
  <c r="A159" i="1"/>
  <c r="A135" i="55" s="1"/>
  <c r="BC304" i="1"/>
  <c r="BD304" i="1" s="1"/>
  <c r="BO304" i="1"/>
  <c r="BP304" i="1" s="1"/>
  <c r="AW85" i="1"/>
  <c r="AX85" i="1" s="1"/>
  <c r="BU85" i="1"/>
  <c r="BV85" i="1" s="1"/>
  <c r="BM254" i="1"/>
  <c r="AW304" i="1"/>
  <c r="AX304" i="1" s="1"/>
  <c r="AO160" i="1"/>
  <c r="BU160" i="1"/>
  <c r="BV160" i="1" s="1"/>
  <c r="BU127" i="1"/>
  <c r="BV127" i="1" s="1"/>
  <c r="BO127" i="1"/>
  <c r="BP127" i="1" s="1"/>
  <c r="AO127" i="1"/>
  <c r="BX59" i="1"/>
  <c r="BY59" i="1" s="1"/>
  <c r="BU97" i="1"/>
  <c r="BV97" i="1" s="1"/>
  <c r="BI97" i="1"/>
  <c r="BJ97" i="1" s="1"/>
  <c r="BI52" i="1"/>
  <c r="BJ52" i="1" s="1"/>
  <c r="BO52" i="1"/>
  <c r="BP52" i="1" s="1"/>
  <c r="BM296" i="1"/>
  <c r="BS296" i="1"/>
  <c r="BS167" i="1"/>
  <c r="AO205" i="1"/>
  <c r="BU205" i="1"/>
  <c r="BV205" i="1" s="1"/>
  <c r="BO205" i="1"/>
  <c r="BP205" i="1" s="1"/>
  <c r="BC205" i="1"/>
  <c r="BD205" i="1" s="1"/>
  <c r="BC160" i="1"/>
  <c r="BD160" i="1" s="1"/>
  <c r="AN55" i="1"/>
  <c r="A48" i="1"/>
  <c r="A52" i="55" s="1"/>
  <c r="AT56" i="1"/>
  <c r="AU56" i="1" s="1"/>
  <c r="AP49" i="1"/>
  <c r="AQ49" i="1" s="1"/>
  <c r="AP55" i="1"/>
  <c r="AQ55" i="1" s="1"/>
  <c r="AN277" i="1"/>
  <c r="AN112" i="1"/>
  <c r="CA112" i="1" s="1"/>
  <c r="CB112" i="1" s="1"/>
  <c r="AN49" i="1"/>
  <c r="AR38" i="1"/>
  <c r="AT38" i="1"/>
  <c r="AU38" i="1" s="1"/>
  <c r="AR32" i="1"/>
  <c r="CD32" i="1" s="1"/>
  <c r="CE32" i="1" s="1"/>
  <c r="AN31" i="1"/>
  <c r="AP31" i="1"/>
  <c r="AQ31" i="1" s="1"/>
  <c r="AR26" i="1"/>
  <c r="AP25" i="1"/>
  <c r="AQ25" i="1" s="1"/>
  <c r="AN25" i="1"/>
  <c r="AR20" i="1"/>
  <c r="AP19" i="1"/>
  <c r="AQ19" i="1" s="1"/>
  <c r="A18" i="1"/>
  <c r="A30" i="55" s="1"/>
  <c r="AT20" i="1"/>
  <c r="AU20" i="1" s="1"/>
  <c r="AR14" i="1"/>
  <c r="AN13" i="1"/>
  <c r="AT14" i="1"/>
  <c r="AU14" i="1" s="1"/>
  <c r="BS17" i="1"/>
  <c r="AW97" i="1"/>
  <c r="AX97" i="1" s="1"/>
  <c r="BU226" i="1"/>
  <c r="BV226" i="1" s="1"/>
  <c r="AW34" i="1"/>
  <c r="AX34" i="1" s="1"/>
  <c r="BC193" i="1"/>
  <c r="BD193" i="1" s="1"/>
  <c r="BF59" i="1"/>
  <c r="BG59" i="1" s="1"/>
  <c r="BI130" i="1"/>
  <c r="BJ130" i="1" s="1"/>
  <c r="BS152" i="1"/>
  <c r="BF197" i="1"/>
  <c r="BG197" i="1" s="1"/>
  <c r="BX197" i="1"/>
  <c r="BY197" i="1" s="1"/>
  <c r="BM278" i="1"/>
  <c r="BS278" i="1"/>
  <c r="BR197" i="1"/>
  <c r="A30" i="1"/>
  <c r="A39" i="55" s="1"/>
  <c r="AP13" i="1"/>
  <c r="AQ13" i="1" s="1"/>
  <c r="BU229" i="1"/>
  <c r="BV229" i="1" s="1"/>
  <c r="BC229" i="1"/>
  <c r="BD229" i="1" s="1"/>
  <c r="AW229" i="1"/>
  <c r="AX229" i="1" s="1"/>
  <c r="AN19" i="1"/>
  <c r="AR95" i="1"/>
  <c r="AZ95" i="1" s="1"/>
  <c r="BA95" i="1" s="1"/>
  <c r="A93" i="1"/>
  <c r="A86" i="55" s="1"/>
  <c r="AN94" i="1"/>
  <c r="AR89" i="1"/>
  <c r="AN88" i="1"/>
  <c r="BO88" i="1" s="1"/>
  <c r="BP88" i="1" s="1"/>
  <c r="AP88" i="1"/>
  <c r="AQ88" i="1" s="1"/>
  <c r="AT89" i="1"/>
  <c r="AU89" i="1" s="1"/>
  <c r="A87" i="1"/>
  <c r="A81" i="55" s="1"/>
  <c r="AR83" i="1"/>
  <c r="AF81" i="1" s="1"/>
  <c r="AG81" i="1" s="1"/>
  <c r="AN82" i="1"/>
  <c r="AP82" i="1"/>
  <c r="AQ82" i="1" s="1"/>
  <c r="A81" i="1"/>
  <c r="A77" i="55" s="1"/>
  <c r="AR77" i="1"/>
  <c r="AF75" i="1" s="1"/>
  <c r="AG75" i="1" s="1"/>
  <c r="A75" i="1"/>
  <c r="A72" i="55" s="1"/>
  <c r="AR71" i="1"/>
  <c r="AT71" i="1"/>
  <c r="AU71" i="1" s="1"/>
  <c r="AP70" i="1"/>
  <c r="AQ70" i="1" s="1"/>
  <c r="A69" i="1"/>
  <c r="A68" i="55" s="1"/>
  <c r="AN70" i="1"/>
  <c r="BX65" i="1"/>
  <c r="BY65" i="1" s="1"/>
  <c r="AZ65" i="1"/>
  <c r="BA65" i="1" s="1"/>
  <c r="BM272" i="1"/>
  <c r="BS272" i="1"/>
  <c r="BC97" i="1"/>
  <c r="BD97" i="1" s="1"/>
  <c r="AS59" i="1"/>
  <c r="BM260" i="1"/>
  <c r="BS260" i="1"/>
  <c r="AT32" i="1"/>
  <c r="AU32" i="1" s="1"/>
  <c r="AR188" i="1"/>
  <c r="AP187" i="1"/>
  <c r="AQ187" i="1" s="1"/>
  <c r="AR182" i="1"/>
  <c r="AP181" i="1"/>
  <c r="AQ181" i="1" s="1"/>
  <c r="AR170" i="1"/>
  <c r="CD170" i="1" s="1"/>
  <c r="CE170" i="1" s="1"/>
  <c r="AN169" i="1"/>
  <c r="AP169" i="1"/>
  <c r="AQ169" i="1" s="1"/>
  <c r="AR164" i="1"/>
  <c r="AT164" i="1"/>
  <c r="AU164" i="1" s="1"/>
  <c r="AN163" i="1"/>
  <c r="BL158" i="1"/>
  <c r="BR158" i="1"/>
  <c r="BC130" i="1"/>
  <c r="BD130" i="1" s="1"/>
  <c r="BO97" i="1"/>
  <c r="BP97" i="1" s="1"/>
  <c r="BO226" i="1"/>
  <c r="BP226" i="1" s="1"/>
  <c r="AW136" i="1"/>
  <c r="AX136" i="1" s="1"/>
  <c r="AW193" i="1"/>
  <c r="AX193" i="1" s="1"/>
  <c r="AZ59" i="1"/>
  <c r="BA59" i="1" s="1"/>
  <c r="AO130" i="1"/>
  <c r="A12" i="1"/>
  <c r="A25" i="55" s="1"/>
  <c r="BS248" i="1"/>
  <c r="A24" i="1"/>
  <c r="A34" i="55" s="1"/>
  <c r="A36" i="1"/>
  <c r="A43" i="55" s="1"/>
  <c r="AT26" i="1"/>
  <c r="AU26" i="1" s="1"/>
  <c r="AW61" i="1"/>
  <c r="AX61" i="1" s="1"/>
  <c r="BC61" i="1"/>
  <c r="BD61" i="1" s="1"/>
  <c r="AN37" i="1"/>
  <c r="BO37" i="1" s="1"/>
  <c r="BP37" i="1" s="1"/>
  <c r="AR293" i="1"/>
  <c r="AT293" i="1"/>
  <c r="AU293" i="1" s="1"/>
  <c r="AN292" i="1"/>
  <c r="CA292" i="1" s="1"/>
  <c r="CB292" i="1" s="1"/>
  <c r="AP292" i="1"/>
  <c r="AQ292" i="1" s="1"/>
  <c r="A291" i="1"/>
  <c r="A234" i="55" s="1"/>
  <c r="AR287" i="1"/>
  <c r="AF285" i="1" s="1"/>
  <c r="AG285" i="1" s="1"/>
  <c r="AN286" i="1"/>
  <c r="AT287" i="1"/>
  <c r="AU287" i="1" s="1"/>
  <c r="A285" i="1"/>
  <c r="A230" i="55" s="1"/>
  <c r="AR281" i="1"/>
  <c r="CD281" i="1" s="1"/>
  <c r="CE281" i="1" s="1"/>
  <c r="A279" i="1"/>
  <c r="A225" i="55" s="1"/>
  <c r="AR275" i="1"/>
  <c r="A273" i="1"/>
  <c r="A221" i="55" s="1"/>
  <c r="AN274" i="1"/>
  <c r="AR269" i="1"/>
  <c r="BX269" i="1" s="1"/>
  <c r="BY269" i="1" s="1"/>
  <c r="AN268" i="1"/>
  <c r="AP268" i="1"/>
  <c r="AQ268" i="1" s="1"/>
  <c r="AT269" i="1"/>
  <c r="AU269" i="1" s="1"/>
  <c r="A267" i="1"/>
  <c r="A216" i="55" s="1"/>
  <c r="AR263" i="1"/>
  <c r="A261" i="1"/>
  <c r="A212" i="55" s="1"/>
  <c r="AP262" i="1"/>
  <c r="AQ262" i="1" s="1"/>
  <c r="AR257" i="1"/>
  <c r="AF255" i="1" s="1"/>
  <c r="AG255" i="1" s="1"/>
  <c r="AN256" i="1"/>
  <c r="BU256" i="1" s="1"/>
  <c r="BV256" i="1" s="1"/>
  <c r="AT257" i="1"/>
  <c r="AU257" i="1" s="1"/>
  <c r="AP256" i="1"/>
  <c r="AQ256" i="1" s="1"/>
  <c r="A255" i="1"/>
  <c r="A207" i="55" s="1"/>
  <c r="AN250" i="1"/>
  <c r="AT251" i="1"/>
  <c r="AU251" i="1" s="1"/>
  <c r="A249" i="1"/>
  <c r="A203" i="55" s="1"/>
  <c r="AP250" i="1"/>
  <c r="AQ250" i="1" s="1"/>
  <c r="BF71" i="1"/>
  <c r="BG71" i="1" s="1"/>
  <c r="BX95" i="1"/>
  <c r="BY95" i="1" s="1"/>
  <c r="CD182" i="1"/>
  <c r="CE182" i="1" s="1"/>
  <c r="CD65" i="1"/>
  <c r="CE65" i="1" s="1"/>
  <c r="BK8" i="1"/>
  <c r="BK306" i="1" s="1"/>
  <c r="D135" i="54" s="1"/>
  <c r="G98" i="54" s="1"/>
  <c r="BQ8" i="1"/>
  <c r="BQ306" i="1" s="1"/>
  <c r="D136" i="54" s="1"/>
  <c r="BW8" i="1"/>
  <c r="BH7" i="1"/>
  <c r="BH306" i="1" s="1"/>
  <c r="A306" i="1" s="1"/>
  <c r="AV7" i="1"/>
  <c r="BB7" i="1"/>
  <c r="BN7" i="1"/>
  <c r="AY8" i="1"/>
  <c r="AN7" i="1"/>
  <c r="BC7" i="1" s="1"/>
  <c r="BE8" i="1"/>
  <c r="AT8" i="1"/>
  <c r="AU8" i="1" s="1"/>
  <c r="BR8" i="1"/>
  <c r="AS8" i="1"/>
  <c r="AZ8" i="1"/>
  <c r="BF8" i="1"/>
  <c r="BL8" i="1"/>
  <c r="BX8" i="1"/>
  <c r="A6" i="1"/>
  <c r="AP7" i="1"/>
  <c r="AQ7" i="1" s="1"/>
  <c r="AA306" i="1"/>
  <c r="Z9" i="1"/>
  <c r="Z12" i="1" s="1"/>
  <c r="Z15" i="1" s="1"/>
  <c r="Z18" i="1" s="1"/>
  <c r="Z21" i="1" s="1"/>
  <c r="Z24" i="1" s="1"/>
  <c r="Z27" i="1" s="1"/>
  <c r="Z30" i="1" s="1"/>
  <c r="Z33" i="1" s="1"/>
  <c r="Z36" i="1" s="1"/>
  <c r="Z39" i="1" s="1"/>
  <c r="Z42" i="1" s="1"/>
  <c r="Z45" i="1" s="1"/>
  <c r="Z48" i="1" s="1"/>
  <c r="Z51" i="1" s="1"/>
  <c r="Z54" i="1" s="1"/>
  <c r="Z57" i="1" s="1"/>
  <c r="Z60" i="1" s="1"/>
  <c r="Z63" i="1" s="1"/>
  <c r="Z66" i="1" s="1"/>
  <c r="Z69" i="1" s="1"/>
  <c r="Z72" i="1" s="1"/>
  <c r="Z75" i="1" s="1"/>
  <c r="Z78" i="1" s="1"/>
  <c r="Z81" i="1" s="1"/>
  <c r="Z84" i="1" s="1"/>
  <c r="Z87" i="1" s="1"/>
  <c r="Z90" i="1" s="1"/>
  <c r="Z93" i="1" s="1"/>
  <c r="Z96" i="1" s="1"/>
  <c r="Z99" i="1" s="1"/>
  <c r="Z102" i="1" s="1"/>
  <c r="Z105" i="1" s="1"/>
  <c r="Z108" i="1" s="1"/>
  <c r="Z111" i="1" s="1"/>
  <c r="Z114" i="1" s="1"/>
  <c r="Z117" i="1" s="1"/>
  <c r="Z120" i="1" s="1"/>
  <c r="Z123" i="1" s="1"/>
  <c r="Z126" i="1" s="1"/>
  <c r="Z129" i="1" s="1"/>
  <c r="Z132" i="1" s="1"/>
  <c r="Z135" i="1" s="1"/>
  <c r="Z138" i="1" s="1"/>
  <c r="Z141" i="1" s="1"/>
  <c r="Z144" i="1" s="1"/>
  <c r="Z147" i="1" s="1"/>
  <c r="Z150" i="1" s="1"/>
  <c r="Z153" i="1" s="1"/>
  <c r="Z156" i="1" s="1"/>
  <c r="Z159" i="1" s="1"/>
  <c r="Z162" i="1" s="1"/>
  <c r="Z165" i="1" s="1"/>
  <c r="Z168" i="1" s="1"/>
  <c r="Z171" i="1" s="1"/>
  <c r="Z174" i="1" s="1"/>
  <c r="Z177" i="1" s="1"/>
  <c r="Z180" i="1" s="1"/>
  <c r="Z183" i="1" s="1"/>
  <c r="Z186" i="1" s="1"/>
  <c r="Z189" i="1" s="1"/>
  <c r="Z192" i="1" s="1"/>
  <c r="Z195" i="1" s="1"/>
  <c r="Z198" i="1" s="1"/>
  <c r="Z201" i="1" s="1"/>
  <c r="Z204" i="1" s="1"/>
  <c r="Z207" i="1" s="1"/>
  <c r="Z210" i="1" s="1"/>
  <c r="Z213" i="1" s="1"/>
  <c r="Z216" i="1" s="1"/>
  <c r="Z219" i="1" s="1"/>
  <c r="Z222" i="1" s="1"/>
  <c r="Z225" i="1" s="1"/>
  <c r="Z228" i="1" s="1"/>
  <c r="Z231" i="1" s="1"/>
  <c r="Z234" i="1" s="1"/>
  <c r="Z237" i="1" s="1"/>
  <c r="Z240" i="1" s="1"/>
  <c r="Z243" i="1" s="1"/>
  <c r="Z246" i="1" s="1"/>
  <c r="Z249" i="1" s="1"/>
  <c r="Z252" i="1" s="1"/>
  <c r="Z255" i="1" s="1"/>
  <c r="Z258" i="1" s="1"/>
  <c r="Z261" i="1" s="1"/>
  <c r="Z264" i="1" s="1"/>
  <c r="Z267" i="1" s="1"/>
  <c r="Z270" i="1" s="1"/>
  <c r="Z273" i="1" s="1"/>
  <c r="Z276" i="1" s="1"/>
  <c r="Z279" i="1" s="1"/>
  <c r="Z282" i="1" s="1"/>
  <c r="Z285" i="1" s="1"/>
  <c r="Z288" i="1" s="1"/>
  <c r="Z291" i="1" s="1"/>
  <c r="Z294" i="1" s="1"/>
  <c r="Z297" i="1" s="1"/>
  <c r="Z300" i="1" s="1"/>
  <c r="Z303" i="1" s="1"/>
  <c r="G79" i="54"/>
  <c r="A29" i="13"/>
  <c r="H2" i="15"/>
  <c r="H2" i="36"/>
  <c r="H2" i="27"/>
  <c r="A18" i="14"/>
  <c r="H2" i="43"/>
  <c r="H2" i="13"/>
  <c r="H2" i="49"/>
  <c r="A18" i="33"/>
  <c r="A19" i="49"/>
  <c r="A18" i="46"/>
  <c r="A18" i="10"/>
  <c r="H2" i="35"/>
  <c r="A19" i="37"/>
  <c r="H2" i="44"/>
  <c r="F2" i="52"/>
  <c r="A18" i="41"/>
  <c r="H2" i="20"/>
  <c r="A18" i="26"/>
  <c r="A23" i="30"/>
  <c r="G2" i="50"/>
  <c r="A28" i="39"/>
  <c r="F2" i="21"/>
  <c r="H2" i="38"/>
  <c r="H2" i="48"/>
  <c r="A18" i="42"/>
  <c r="H2" i="37"/>
  <c r="A18" i="25"/>
  <c r="A32" i="16"/>
  <c r="F2" i="51"/>
  <c r="H2" i="29"/>
  <c r="A23" i="29"/>
  <c r="A18" i="28"/>
  <c r="H2" i="8"/>
  <c r="H2" i="34"/>
  <c r="H2" i="46"/>
  <c r="A18" i="38"/>
  <c r="A18" i="18"/>
  <c r="H2" i="25"/>
  <c r="H2" i="24"/>
  <c r="A18" i="27"/>
  <c r="A28" i="22"/>
  <c r="A18" i="21"/>
  <c r="A84" i="9"/>
  <c r="A28" i="40"/>
  <c r="H2" i="26"/>
  <c r="A28" i="48"/>
  <c r="H2" i="19"/>
  <c r="A18" i="35"/>
  <c r="H2" i="17"/>
  <c r="A29" i="8"/>
  <c r="A310" i="1"/>
  <c r="H2" i="28"/>
  <c r="H2" i="14"/>
  <c r="A28" i="24"/>
  <c r="A23" i="15"/>
  <c r="H2" i="33"/>
  <c r="H2" i="45"/>
  <c r="A59" i="17"/>
  <c r="H2" i="42"/>
  <c r="A28" i="44"/>
  <c r="H2" i="18"/>
  <c r="H2" i="10"/>
  <c r="H2" i="9"/>
  <c r="A18" i="12"/>
  <c r="A48" i="53"/>
  <c r="A247" i="52"/>
  <c r="A18" i="34"/>
  <c r="H2" i="16"/>
  <c r="A28" i="20"/>
  <c r="H2" i="1"/>
  <c r="H2" i="30"/>
  <c r="A18" i="19"/>
  <c r="H2" i="53"/>
  <c r="A18" i="47"/>
  <c r="A23" i="32"/>
  <c r="H2" i="23"/>
  <c r="H2" i="39"/>
  <c r="A509" i="11"/>
  <c r="A18" i="36"/>
  <c r="H2" i="32"/>
  <c r="H2" i="22"/>
  <c r="H2" i="11"/>
  <c r="U9" i="3"/>
  <c r="U10" i="3" s="1"/>
  <c r="G106" i="54"/>
  <c r="BM299" i="1"/>
  <c r="BS299" i="1"/>
  <c r="BO142" i="1"/>
  <c r="BP142" i="1" s="1"/>
  <c r="AW142" i="1"/>
  <c r="AX142" i="1" s="1"/>
  <c r="AO262" i="1"/>
  <c r="BO262" i="1"/>
  <c r="BP262" i="1" s="1"/>
  <c r="BU262" i="1"/>
  <c r="BV262" i="1" s="1"/>
  <c r="AW262" i="1"/>
  <c r="AX262" i="1" s="1"/>
  <c r="BC262" i="1"/>
  <c r="BD262" i="1" s="1"/>
  <c r="BU208" i="1"/>
  <c r="BV208" i="1" s="1"/>
  <c r="AO121" i="1"/>
  <c r="BU121" i="1"/>
  <c r="BV121" i="1" s="1"/>
  <c r="BC121" i="1"/>
  <c r="BD121" i="1" s="1"/>
  <c r="BR305" i="1"/>
  <c r="BL305" i="1"/>
  <c r="BX305" i="1"/>
  <c r="BY305" i="1" s="1"/>
  <c r="AS305" i="1"/>
  <c r="BX230" i="1"/>
  <c r="BY230" i="1" s="1"/>
  <c r="BR230" i="1"/>
  <c r="BF230" i="1"/>
  <c r="BG230" i="1" s="1"/>
  <c r="AS230" i="1"/>
  <c r="AZ212" i="1"/>
  <c r="BA212" i="1" s="1"/>
  <c r="BL212" i="1"/>
  <c r="BM212" i="1" s="1"/>
  <c r="BR212" i="1"/>
  <c r="BX212" i="1"/>
  <c r="BY212" i="1" s="1"/>
  <c r="BL200" i="1"/>
  <c r="BM200" i="1" s="1"/>
  <c r="AZ200" i="1"/>
  <c r="BA200" i="1" s="1"/>
  <c r="BR200" i="1"/>
  <c r="BR149" i="1"/>
  <c r="BL149" i="1"/>
  <c r="BF149" i="1"/>
  <c r="BG149" i="1" s="1"/>
  <c r="AZ143" i="1"/>
  <c r="BA143" i="1" s="1"/>
  <c r="BX143" i="1"/>
  <c r="BY143" i="1" s="1"/>
  <c r="BL137" i="1"/>
  <c r="AS137" i="1"/>
  <c r="BR137" i="1"/>
  <c r="BX137" i="1"/>
  <c r="BY137" i="1" s="1"/>
  <c r="BL125" i="1"/>
  <c r="BS125" i="1" s="1"/>
  <c r="BX125" i="1"/>
  <c r="BY125" i="1" s="1"/>
  <c r="BR125" i="1"/>
  <c r="BF113" i="1"/>
  <c r="BG113" i="1" s="1"/>
  <c r="BX113" i="1"/>
  <c r="BY113" i="1" s="1"/>
  <c r="AS113" i="1"/>
  <c r="AS101" i="1"/>
  <c r="BR101" i="1"/>
  <c r="AZ101" i="1"/>
  <c r="BA101" i="1" s="1"/>
  <c r="BX101" i="1"/>
  <c r="BY101" i="1" s="1"/>
  <c r="BF62" i="1"/>
  <c r="BG62" i="1" s="1"/>
  <c r="BR62" i="1"/>
  <c r="AZ62" i="1"/>
  <c r="BA62" i="1" s="1"/>
  <c r="BF50" i="1"/>
  <c r="BG50" i="1" s="1"/>
  <c r="BL50" i="1"/>
  <c r="BM50" i="1" s="1"/>
  <c r="BR50" i="1"/>
  <c r="BF38" i="1"/>
  <c r="BG38" i="1" s="1"/>
  <c r="BR38" i="1"/>
  <c r="AZ38" i="1"/>
  <c r="BA38" i="1" s="1"/>
  <c r="BF155" i="1"/>
  <c r="BG155" i="1" s="1"/>
  <c r="AO148" i="1"/>
  <c r="BI85" i="1"/>
  <c r="BJ85" i="1" s="1"/>
  <c r="BR155" i="1"/>
  <c r="AO142" i="1"/>
  <c r="BF101" i="1"/>
  <c r="BG101" i="1" s="1"/>
  <c r="BU34" i="1"/>
  <c r="BV34" i="1" s="1"/>
  <c r="BO34" i="1"/>
  <c r="BP34" i="1" s="1"/>
  <c r="AO232" i="1"/>
  <c r="BO232" i="1"/>
  <c r="BP232" i="1" s="1"/>
  <c r="BM230" i="1"/>
  <c r="BS65" i="1"/>
  <c r="AS149" i="1"/>
  <c r="AS44" i="1"/>
  <c r="AS212" i="1"/>
  <c r="BL44" i="1"/>
  <c r="BR113" i="1"/>
  <c r="BI154" i="1"/>
  <c r="BJ154" i="1" s="1"/>
  <c r="BR56" i="1"/>
  <c r="BF143" i="1"/>
  <c r="BG143" i="1" s="1"/>
  <c r="BC283" i="1"/>
  <c r="BD283" i="1" s="1"/>
  <c r="BO283" i="1"/>
  <c r="BP283" i="1" s="1"/>
  <c r="BU283" i="1"/>
  <c r="BV283" i="1" s="1"/>
  <c r="BI283" i="1"/>
  <c r="BJ283" i="1" s="1"/>
  <c r="AO229" i="1"/>
  <c r="BI229" i="1"/>
  <c r="BJ229" i="1" s="1"/>
  <c r="BO229" i="1"/>
  <c r="BP229" i="1" s="1"/>
  <c r="AO157" i="1"/>
  <c r="BU157" i="1"/>
  <c r="BV157" i="1" s="1"/>
  <c r="BO157" i="1"/>
  <c r="BP157" i="1" s="1"/>
  <c r="BC157" i="1"/>
  <c r="BD157" i="1" s="1"/>
  <c r="AO103" i="1"/>
  <c r="BC103" i="1"/>
  <c r="BD103" i="1" s="1"/>
  <c r="BO103" i="1"/>
  <c r="BP103" i="1" s="1"/>
  <c r="BU103" i="1"/>
  <c r="BV103" i="1" s="1"/>
  <c r="AO79" i="1"/>
  <c r="BU79" i="1"/>
  <c r="BV79" i="1" s="1"/>
  <c r="BI79" i="1"/>
  <c r="BJ79" i="1" s="1"/>
  <c r="BC79" i="1"/>
  <c r="BD79" i="1" s="1"/>
  <c r="AO61" i="1"/>
  <c r="BU61" i="1"/>
  <c r="BV61" i="1" s="1"/>
  <c r="AO37" i="1"/>
  <c r="BU37" i="1"/>
  <c r="BV37" i="1" s="1"/>
  <c r="BC37" i="1"/>
  <c r="BD37" i="1" s="1"/>
  <c r="BI37" i="1"/>
  <c r="BJ37" i="1" s="1"/>
  <c r="BU19" i="1"/>
  <c r="BV19" i="1" s="1"/>
  <c r="BI19" i="1"/>
  <c r="BJ19" i="1" s="1"/>
  <c r="BX299" i="1"/>
  <c r="BY299" i="1" s="1"/>
  <c r="BF299" i="1"/>
  <c r="BG299" i="1" s="1"/>
  <c r="BF224" i="1"/>
  <c r="BG224" i="1" s="1"/>
  <c r="BL224" i="1"/>
  <c r="AZ224" i="1"/>
  <c r="BA224" i="1" s="1"/>
  <c r="BR218" i="1"/>
  <c r="AS218" i="1"/>
  <c r="AZ218" i="1"/>
  <c r="BA218" i="1" s="1"/>
  <c r="BX218" i="1"/>
  <c r="BY218" i="1" s="1"/>
  <c r="BX206" i="1"/>
  <c r="BY206" i="1" s="1"/>
  <c r="BR206" i="1"/>
  <c r="BF206" i="1"/>
  <c r="BG206" i="1" s="1"/>
  <c r="AZ206" i="1"/>
  <c r="BA206" i="1" s="1"/>
  <c r="BR119" i="1"/>
  <c r="BL119" i="1"/>
  <c r="BF119" i="1"/>
  <c r="BG119" i="1" s="1"/>
  <c r="AZ119" i="1"/>
  <c r="BA119" i="1" s="1"/>
  <c r="BR107" i="1"/>
  <c r="BL107" i="1"/>
  <c r="BF107" i="1"/>
  <c r="BG107" i="1" s="1"/>
  <c r="AS95" i="1"/>
  <c r="BL56" i="1"/>
  <c r="AS56" i="1"/>
  <c r="BF56" i="1"/>
  <c r="BG56" i="1" s="1"/>
  <c r="BX155" i="1"/>
  <c r="BY155" i="1" s="1"/>
  <c r="BC142" i="1"/>
  <c r="BD142" i="1" s="1"/>
  <c r="BM80" i="1"/>
  <c r="AO181" i="1"/>
  <c r="BI181" i="1"/>
  <c r="BJ181" i="1" s="1"/>
  <c r="BU244" i="1"/>
  <c r="BV244" i="1" s="1"/>
  <c r="BO244" i="1"/>
  <c r="BP244" i="1" s="1"/>
  <c r="AO19" i="1"/>
  <c r="BO121" i="1"/>
  <c r="BP121" i="1" s="1"/>
  <c r="AO283" i="1"/>
  <c r="AZ299" i="1"/>
  <c r="BA299" i="1" s="1"/>
  <c r="AW19" i="1"/>
  <c r="AX19" i="1" s="1"/>
  <c r="AW208" i="1"/>
  <c r="AX208" i="1" s="1"/>
  <c r="AS38" i="1"/>
  <c r="AS224" i="1"/>
  <c r="AS119" i="1"/>
  <c r="AW79" i="1"/>
  <c r="AX79" i="1" s="1"/>
  <c r="AZ50" i="1"/>
  <c r="BA50" i="1" s="1"/>
  <c r="AZ125" i="1"/>
  <c r="BA125" i="1" s="1"/>
  <c r="AS107" i="1"/>
  <c r="AW157" i="1"/>
  <c r="AX157" i="1" s="1"/>
  <c r="AZ305" i="1"/>
  <c r="BA305" i="1" s="1"/>
  <c r="BI61" i="1"/>
  <c r="BJ61" i="1" s="1"/>
  <c r="BX107" i="1"/>
  <c r="BY107" i="1" s="1"/>
  <c r="BO19" i="1"/>
  <c r="BP19" i="1" s="1"/>
  <c r="BC208" i="1"/>
  <c r="BD208" i="1" s="1"/>
  <c r="BI208" i="1"/>
  <c r="BJ208" i="1" s="1"/>
  <c r="BL38" i="1"/>
  <c r="BM38" i="1" s="1"/>
  <c r="BU154" i="1"/>
  <c r="BV154" i="1" s="1"/>
  <c r="BI103" i="1"/>
  <c r="BJ103" i="1" s="1"/>
  <c r="BO79" i="1"/>
  <c r="BP79" i="1" s="1"/>
  <c r="BF305" i="1"/>
  <c r="BG305" i="1" s="1"/>
  <c r="BX62" i="1"/>
  <c r="BY62" i="1" s="1"/>
  <c r="BX242" i="1"/>
  <c r="BY242" i="1" s="1"/>
  <c r="BF236" i="1"/>
  <c r="BG236" i="1" s="1"/>
  <c r="BI121" i="1"/>
  <c r="BJ121" i="1" s="1"/>
  <c r="BX200" i="1"/>
  <c r="BY200" i="1" s="1"/>
  <c r="BL101" i="1"/>
  <c r="AO85" i="1"/>
  <c r="BO85" i="1"/>
  <c r="BP85" i="1" s="1"/>
  <c r="BO148" i="1"/>
  <c r="BP148" i="1" s="1"/>
  <c r="BU148" i="1"/>
  <c r="BV148" i="1" s="1"/>
  <c r="BS242" i="1"/>
  <c r="BM242" i="1"/>
  <c r="AO301" i="1"/>
  <c r="BI301" i="1"/>
  <c r="BJ301" i="1" s="1"/>
  <c r="BO301" i="1"/>
  <c r="BP301" i="1" s="1"/>
  <c r="BU301" i="1"/>
  <c r="BV301" i="1" s="1"/>
  <c r="BI148" i="1"/>
  <c r="BJ148" i="1" s="1"/>
  <c r="BC85" i="1"/>
  <c r="BD85" i="1" s="1"/>
  <c r="BL155" i="1"/>
  <c r="BS155" i="1" s="1"/>
  <c r="BI142" i="1"/>
  <c r="BJ142" i="1" s="1"/>
  <c r="BR131" i="1"/>
  <c r="BM236" i="1"/>
  <c r="AS299" i="1"/>
  <c r="AZ113" i="1"/>
  <c r="BA113" i="1" s="1"/>
  <c r="AW154" i="1"/>
  <c r="AX154" i="1" s="1"/>
  <c r="AS206" i="1"/>
  <c r="AZ242" i="1"/>
  <c r="BA242" i="1" s="1"/>
  <c r="AZ236" i="1"/>
  <c r="BA236" i="1" s="1"/>
  <c r="AW301" i="1"/>
  <c r="AX301" i="1" s="1"/>
  <c r="AW103" i="1"/>
  <c r="AX103" i="1" s="1"/>
  <c r="AS50" i="1"/>
  <c r="AS125" i="1"/>
  <c r="AS143" i="1"/>
  <c r="AS200" i="1"/>
  <c r="BL206" i="1"/>
  <c r="BS206" i="1" s="1"/>
  <c r="BF125" i="1"/>
  <c r="BG125" i="1" s="1"/>
  <c r="BO208" i="1"/>
  <c r="BP208" i="1" s="1"/>
  <c r="BX38" i="1"/>
  <c r="BY38" i="1" s="1"/>
  <c r="BX224" i="1"/>
  <c r="BY224" i="1" s="1"/>
  <c r="BF242" i="1"/>
  <c r="BG242" i="1" s="1"/>
  <c r="BX236" i="1"/>
  <c r="BY236" i="1" s="1"/>
  <c r="BM194" i="1"/>
  <c r="BS194" i="1"/>
  <c r="BC301" i="1"/>
  <c r="BD301" i="1" s="1"/>
  <c r="BR224" i="1"/>
  <c r="BL62" i="1"/>
  <c r="CD137" i="1"/>
  <c r="CE137" i="1" s="1"/>
  <c r="R266" i="11"/>
  <c r="Y408" i="55" s="1"/>
  <c r="A266" i="11"/>
  <c r="A407" i="55" s="1"/>
  <c r="R286" i="11"/>
  <c r="Y416" i="55" s="1"/>
  <c r="A286" i="11"/>
  <c r="A415" i="55" s="1"/>
  <c r="R306" i="11"/>
  <c r="Y424" i="55" s="1"/>
  <c r="A306" i="11"/>
  <c r="A423" i="55" s="1"/>
  <c r="R326" i="11"/>
  <c r="Y432" i="55" s="1"/>
  <c r="A326" i="11"/>
  <c r="A431" i="55" s="1"/>
  <c r="BR143" i="1"/>
  <c r="BL143" i="1"/>
  <c r="AW244" i="1"/>
  <c r="AX244" i="1" s="1"/>
  <c r="AO244" i="1"/>
  <c r="BC52" i="1"/>
  <c r="BD52" i="1" s="1"/>
  <c r="AW181" i="1"/>
  <c r="AX181" i="1" s="1"/>
  <c r="AW238" i="1"/>
  <c r="AX238" i="1" s="1"/>
  <c r="BI136" i="1"/>
  <c r="BJ136" i="1" s="1"/>
  <c r="AO193" i="1"/>
  <c r="BL59" i="1"/>
  <c r="BO130" i="1"/>
  <c r="BP130" i="1" s="1"/>
  <c r="BM47" i="1"/>
  <c r="BM110" i="1"/>
  <c r="BS104" i="1"/>
  <c r="BS74" i="1"/>
  <c r="BM29" i="1"/>
  <c r="BO154" i="1"/>
  <c r="BP154" i="1" s="1"/>
  <c r="BF185" i="1"/>
  <c r="BG185" i="1" s="1"/>
  <c r="AV301" i="1"/>
  <c r="AZ173" i="1"/>
  <c r="BA173" i="1" s="1"/>
  <c r="AV298" i="1"/>
  <c r="BB238" i="1"/>
  <c r="AY50" i="1"/>
  <c r="AV49" i="1"/>
  <c r="AY140" i="1"/>
  <c r="AV139" i="1"/>
  <c r="AY143" i="1"/>
  <c r="AV142" i="1"/>
  <c r="BW146" i="1"/>
  <c r="BT145" i="1"/>
  <c r="BW149" i="1"/>
  <c r="BX149" i="1"/>
  <c r="BY149" i="1" s="1"/>
  <c r="BT148" i="1"/>
  <c r="R71" i="11"/>
  <c r="Y330" i="55" s="1"/>
  <c r="A71" i="11"/>
  <c r="A329" i="55" s="1"/>
  <c r="R91" i="11"/>
  <c r="Y338" i="55" s="1"/>
  <c r="A91" i="11"/>
  <c r="A337" i="55" s="1"/>
  <c r="R111" i="11"/>
  <c r="Y346" i="55" s="1"/>
  <c r="A111" i="11"/>
  <c r="A345" i="55" s="1"/>
  <c r="R171" i="11"/>
  <c r="Y370" i="55" s="1"/>
  <c r="A171" i="11"/>
  <c r="A369" i="55" s="1"/>
  <c r="R191" i="11"/>
  <c r="Y378" i="55" s="1"/>
  <c r="A191" i="11"/>
  <c r="A377" i="55" s="1"/>
  <c r="AS182" i="1"/>
  <c r="BR182" i="1"/>
  <c r="AZ182" i="1"/>
  <c r="BA182" i="1" s="1"/>
  <c r="BE290" i="1"/>
  <c r="BB289" i="1"/>
  <c r="AW52" i="1"/>
  <c r="AX52" i="1" s="1"/>
  <c r="AS251" i="1"/>
  <c r="BC238" i="1"/>
  <c r="BD238" i="1" s="1"/>
  <c r="BC136" i="1"/>
  <c r="BD136" i="1" s="1"/>
  <c r="AO136" i="1"/>
  <c r="AW130" i="1"/>
  <c r="AX130" i="1" s="1"/>
  <c r="AL306" i="1"/>
  <c r="C137" i="54" s="1"/>
  <c r="AI306" i="1"/>
  <c r="C134" i="54" s="1"/>
  <c r="BS302" i="1"/>
  <c r="BS116" i="1"/>
  <c r="BT7" i="1"/>
  <c r="BE221" i="1"/>
  <c r="BB31" i="1"/>
  <c r="BE32" i="1"/>
  <c r="BB103" i="1"/>
  <c r="BF104" i="1"/>
  <c r="BG104" i="1" s="1"/>
  <c r="BE107" i="1"/>
  <c r="BC106" i="1"/>
  <c r="BD106" i="1" s="1"/>
  <c r="BE113" i="1"/>
  <c r="BB112" i="1"/>
  <c r="BB115" i="1"/>
  <c r="BE116" i="1"/>
  <c r="BE119" i="1"/>
  <c r="BB118" i="1"/>
  <c r="BF131" i="1"/>
  <c r="BG131" i="1" s="1"/>
  <c r="BE131" i="1"/>
  <c r="BB130" i="1"/>
  <c r="BF137" i="1"/>
  <c r="BG137" i="1" s="1"/>
  <c r="BB136" i="1"/>
  <c r="AV241" i="1"/>
  <c r="AY242" i="1"/>
  <c r="AY251" i="1"/>
  <c r="AV250" i="1"/>
  <c r="AV253" i="1"/>
  <c r="AY254" i="1"/>
  <c r="BW260" i="1"/>
  <c r="BT259" i="1"/>
  <c r="BW263" i="1"/>
  <c r="BT262" i="1"/>
  <c r="BW266" i="1"/>
  <c r="BT265" i="1"/>
  <c r="AO214" i="1"/>
  <c r="BO214" i="1"/>
  <c r="BP214" i="1" s="1"/>
  <c r="AO70" i="1"/>
  <c r="BI70" i="1"/>
  <c r="BJ70" i="1" s="1"/>
  <c r="BO49" i="1"/>
  <c r="BP49" i="1" s="1"/>
  <c r="R396" i="11"/>
  <c r="Y460" i="55" s="1"/>
  <c r="A396" i="11"/>
  <c r="A459" i="55" s="1"/>
  <c r="R471" i="11"/>
  <c r="Y490" i="55" s="1"/>
  <c r="A471" i="11"/>
  <c r="A489" i="55" s="1"/>
  <c r="R491" i="11"/>
  <c r="Y498" i="55" s="1"/>
  <c r="A491" i="11"/>
  <c r="A497" i="55" s="1"/>
  <c r="BX50" i="1"/>
  <c r="BY50" i="1" s="1"/>
  <c r="AV73" i="1"/>
  <c r="AZ74" i="1"/>
  <c r="BA74" i="1" s="1"/>
  <c r="AY74" i="1"/>
  <c r="AY77" i="1"/>
  <c r="AV76" i="1"/>
  <c r="BW77" i="1"/>
  <c r="BT76" i="1"/>
  <c r="AY164" i="1"/>
  <c r="AV163" i="1"/>
  <c r="AV166" i="1"/>
  <c r="AY167" i="1"/>
  <c r="AV169" i="1"/>
  <c r="AY170" i="1"/>
  <c r="BC199" i="1"/>
  <c r="BD199" i="1" s="1"/>
  <c r="BF200" i="1"/>
  <c r="BG200" i="1" s="1"/>
  <c r="BB211" i="1"/>
  <c r="BC211" i="1"/>
  <c r="BD211" i="1" s="1"/>
  <c r="BF212" i="1"/>
  <c r="BG212" i="1" s="1"/>
  <c r="BB214" i="1"/>
  <c r="BE215" i="1"/>
  <c r="BE218" i="1"/>
  <c r="BF218" i="1"/>
  <c r="BG218" i="1" s="1"/>
  <c r="BB217" i="1"/>
  <c r="BB229" i="1"/>
  <c r="BE230" i="1"/>
  <c r="BB232" i="1"/>
  <c r="BF233" i="1"/>
  <c r="BG233" i="1" s="1"/>
  <c r="AV292" i="1"/>
  <c r="AY293" i="1"/>
  <c r="AV295" i="1"/>
  <c r="AY296" i="1"/>
  <c r="AY305" i="1"/>
  <c r="AV304" i="1"/>
  <c r="A246" i="11"/>
  <c r="A399" i="55" s="1"/>
  <c r="AO241" i="1"/>
  <c r="BO241" i="1"/>
  <c r="BP241" i="1" s="1"/>
  <c r="AN271" i="1"/>
  <c r="CA271" i="1" s="1"/>
  <c r="CB271" i="1" s="1"/>
  <c r="AN253" i="1"/>
  <c r="BR128" i="1"/>
  <c r="X517" i="55"/>
  <c r="AN247" i="1"/>
  <c r="CA247" i="1" s="1"/>
  <c r="CB247" i="1" s="1"/>
  <c r="AN220" i="1"/>
  <c r="BL131" i="1"/>
  <c r="BX131" i="1"/>
  <c r="BY131" i="1" s="1"/>
  <c r="BS92" i="1"/>
  <c r="BM92" i="1"/>
  <c r="T16" i="19"/>
  <c r="G112" i="54" s="1"/>
  <c r="M46" i="52"/>
  <c r="M14" i="52"/>
  <c r="Q56" i="11"/>
  <c r="M184" i="52"/>
  <c r="M82" i="52"/>
  <c r="BC154" i="1"/>
  <c r="BD154" i="1" s="1"/>
  <c r="B240" i="52"/>
  <c r="M240" i="52" s="1"/>
  <c r="B216" i="52"/>
  <c r="M216" i="52" s="1"/>
  <c r="B26" i="52"/>
  <c r="M26" i="52" s="1"/>
  <c r="F69" i="54"/>
  <c r="F70" i="54"/>
  <c r="BS128" i="1"/>
  <c r="BM128" i="1"/>
  <c r="BM158" i="1"/>
  <c r="BS158" i="1"/>
  <c r="BM35" i="1"/>
  <c r="BS35" i="1"/>
  <c r="BM122" i="1"/>
  <c r="BS86" i="1"/>
  <c r="R336" i="11"/>
  <c r="Y436" i="55" s="1"/>
  <c r="A336" i="11"/>
  <c r="A435" i="55" s="1"/>
  <c r="Q336" i="11"/>
  <c r="R376" i="11"/>
  <c r="Y452" i="55" s="1"/>
  <c r="A376" i="11"/>
  <c r="A451" i="55" s="1"/>
  <c r="M200" i="52"/>
  <c r="CD14" i="1"/>
  <c r="CE14" i="1" s="1"/>
  <c r="CA37" i="1"/>
  <c r="CB37" i="1" s="1"/>
  <c r="CD230" i="1"/>
  <c r="CE230" i="1" s="1"/>
  <c r="CD242" i="1"/>
  <c r="CE242" i="1" s="1"/>
  <c r="AN298" i="1"/>
  <c r="CA298" i="1" s="1"/>
  <c r="CB298" i="1" s="1"/>
  <c r="AN166" i="1"/>
  <c r="CA166" i="1" s="1"/>
  <c r="CB166" i="1" s="1"/>
  <c r="AN139" i="1"/>
  <c r="CA139" i="1" s="1"/>
  <c r="CB139" i="1" s="1"/>
  <c r="AN109" i="1"/>
  <c r="AN67" i="1"/>
  <c r="CA67" i="1" s="1"/>
  <c r="CB67" i="1" s="1"/>
  <c r="M41" i="52"/>
  <c r="M34" i="52"/>
  <c r="CD17" i="1"/>
  <c r="CE17" i="1" s="1"/>
  <c r="CD29" i="1"/>
  <c r="CE29" i="1" s="1"/>
  <c r="AN280" i="1"/>
  <c r="CA280" i="1" s="1"/>
  <c r="CB280" i="1" s="1"/>
  <c r="AN235" i="1"/>
  <c r="CA235" i="1" s="1"/>
  <c r="CB235" i="1" s="1"/>
  <c r="AN217" i="1"/>
  <c r="BO217" i="1" s="1"/>
  <c r="BP217" i="1" s="1"/>
  <c r="AN187" i="1"/>
  <c r="AN133" i="1"/>
  <c r="BC133" i="1" s="1"/>
  <c r="BD133" i="1" s="1"/>
  <c r="AN115" i="1"/>
  <c r="CA115" i="1" s="1"/>
  <c r="CB115" i="1" s="1"/>
  <c r="AN91" i="1"/>
  <c r="CA91" i="1" s="1"/>
  <c r="CB91" i="1" s="1"/>
  <c r="AN76" i="1"/>
  <c r="AN28" i="1"/>
  <c r="BC28" i="1" s="1"/>
  <c r="BD28" i="1" s="1"/>
  <c r="L11" i="50"/>
  <c r="X8" i="55" s="1"/>
  <c r="AN265" i="1"/>
  <c r="CA265" i="1" s="1"/>
  <c r="CB265" i="1" s="1"/>
  <c r="Y98" i="55"/>
  <c r="Y116" i="55"/>
  <c r="Y206" i="55"/>
  <c r="Y233" i="55"/>
  <c r="Y118" i="55"/>
  <c r="Y154" i="55"/>
  <c r="Y190" i="55"/>
  <c r="Y199" i="55"/>
  <c r="Y235" i="55"/>
  <c r="AC6" i="1"/>
  <c r="Y40" i="55"/>
  <c r="Y76" i="55"/>
  <c r="Y175" i="55"/>
  <c r="Y202" i="55"/>
  <c r="Y242" i="55"/>
  <c r="Y37" i="55"/>
  <c r="Y109" i="55"/>
  <c r="Y127" i="55"/>
  <c r="Y181" i="55"/>
  <c r="Y244" i="55"/>
  <c r="AB21" i="1"/>
  <c r="Y42" i="55"/>
  <c r="Y51" i="55"/>
  <c r="AC69" i="1"/>
  <c r="AB81" i="1"/>
  <c r="AC93" i="1"/>
  <c r="AD105" i="1"/>
  <c r="AE105" i="1" s="1"/>
  <c r="Y105" i="55"/>
  <c r="AD129" i="1"/>
  <c r="AE129" i="1" s="1"/>
  <c r="AC141" i="1"/>
  <c r="AD153" i="1"/>
  <c r="AE153" i="1" s="1"/>
  <c r="AD165" i="1"/>
  <c r="AE165" i="1" s="1"/>
  <c r="AC177" i="1"/>
  <c r="Y195" i="55"/>
  <c r="AC261" i="1"/>
  <c r="AB273" i="1"/>
  <c r="Y231" i="55"/>
  <c r="CA118" i="1"/>
  <c r="CB118" i="1" s="1"/>
  <c r="D152" i="54"/>
  <c r="CC170" i="1"/>
  <c r="BB19" i="1"/>
  <c r="BE20" i="1"/>
  <c r="BF20" i="1"/>
  <c r="BC19" i="1"/>
  <c r="BD19" i="1" s="1"/>
  <c r="BE35" i="1"/>
  <c r="BF35" i="1"/>
  <c r="BG35" i="1" s="1"/>
  <c r="BB34" i="1"/>
  <c r="AW37" i="1"/>
  <c r="AX37" i="1" s="1"/>
  <c r="AV37" i="1"/>
  <c r="BT40" i="1"/>
  <c r="BX41" i="1"/>
  <c r="BW41" i="1"/>
  <c r="BX44" i="1"/>
  <c r="BY44" i="1" s="1"/>
  <c r="BU43" i="1"/>
  <c r="BV43" i="1" s="1"/>
  <c r="BN70" i="1"/>
  <c r="BO70" i="1"/>
  <c r="BP70" i="1" s="1"/>
  <c r="BN88" i="1"/>
  <c r="BE134" i="1"/>
  <c r="BB133" i="1"/>
  <c r="BF134" i="1"/>
  <c r="BG134" i="1" s="1"/>
  <c r="BI46" i="1"/>
  <c r="BJ46" i="1" s="1"/>
  <c r="BO46" i="1"/>
  <c r="BP46" i="1" s="1"/>
  <c r="BC40" i="1"/>
  <c r="BD40" i="1" s="1"/>
  <c r="BI40" i="1"/>
  <c r="BJ40" i="1" s="1"/>
  <c r="R281" i="11"/>
  <c r="Y414" i="55" s="1"/>
  <c r="R486" i="11"/>
  <c r="Y496" i="55" s="1"/>
  <c r="B231" i="52"/>
  <c r="M231" i="52" s="1"/>
  <c r="BM266" i="1"/>
  <c r="R226" i="11"/>
  <c r="Y392" i="55" s="1"/>
  <c r="A226" i="11"/>
  <c r="A391" i="55" s="1"/>
  <c r="R441" i="11"/>
  <c r="Y478" i="55" s="1"/>
  <c r="A441" i="11"/>
  <c r="A477" i="55" s="1"/>
  <c r="BR251" i="1"/>
  <c r="BC46" i="1"/>
  <c r="BD46" i="1" s="1"/>
  <c r="AW40" i="1"/>
  <c r="AX40" i="1" s="1"/>
  <c r="BC181" i="1"/>
  <c r="BD181" i="1" s="1"/>
  <c r="BU181" i="1"/>
  <c r="BV181" i="1" s="1"/>
  <c r="BO181" i="1"/>
  <c r="BP181" i="1" s="1"/>
  <c r="AZ251" i="1"/>
  <c r="BA251" i="1" s="1"/>
  <c r="BU238" i="1"/>
  <c r="BV238" i="1" s="1"/>
  <c r="BI238" i="1"/>
  <c r="BJ238" i="1" s="1"/>
  <c r="BO238" i="1"/>
  <c r="BP238" i="1" s="1"/>
  <c r="AO46" i="1"/>
  <c r="AW232" i="1"/>
  <c r="AX232" i="1" s="1"/>
  <c r="BC232" i="1"/>
  <c r="BD232" i="1" s="1"/>
  <c r="BU232" i="1"/>
  <c r="BV232" i="1" s="1"/>
  <c r="AO40" i="1"/>
  <c r="BU46" i="1"/>
  <c r="BV46" i="1" s="1"/>
  <c r="BU40" i="1"/>
  <c r="BV40" i="1" s="1"/>
  <c r="BM218" i="1"/>
  <c r="BM284" i="1"/>
  <c r="BS113" i="1"/>
  <c r="BM113" i="1"/>
  <c r="BI304" i="1"/>
  <c r="BJ304" i="1" s="1"/>
  <c r="BU304" i="1"/>
  <c r="BV304" i="1" s="1"/>
  <c r="AO304" i="1"/>
  <c r="B97" i="52"/>
  <c r="M97" i="52" s="1"/>
  <c r="BF29" i="1"/>
  <c r="BG29" i="1" s="1"/>
  <c r="BE29" i="1"/>
  <c r="AV82" i="1"/>
  <c r="AY83" i="1"/>
  <c r="BS140" i="1"/>
  <c r="BM140" i="1"/>
  <c r="AY116" i="1"/>
  <c r="AV115" i="1"/>
  <c r="AZ116" i="1"/>
  <c r="BX173" i="1"/>
  <c r="BY173" i="1" s="1"/>
  <c r="BT172" i="1"/>
  <c r="BT175" i="1"/>
  <c r="BW176" i="1"/>
  <c r="AY266" i="1"/>
  <c r="AV265" i="1"/>
  <c r="BT268" i="1"/>
  <c r="AY173" i="1"/>
  <c r="BW173" i="1"/>
  <c r="BT22" i="1"/>
  <c r="B6" i="52"/>
  <c r="M6" i="52" s="1"/>
  <c r="I2" i="41"/>
  <c r="H2" i="12"/>
  <c r="A18" i="43"/>
  <c r="A28" i="23"/>
  <c r="H2" i="47"/>
  <c r="AR290" i="1"/>
  <c r="AN289" i="1"/>
  <c r="CA289" i="1" s="1"/>
  <c r="CB289" i="1" s="1"/>
  <c r="AR203" i="1"/>
  <c r="AF201" i="1" s="1"/>
  <c r="AG201" i="1" s="1"/>
  <c r="AN202" i="1"/>
  <c r="CA202" i="1" s="1"/>
  <c r="CB202" i="1" s="1"/>
  <c r="AR176" i="1"/>
  <c r="CD176" i="1" s="1"/>
  <c r="CE176" i="1" s="1"/>
  <c r="AN175" i="1"/>
  <c r="CA175" i="1" s="1"/>
  <c r="CB175" i="1" s="1"/>
  <c r="CA85" i="1"/>
  <c r="CB85" i="1" s="1"/>
  <c r="B224" i="52"/>
  <c r="M224" i="52"/>
  <c r="B172" i="52"/>
  <c r="M172" i="52" s="1"/>
  <c r="M180" i="52" s="1"/>
  <c r="R16" i="11"/>
  <c r="Y308" i="55" s="1"/>
  <c r="Q16" i="11"/>
  <c r="A16" i="11"/>
  <c r="A307" i="55" s="1"/>
  <c r="B220" i="52"/>
  <c r="M220" i="52" s="1"/>
  <c r="B161" i="52"/>
  <c r="M161" i="52" s="1"/>
  <c r="M164" i="52" s="1"/>
  <c r="B49" i="52"/>
  <c r="M49" i="52"/>
  <c r="B22" i="52"/>
  <c r="M22" i="52" s="1"/>
  <c r="B208" i="52"/>
  <c r="M208" i="52" s="1"/>
  <c r="B192" i="52"/>
  <c r="M192" i="52" s="1"/>
  <c r="M196" i="52" s="1"/>
  <c r="B70" i="52"/>
  <c r="M70" i="52" s="1"/>
  <c r="CD8" i="1"/>
  <c r="CE8" i="1" s="1"/>
  <c r="CA103" i="1"/>
  <c r="CB103" i="1" s="1"/>
  <c r="AN100" i="1"/>
  <c r="CA100" i="1" s="1"/>
  <c r="CB100" i="1" s="1"/>
  <c r="M232" i="52"/>
  <c r="M219" i="52"/>
  <c r="M109" i="52"/>
  <c r="M116" i="52" s="1"/>
  <c r="M86" i="52"/>
  <c r="B74" i="52"/>
  <c r="M74" i="52" s="1"/>
  <c r="B29" i="52"/>
  <c r="M29" i="52" s="1"/>
  <c r="M13" i="52"/>
  <c r="B10" i="52"/>
  <c r="M10" i="52" s="1"/>
  <c r="CA130" i="1"/>
  <c r="CB130" i="1" s="1"/>
  <c r="AN124" i="1"/>
  <c r="CA124" i="1" s="1"/>
  <c r="CB124" i="1" s="1"/>
  <c r="B90" i="52"/>
  <c r="M90" i="52" s="1"/>
  <c r="M58" i="52"/>
  <c r="B124" i="52"/>
  <c r="M124" i="52" s="1"/>
  <c r="M132" i="52" s="1"/>
  <c r="M65" i="52"/>
  <c r="B54" i="52"/>
  <c r="M54" i="52" s="1"/>
  <c r="M50" i="52"/>
  <c r="B42" i="52"/>
  <c r="M42" i="52" s="1"/>
  <c r="AD9" i="1"/>
  <c r="AE9" i="1" s="1"/>
  <c r="AB57" i="1"/>
  <c r="AC189" i="1"/>
  <c r="AD201" i="1"/>
  <c r="AE201" i="1" s="1"/>
  <c r="AC213" i="1"/>
  <c r="AC225" i="1"/>
  <c r="AB249" i="1"/>
  <c r="AC297" i="1"/>
  <c r="AC12" i="1"/>
  <c r="AD24" i="1"/>
  <c r="AE24" i="1" s="1"/>
  <c r="AC36" i="1"/>
  <c r="AD48" i="1"/>
  <c r="AE48" i="1" s="1"/>
  <c r="AD60" i="1"/>
  <c r="AE60" i="1" s="1"/>
  <c r="AC72" i="1"/>
  <c r="AB84" i="1"/>
  <c r="AC96" i="1"/>
  <c r="AF120" i="1"/>
  <c r="AG120" i="1" s="1"/>
  <c r="AC144" i="1"/>
  <c r="AB156" i="1"/>
  <c r="AC168" i="1"/>
  <c r="AB180" i="1"/>
  <c r="AC192" i="1"/>
  <c r="AB204" i="1"/>
  <c r="AC216" i="1"/>
  <c r="AC228" i="1"/>
  <c r="AC240" i="1"/>
  <c r="AC264" i="1"/>
  <c r="AF276" i="1"/>
  <c r="AG276" i="1" s="1"/>
  <c r="AC15" i="1"/>
  <c r="AC39" i="1"/>
  <c r="AB51" i="1"/>
  <c r="AC63" i="1"/>
  <c r="AB75" i="1"/>
  <c r="AC87" i="1"/>
  <c r="AB99" i="1"/>
  <c r="AC111" i="1"/>
  <c r="AC159" i="1"/>
  <c r="AB171" i="1"/>
  <c r="AB195" i="1"/>
  <c r="AD207" i="1"/>
  <c r="AE207" i="1" s="1"/>
  <c r="AC255" i="1"/>
  <c r="AC267" i="1"/>
  <c r="AC279" i="1"/>
  <c r="AD18" i="1"/>
  <c r="AE18" i="1" s="1"/>
  <c r="AB42" i="1"/>
  <c r="AC54" i="1"/>
  <c r="AC66" i="1"/>
  <c r="AF90" i="1"/>
  <c r="AG90" i="1" s="1"/>
  <c r="AC102" i="1"/>
  <c r="AD114" i="1"/>
  <c r="AE114" i="1" s="1"/>
  <c r="AF126" i="1"/>
  <c r="AG126" i="1" s="1"/>
  <c r="AC138" i="1"/>
  <c r="AF150" i="1"/>
  <c r="AG150" i="1" s="1"/>
  <c r="AC162" i="1"/>
  <c r="AB174" i="1"/>
  <c r="AC186" i="1"/>
  <c r="AB198" i="1"/>
  <c r="AC222" i="1"/>
  <c r="AB234" i="1"/>
  <c r="AC258" i="1"/>
  <c r="AF270" i="1"/>
  <c r="AG270" i="1" s="1"/>
  <c r="AB282" i="1"/>
  <c r="AB294" i="1"/>
  <c r="K17" i="55"/>
  <c r="CA13" i="1"/>
  <c r="CB13" i="1" s="1"/>
  <c r="BZ289" i="1"/>
  <c r="F13" i="54"/>
  <c r="BO7" i="1"/>
  <c r="AO7" i="1"/>
  <c r="AW7" i="1"/>
  <c r="J12" i="50"/>
  <c r="G10" i="51" s="1"/>
  <c r="AF300" i="1"/>
  <c r="AG300" i="1" s="1"/>
  <c r="BZ85" i="1"/>
  <c r="CA262" i="1"/>
  <c r="CB262" i="1" s="1"/>
  <c r="K9" i="55"/>
  <c r="G11" i="54"/>
  <c r="K8" i="55"/>
  <c r="G10" i="54"/>
  <c r="CC167" i="1"/>
  <c r="CD107" i="1"/>
  <c r="CE107" i="1" s="1"/>
  <c r="CD290" i="1"/>
  <c r="CE290" i="1" s="1"/>
  <c r="BZ193" i="1"/>
  <c r="AC288" i="1"/>
  <c r="AD288" i="1"/>
  <c r="AE288" i="1" s="1"/>
  <c r="F18" i="54"/>
  <c r="K16" i="55"/>
  <c r="K15" i="55"/>
  <c r="F16" i="54"/>
  <c r="K14" i="55"/>
  <c r="K4" i="57"/>
  <c r="CC227" i="1"/>
  <c r="CC95" i="1"/>
  <c r="CD11" i="1"/>
  <c r="CE11" i="1" s="1"/>
  <c r="CD119" i="1"/>
  <c r="CE119" i="1" s="1"/>
  <c r="F14" i="54"/>
  <c r="CA82" i="1"/>
  <c r="CB82" i="1" s="1"/>
  <c r="CC23" i="1"/>
  <c r="BZ151" i="1"/>
  <c r="CD56" i="1"/>
  <c r="CE56" i="1" s="1"/>
  <c r="CA259" i="1"/>
  <c r="CB259" i="1" s="1"/>
  <c r="CC236" i="1"/>
  <c r="CC80" i="1"/>
  <c r="C5" i="54"/>
  <c r="CA283" i="1"/>
  <c r="CB283" i="1" s="1"/>
  <c r="BZ199" i="1"/>
  <c r="CC32" i="1"/>
  <c r="X610" i="55"/>
  <c r="CC122" i="1"/>
  <c r="CA229" i="1"/>
  <c r="CB229" i="1" s="1"/>
  <c r="CD206" i="1"/>
  <c r="CE206" i="1" s="1"/>
  <c r="CD146" i="1"/>
  <c r="CE146" i="1" s="1"/>
  <c r="CA109" i="1"/>
  <c r="CB109" i="1" s="1"/>
  <c r="BZ301" i="1"/>
  <c r="BZ145" i="1"/>
  <c r="CD50" i="1"/>
  <c r="CE50" i="1" s="1"/>
  <c r="BZ181" i="1"/>
  <c r="CC182" i="1"/>
  <c r="CC14" i="1"/>
  <c r="BZ253" i="1"/>
  <c r="CA181" i="1"/>
  <c r="CB181" i="1" s="1"/>
  <c r="CA301" i="1"/>
  <c r="CB301" i="1" s="1"/>
  <c r="CC302" i="1"/>
  <c r="CD86" i="1"/>
  <c r="CE86" i="1" s="1"/>
  <c r="CD98" i="1"/>
  <c r="CE98" i="1" s="1"/>
  <c r="CA145" i="1"/>
  <c r="CB145" i="1" s="1"/>
  <c r="CD122" i="1"/>
  <c r="CE122" i="1" s="1"/>
  <c r="CC38" i="1"/>
  <c r="CC290" i="1"/>
  <c r="CC134" i="1"/>
  <c r="CA121" i="1"/>
  <c r="CB121" i="1" s="1"/>
  <c r="CA157" i="1"/>
  <c r="CB157" i="1" s="1"/>
  <c r="CC86" i="1"/>
  <c r="CC50" i="1"/>
  <c r="CA97" i="1"/>
  <c r="CB97" i="1" s="1"/>
  <c r="CD134" i="1"/>
  <c r="CE134" i="1" s="1"/>
  <c r="BZ97" i="1"/>
  <c r="CC74" i="1"/>
  <c r="CC26" i="1"/>
  <c r="CD158" i="1"/>
  <c r="CE158" i="1" s="1"/>
  <c r="CC206" i="1"/>
  <c r="O23" i="15"/>
  <c r="CC137" i="1"/>
  <c r="X673" i="55"/>
  <c r="C79" i="54"/>
  <c r="CA244" i="1"/>
  <c r="CB244" i="1" s="1"/>
  <c r="CA52" i="1"/>
  <c r="CB52" i="1" s="1"/>
  <c r="CD41" i="1"/>
  <c r="CE41" i="1" s="1"/>
  <c r="X504" i="55"/>
  <c r="BZ280" i="1"/>
  <c r="CA232" i="1"/>
  <c r="CB232" i="1" s="1"/>
  <c r="BZ136" i="1"/>
  <c r="K12" i="55"/>
  <c r="CC281" i="1"/>
  <c r="Q506" i="11"/>
  <c r="G32" i="54" s="1"/>
  <c r="O18" i="10"/>
  <c r="BZ142" i="1"/>
  <c r="BZ190" i="1"/>
  <c r="CC275" i="1"/>
  <c r="CA250" i="1"/>
  <c r="CB250" i="1" s="1"/>
  <c r="CD251" i="1"/>
  <c r="CE251" i="1" s="1"/>
  <c r="CA46" i="1"/>
  <c r="CB46" i="1" s="1"/>
  <c r="CA226" i="1"/>
  <c r="CB226" i="1" s="1"/>
  <c r="CA34" i="1"/>
  <c r="CB34" i="1" s="1"/>
  <c r="CD155" i="1"/>
  <c r="CE155" i="1" s="1"/>
  <c r="O32" i="16"/>
  <c r="CC155" i="1"/>
  <c r="CC203" i="1"/>
  <c r="BZ286" i="1"/>
  <c r="BZ46" i="1"/>
  <c r="CD179" i="1"/>
  <c r="CE179" i="1" s="1"/>
  <c r="CA154" i="1"/>
  <c r="CB154" i="1" s="1"/>
  <c r="CD167" i="1"/>
  <c r="CE167" i="1" s="1"/>
  <c r="CA178" i="1"/>
  <c r="CB178" i="1" s="1"/>
  <c r="CD71" i="1"/>
  <c r="CE71" i="1" s="1"/>
  <c r="G40" i="54"/>
  <c r="CA142" i="1"/>
  <c r="CB142" i="1" s="1"/>
  <c r="CD59" i="1"/>
  <c r="CE59" i="1" s="1"/>
  <c r="O23" i="29"/>
  <c r="BZ34" i="1"/>
  <c r="CC179" i="1"/>
  <c r="BZ238" i="1"/>
  <c r="CC107" i="1"/>
  <c r="CD143" i="1"/>
  <c r="CE143" i="1" s="1"/>
  <c r="CD35" i="1"/>
  <c r="CE35" i="1" s="1"/>
  <c r="CD47" i="1"/>
  <c r="CE47" i="1" s="1"/>
  <c r="CD227" i="1"/>
  <c r="CE227" i="1" s="1"/>
  <c r="CA94" i="1"/>
  <c r="CB94" i="1" s="1"/>
  <c r="CA58" i="1"/>
  <c r="CB58" i="1" s="1"/>
  <c r="CA10" i="1"/>
  <c r="CB10" i="1" s="1"/>
  <c r="CD263" i="1"/>
  <c r="CE263" i="1" s="1"/>
  <c r="CC71" i="1"/>
  <c r="CC119" i="1"/>
  <c r="CA106" i="1"/>
  <c r="CB106" i="1" s="1"/>
  <c r="CD191" i="1"/>
  <c r="CE191" i="1" s="1"/>
  <c r="CA70" i="1"/>
  <c r="CB70" i="1" s="1"/>
  <c r="CA22" i="1"/>
  <c r="CB22" i="1" s="1"/>
  <c r="CA286" i="1"/>
  <c r="CB286" i="1" s="1"/>
  <c r="CD23" i="1"/>
  <c r="CE23" i="1" s="1"/>
  <c r="BZ10" i="1"/>
  <c r="K11" i="55"/>
  <c r="AC300" i="1"/>
  <c r="F15" i="54"/>
  <c r="K13" i="55"/>
  <c r="CA211" i="1"/>
  <c r="CB211" i="1" s="1"/>
  <c r="CA223" i="1"/>
  <c r="CB223" i="1" s="1"/>
  <c r="CD224" i="1"/>
  <c r="CE224" i="1" s="1"/>
  <c r="CD284" i="1"/>
  <c r="CE284" i="1" s="1"/>
  <c r="CD260" i="1"/>
  <c r="CE260" i="1" s="1"/>
  <c r="BZ259" i="1"/>
  <c r="CC212" i="1"/>
  <c r="CC140" i="1"/>
  <c r="CD116" i="1"/>
  <c r="CE116" i="1" s="1"/>
  <c r="BZ43" i="1"/>
  <c r="CD104" i="1"/>
  <c r="CE104" i="1" s="1"/>
  <c r="CA151" i="1"/>
  <c r="CB151" i="1" s="1"/>
  <c r="CD92" i="1"/>
  <c r="CE92" i="1" s="1"/>
  <c r="CD272" i="1"/>
  <c r="CE272" i="1" s="1"/>
  <c r="CD212" i="1"/>
  <c r="CE212" i="1" s="1"/>
  <c r="CA295" i="1"/>
  <c r="CB295" i="1" s="1"/>
  <c r="CA199" i="1"/>
  <c r="CB199" i="1" s="1"/>
  <c r="CC284" i="1"/>
  <c r="CD152" i="1"/>
  <c r="CE152" i="1" s="1"/>
  <c r="BZ115" i="1"/>
  <c r="CC56" i="1"/>
  <c r="CA127" i="1"/>
  <c r="CB127" i="1" s="1"/>
  <c r="CD128" i="1"/>
  <c r="CE128" i="1" s="1"/>
  <c r="CD236" i="1"/>
  <c r="CE236" i="1" s="1"/>
  <c r="CD248" i="1"/>
  <c r="CE248" i="1" s="1"/>
  <c r="CD200" i="1"/>
  <c r="CE200" i="1" s="1"/>
  <c r="BZ295" i="1"/>
  <c r="BZ91" i="1"/>
  <c r="AB288" i="1"/>
  <c r="F11" i="54"/>
  <c r="R26" i="13"/>
  <c r="G36" i="54" s="1"/>
  <c r="CC221" i="1"/>
  <c r="CA172" i="1"/>
  <c r="CB172" i="1" s="1"/>
  <c r="BZ220" i="1"/>
  <c r="CC65" i="1"/>
  <c r="R29" i="16"/>
  <c r="G41" i="54" s="1"/>
  <c r="CA136" i="1"/>
  <c r="CB136" i="1" s="1"/>
  <c r="F29" i="54"/>
  <c r="CA64" i="1"/>
  <c r="CB64" i="1" s="1"/>
  <c r="CA88" i="1"/>
  <c r="CB88" i="1" s="1"/>
  <c r="CD245" i="1"/>
  <c r="CE245" i="1" s="1"/>
  <c r="CA256" i="1"/>
  <c r="CB256" i="1" s="1"/>
  <c r="CD185" i="1"/>
  <c r="CE185" i="1" s="1"/>
  <c r="CA160" i="1"/>
  <c r="CB160" i="1" s="1"/>
  <c r="CC245" i="1"/>
  <c r="BZ172" i="1"/>
  <c r="CD101" i="1"/>
  <c r="CE101" i="1" s="1"/>
  <c r="BZ64" i="1"/>
  <c r="I6" i="51"/>
  <c r="F22" i="54"/>
  <c r="G94" i="54" s="1"/>
  <c r="CD113" i="1"/>
  <c r="CE113" i="1" s="1"/>
  <c r="CD233" i="1"/>
  <c r="CE233" i="1" s="1"/>
  <c r="CC305" i="1"/>
  <c r="CD173" i="1"/>
  <c r="CE173" i="1" s="1"/>
  <c r="BZ88" i="1"/>
  <c r="CD53" i="1"/>
  <c r="CE53" i="1" s="1"/>
  <c r="N13" i="50"/>
  <c r="J11" i="51" s="1"/>
  <c r="J247" i="52"/>
  <c r="N18" i="18"/>
  <c r="O28" i="23"/>
  <c r="O28" i="39"/>
  <c r="L56" i="17"/>
  <c r="R17" i="37"/>
  <c r="G72" i="54" s="1"/>
  <c r="CA16" i="1"/>
  <c r="CB16" i="1" s="1"/>
  <c r="CD26" i="1"/>
  <c r="CE26" i="1" s="1"/>
  <c r="CD305" i="1"/>
  <c r="CE305" i="1" s="1"/>
  <c r="CD89" i="1"/>
  <c r="CE89" i="1" s="1"/>
  <c r="CC293" i="1"/>
  <c r="CC269" i="1"/>
  <c r="BZ232" i="1"/>
  <c r="CC161" i="1"/>
  <c r="CC101" i="1"/>
  <c r="BZ52" i="1"/>
  <c r="BZ40" i="1"/>
  <c r="X567" i="55"/>
  <c r="O18" i="36"/>
  <c r="CA40" i="1"/>
  <c r="CB40" i="1" s="1"/>
  <c r="O18" i="38"/>
  <c r="N18" i="19"/>
  <c r="O18" i="27"/>
  <c r="G17" i="57"/>
  <c r="CA304" i="1"/>
  <c r="CB304" i="1" s="1"/>
  <c r="CA184" i="1"/>
  <c r="CB184" i="1" s="1"/>
  <c r="CD293" i="1"/>
  <c r="CE293" i="1" s="1"/>
  <c r="CA268" i="1"/>
  <c r="CB268" i="1" s="1"/>
  <c r="CD125" i="1"/>
  <c r="CE125" i="1" s="1"/>
  <c r="I17" i="59"/>
  <c r="K17" i="59" s="1"/>
  <c r="I16" i="59"/>
  <c r="K16" i="59" s="1"/>
  <c r="I14" i="59"/>
  <c r="K14" i="59" s="1"/>
  <c r="I8" i="59"/>
  <c r="C151" i="54" s="1"/>
  <c r="AB264" i="1"/>
  <c r="CC83" i="1"/>
  <c r="BZ16" i="1"/>
  <c r="F33" i="54"/>
  <c r="H40" i="54"/>
  <c r="G108" i="54" s="1"/>
  <c r="CA169" i="1"/>
  <c r="CB169" i="1" s="1"/>
  <c r="CC158" i="1"/>
  <c r="BZ13" i="1"/>
  <c r="O29" i="13"/>
  <c r="O19" i="37"/>
  <c r="O18" i="28"/>
  <c r="O28" i="22"/>
  <c r="N18" i="14"/>
  <c r="O18" i="34"/>
  <c r="CC251" i="1"/>
  <c r="R82" i="9"/>
  <c r="G30" i="54" s="1"/>
  <c r="CA55" i="1"/>
  <c r="CB55" i="1" s="1"/>
  <c r="CD275" i="1"/>
  <c r="CE275" i="1" s="1"/>
  <c r="CD149" i="1"/>
  <c r="CE149" i="1" s="1"/>
  <c r="CD215" i="1"/>
  <c r="CE215" i="1" s="1"/>
  <c r="CD68" i="1"/>
  <c r="CE68" i="1" s="1"/>
  <c r="CA214" i="1"/>
  <c r="CB214" i="1" s="1"/>
  <c r="CC125" i="1"/>
  <c r="CD80" i="1"/>
  <c r="CE80" i="1" s="1"/>
  <c r="M148" i="52"/>
  <c r="CA238" i="1"/>
  <c r="CB238" i="1" s="1"/>
  <c r="CA148" i="1"/>
  <c r="CB148" i="1" s="1"/>
  <c r="CA193" i="1"/>
  <c r="CB193" i="1" s="1"/>
  <c r="CD194" i="1"/>
  <c r="CE194" i="1" s="1"/>
  <c r="N28" i="20"/>
  <c r="N509" i="11"/>
  <c r="O23" i="30"/>
  <c r="O28" i="24"/>
  <c r="O59" i="17"/>
  <c r="O18" i="25"/>
  <c r="O18" i="35"/>
  <c r="H71" i="54"/>
  <c r="H75" i="54" s="1"/>
  <c r="D11" i="59" s="1"/>
  <c r="CC215" i="1"/>
  <c r="CC263" i="1"/>
  <c r="CA43" i="1"/>
  <c r="CB43" i="1" s="1"/>
  <c r="CA79" i="1"/>
  <c r="CB79" i="1" s="1"/>
  <c r="BZ67" i="1"/>
  <c r="S56" i="17"/>
  <c r="G42" i="54" s="1"/>
  <c r="H29" i="54"/>
  <c r="X299" i="55"/>
  <c r="BZ298" i="1"/>
  <c r="CD299" i="1"/>
  <c r="CE299" i="1" s="1"/>
  <c r="I10" i="59"/>
  <c r="I12" i="59"/>
  <c r="I9" i="59"/>
  <c r="I15" i="59"/>
  <c r="K15" i="59" s="1"/>
  <c r="I13" i="59"/>
  <c r="K13" i="59" s="1"/>
  <c r="BZ196" i="1"/>
  <c r="CA196" i="1"/>
  <c r="CB196" i="1" s="1"/>
  <c r="CC197" i="1"/>
  <c r="CD197" i="1"/>
  <c r="CE197" i="1" s="1"/>
  <c r="CA208" i="1"/>
  <c r="CB208" i="1" s="1"/>
  <c r="BZ208" i="1"/>
  <c r="CC218" i="1"/>
  <c r="CD218" i="1"/>
  <c r="CE218" i="1" s="1"/>
  <c r="CC230" i="1"/>
  <c r="BZ229" i="1"/>
  <c r="CC242" i="1"/>
  <c r="BZ241" i="1"/>
  <c r="CA241" i="1"/>
  <c r="CB241" i="1" s="1"/>
  <c r="CD254" i="1"/>
  <c r="CE254" i="1" s="1"/>
  <c r="CA253" i="1"/>
  <c r="CB253" i="1" s="1"/>
  <c r="CD266" i="1"/>
  <c r="CE266" i="1" s="1"/>
  <c r="BZ265" i="1"/>
  <c r="CC266" i="1"/>
  <c r="CC278" i="1"/>
  <c r="CD278" i="1"/>
  <c r="CE278" i="1" s="1"/>
  <c r="CA277" i="1"/>
  <c r="CB277" i="1" s="1"/>
  <c r="H36" i="54"/>
  <c r="G104" i="54" s="1"/>
  <c r="X566" i="55"/>
  <c r="AM306" i="1"/>
  <c r="C138" i="54" s="1"/>
  <c r="I11" i="59"/>
  <c r="CC8" i="1"/>
  <c r="CA7" i="1"/>
  <c r="CB7" i="1" s="1"/>
  <c r="BZ7" i="1"/>
  <c r="BZ19" i="1"/>
  <c r="CD20" i="1"/>
  <c r="CE20" i="1" s="1"/>
  <c r="CA19" i="1"/>
  <c r="CB19" i="1" s="1"/>
  <c r="CC29" i="1"/>
  <c r="BZ28" i="1"/>
  <c r="CA28" i="1"/>
  <c r="CB28" i="1" s="1"/>
  <c r="CD38" i="1"/>
  <c r="CE38" i="1" s="1"/>
  <c r="BZ37" i="1"/>
  <c r="BZ61" i="1"/>
  <c r="CA61" i="1"/>
  <c r="CB61" i="1" s="1"/>
  <c r="CD62" i="1"/>
  <c r="CE62" i="1" s="1"/>
  <c r="CA73" i="1"/>
  <c r="CB73" i="1" s="1"/>
  <c r="BZ73" i="1"/>
  <c r="BZ109" i="1"/>
  <c r="CD110" i="1"/>
  <c r="CE110" i="1" s="1"/>
  <c r="CC131" i="1"/>
  <c r="CD131" i="1"/>
  <c r="CE131" i="1" s="1"/>
  <c r="BZ130" i="1"/>
  <c r="CD164" i="1"/>
  <c r="CE164" i="1" s="1"/>
  <c r="CC164" i="1"/>
  <c r="CA163" i="1"/>
  <c r="CB163" i="1" s="1"/>
  <c r="BZ175" i="1"/>
  <c r="CC176" i="1"/>
  <c r="BZ187" i="1"/>
  <c r="CC299" i="1"/>
  <c r="F71" i="54"/>
  <c r="F75" i="54" s="1"/>
  <c r="R16" i="37"/>
  <c r="G71" i="54" s="1"/>
  <c r="O48" i="53"/>
  <c r="F43" i="54"/>
  <c r="G110" i="54" s="1"/>
  <c r="F40" i="54"/>
  <c r="I18" i="21"/>
  <c r="O18" i="33"/>
  <c r="O23" i="32"/>
  <c r="N29" i="8"/>
  <c r="O310" i="1"/>
  <c r="N18" i="12"/>
  <c r="O18" i="26"/>
  <c r="CC104" i="1"/>
  <c r="K4" i="64"/>
  <c r="K4" i="65"/>
  <c r="Y186" i="55"/>
  <c r="AD273" i="1"/>
  <c r="AE273" i="1" s="1"/>
  <c r="AF264" i="1"/>
  <c r="AG264" i="1" s="1"/>
  <c r="AD285" i="1"/>
  <c r="AE285" i="1" s="1"/>
  <c r="AF288" i="1"/>
  <c r="AG288" i="1" s="1"/>
  <c r="AD297" i="1"/>
  <c r="AE297" i="1" s="1"/>
  <c r="AB153" i="1"/>
  <c r="AB297" i="1"/>
  <c r="Y213" i="55"/>
  <c r="Y240" i="55"/>
  <c r="AC273" i="1"/>
  <c r="AF129" i="1"/>
  <c r="AG129" i="1" s="1"/>
  <c r="AB213" i="1"/>
  <c r="AC249" i="1"/>
  <c r="AB33" i="1"/>
  <c r="AB225" i="1"/>
  <c r="AF261" i="1"/>
  <c r="AG261" i="1" s="1"/>
  <c r="AC201" i="1"/>
  <c r="AD249" i="1"/>
  <c r="AE249" i="1" s="1"/>
  <c r="Y141" i="55"/>
  <c r="Y204" i="55"/>
  <c r="AC129" i="1"/>
  <c r="CC257" i="1"/>
  <c r="BZ184" i="1"/>
  <c r="CC149" i="1"/>
  <c r="CC77" i="1"/>
  <c r="CC17" i="1"/>
  <c r="BZ103" i="1"/>
  <c r="CC44" i="1"/>
  <c r="X300" i="55"/>
  <c r="X503" i="55"/>
  <c r="CC113" i="1"/>
  <c r="CC59" i="1"/>
  <c r="CC272" i="1"/>
  <c r="CC248" i="1"/>
  <c r="CC224" i="1"/>
  <c r="K2" i="6"/>
  <c r="M4" i="65" s="1"/>
  <c r="AD36" i="1"/>
  <c r="AE36" i="1" s="1"/>
  <c r="AF177" i="1"/>
  <c r="AG177" i="1" s="1"/>
  <c r="AF153" i="1"/>
  <c r="AG153" i="1" s="1"/>
  <c r="AD117" i="1"/>
  <c r="AE117" i="1" s="1"/>
  <c r="Y24" i="55"/>
  <c r="AF249" i="1"/>
  <c r="AG249" i="1" s="1"/>
  <c r="AC105" i="1"/>
  <c r="AB24" i="1"/>
  <c r="AD300" i="1"/>
  <c r="AE300" i="1" s="1"/>
  <c r="AB300" i="1"/>
  <c r="AB192" i="1"/>
  <c r="Y53" i="55"/>
  <c r="AD228" i="1"/>
  <c r="AE228" i="1" s="1"/>
  <c r="AD216" i="1"/>
  <c r="AE216" i="1" s="1"/>
  <c r="AF132" i="1"/>
  <c r="AG132" i="1" s="1"/>
  <c r="AF72" i="1"/>
  <c r="AG72" i="1" s="1"/>
  <c r="AD120" i="1"/>
  <c r="AE120" i="1" s="1"/>
  <c r="AF240" i="1"/>
  <c r="AG240" i="1" s="1"/>
  <c r="AB240" i="1"/>
  <c r="AB144" i="1"/>
  <c r="AD132" i="1"/>
  <c r="AE132" i="1" s="1"/>
  <c r="AD144" i="1"/>
  <c r="AE144" i="1" s="1"/>
  <c r="AD192" i="1"/>
  <c r="AE192" i="1" s="1"/>
  <c r="AB168" i="1"/>
  <c r="AF108" i="1"/>
  <c r="AG108" i="1" s="1"/>
  <c r="Y188" i="55"/>
  <c r="AB216" i="1"/>
  <c r="AB72" i="1"/>
  <c r="AD141" i="1"/>
  <c r="AE141" i="1" s="1"/>
  <c r="AB93" i="1"/>
  <c r="AC57" i="1"/>
  <c r="Y112" i="55"/>
  <c r="AB177" i="1"/>
  <c r="AF9" i="1"/>
  <c r="AG9" i="1" s="1"/>
  <c r="AB69" i="1"/>
  <c r="AB165" i="1"/>
  <c r="AF237" i="1"/>
  <c r="AG237" i="1" s="1"/>
  <c r="AF138" i="1"/>
  <c r="AG138" i="1" s="1"/>
  <c r="AB54" i="1"/>
  <c r="AF297" i="1"/>
  <c r="AG297" i="1" s="1"/>
  <c r="AC237" i="1"/>
  <c r="AF45" i="1"/>
  <c r="AG45" i="1" s="1"/>
  <c r="AC42" i="1"/>
  <c r="AB150" i="1"/>
  <c r="Y184" i="55"/>
  <c r="AF102" i="1"/>
  <c r="AG102" i="1" s="1"/>
  <c r="Y211" i="55"/>
  <c r="Y67" i="55"/>
  <c r="AF6" i="1"/>
  <c r="AG6" i="1" s="1"/>
  <c r="AD78" i="1"/>
  <c r="AE78" i="1" s="1"/>
  <c r="AF18" i="1"/>
  <c r="AG18" i="1" s="1"/>
  <c r="AB270" i="1"/>
  <c r="AF282" i="1"/>
  <c r="AG282" i="1" s="1"/>
  <c r="Y31" i="55"/>
  <c r="AC282" i="1"/>
  <c r="AD162" i="1"/>
  <c r="AE162" i="1" s="1"/>
  <c r="Y193" i="55"/>
  <c r="AB66" i="1"/>
  <c r="AD258" i="1"/>
  <c r="AE258" i="1" s="1"/>
  <c r="AB162" i="1"/>
  <c r="AC174" i="1"/>
  <c r="AC198" i="1"/>
  <c r="Y71" i="55"/>
  <c r="AF36" i="1"/>
  <c r="AG36" i="1" s="1"/>
  <c r="AF60" i="1"/>
  <c r="AG60" i="1" s="1"/>
  <c r="AD12" i="1"/>
  <c r="AE12" i="1" s="1"/>
  <c r="Y170" i="55"/>
  <c r="AF48" i="1"/>
  <c r="AG48" i="1" s="1"/>
  <c r="AF204" i="1"/>
  <c r="AG204" i="1" s="1"/>
  <c r="AF228" i="1"/>
  <c r="AG228" i="1" s="1"/>
  <c r="AD240" i="1"/>
  <c r="AE240" i="1" s="1"/>
  <c r="AF216" i="1"/>
  <c r="AG216" i="1" s="1"/>
  <c r="AB252" i="1"/>
  <c r="AB228" i="1"/>
  <c r="AD180" i="1"/>
  <c r="AE180" i="1" s="1"/>
  <c r="Y134" i="55"/>
  <c r="AC84" i="1"/>
  <c r="AB108" i="1"/>
  <c r="Y152" i="55"/>
  <c r="Y26" i="55"/>
  <c r="AB132" i="1"/>
  <c r="AF144" i="1"/>
  <c r="AG144" i="1" s="1"/>
  <c r="AD156" i="1"/>
  <c r="AE156" i="1" s="1"/>
  <c r="AF96" i="1"/>
  <c r="AG96" i="1" s="1"/>
  <c r="AD252" i="1"/>
  <c r="AE252" i="1" s="1"/>
  <c r="Y143" i="55"/>
  <c r="AD276" i="1"/>
  <c r="AE276" i="1" s="1"/>
  <c r="Y197" i="55"/>
  <c r="AD264" i="1"/>
  <c r="AE264" i="1" s="1"/>
  <c r="AC276" i="1"/>
  <c r="AC252" i="1"/>
  <c r="AC204" i="1"/>
  <c r="AC180" i="1"/>
  <c r="AC156" i="1"/>
  <c r="AC120" i="1"/>
  <c r="AC60" i="1"/>
  <c r="AC132" i="1"/>
  <c r="H35" i="54"/>
  <c r="G103" i="54" s="1"/>
  <c r="AF156" i="1"/>
  <c r="AG156" i="1" s="1"/>
  <c r="AF180" i="1"/>
  <c r="AG180" i="1" s="1"/>
  <c r="AF12" i="1"/>
  <c r="AG12" i="1" s="1"/>
  <c r="AF84" i="1"/>
  <c r="AG84" i="1" s="1"/>
  <c r="AD72" i="1"/>
  <c r="AE72" i="1" s="1"/>
  <c r="AD204" i="1"/>
  <c r="AE204" i="1" s="1"/>
  <c r="Y179" i="55"/>
  <c r="Y44" i="55"/>
  <c r="AB276" i="1"/>
  <c r="AC48" i="1"/>
  <c r="AB36" i="1"/>
  <c r="AB60" i="1"/>
  <c r="AD84" i="1"/>
  <c r="AE84" i="1" s="1"/>
  <c r="Y80" i="55"/>
  <c r="AB12" i="1"/>
  <c r="AF192" i="1"/>
  <c r="AG192" i="1" s="1"/>
  <c r="Y215" i="55"/>
  <c r="Y161" i="55"/>
  <c r="Y125" i="55"/>
  <c r="AD168" i="1"/>
  <c r="AE168" i="1" s="1"/>
  <c r="AF252" i="1"/>
  <c r="AG252" i="1" s="1"/>
  <c r="Y224" i="55"/>
  <c r="Y62" i="55"/>
  <c r="AB48" i="1"/>
  <c r="AD66" i="1"/>
  <c r="AE66" i="1" s="1"/>
  <c r="Y139" i="55"/>
  <c r="AD42" i="1"/>
  <c r="AE42" i="1" s="1"/>
  <c r="AB246" i="1"/>
  <c r="AD282" i="1"/>
  <c r="AE282" i="1" s="1"/>
  <c r="Y157" i="55"/>
  <c r="Y85" i="55"/>
  <c r="AF78" i="1"/>
  <c r="AG78" i="1" s="1"/>
  <c r="Y148" i="55"/>
  <c r="AD102" i="1"/>
  <c r="AE102" i="1" s="1"/>
  <c r="Y94" i="55"/>
  <c r="AD90" i="1"/>
  <c r="AE90" i="1" s="1"/>
  <c r="AF66" i="1"/>
  <c r="AG66" i="1" s="1"/>
  <c r="Y130" i="55"/>
  <c r="AF234" i="1"/>
  <c r="AG234" i="1" s="1"/>
  <c r="AB90" i="1"/>
  <c r="AC30" i="1"/>
  <c r="AB114" i="1"/>
  <c r="AC90" i="1"/>
  <c r="AF114" i="1"/>
  <c r="AG114" i="1" s="1"/>
  <c r="Y103" i="55"/>
  <c r="AD222" i="1"/>
  <c r="AE222" i="1" s="1"/>
  <c r="AD294" i="1"/>
  <c r="AE294" i="1" s="1"/>
  <c r="Y220" i="55"/>
  <c r="AD174" i="1"/>
  <c r="AE174" i="1" s="1"/>
  <c r="AD30" i="1"/>
  <c r="AE30" i="1" s="1"/>
  <c r="AF258" i="1"/>
  <c r="AG258" i="1" s="1"/>
  <c r="AD150" i="1"/>
  <c r="AE150" i="1" s="1"/>
  <c r="AB78" i="1"/>
  <c r="AF198" i="1"/>
  <c r="AG198" i="1" s="1"/>
  <c r="AD126" i="1"/>
  <c r="AE126" i="1" s="1"/>
  <c r="Y58" i="55"/>
  <c r="AB18" i="1"/>
  <c r="AC294" i="1"/>
  <c r="AF246" i="1"/>
  <c r="AG246" i="1" s="1"/>
  <c r="AB138" i="1"/>
  <c r="AC270" i="1"/>
  <c r="AC150" i="1"/>
  <c r="AC18" i="1"/>
  <c r="AF105" i="1"/>
  <c r="AG105" i="1" s="1"/>
  <c r="AF222" i="1"/>
  <c r="AG222" i="1" s="1"/>
  <c r="AB6" i="1"/>
  <c r="AD261" i="1"/>
  <c r="AE261" i="1" s="1"/>
  <c r="Y69" i="55"/>
  <c r="AD270" i="1"/>
  <c r="AE270" i="1" s="1"/>
  <c r="AF174" i="1"/>
  <c r="AG174" i="1" s="1"/>
  <c r="AB30" i="1"/>
  <c r="Y229" i="55"/>
  <c r="Y49" i="55"/>
  <c r="AB126" i="1"/>
  <c r="AD54" i="1"/>
  <c r="AE54" i="1" s="1"/>
  <c r="AD6" i="1"/>
  <c r="AE6" i="1" s="1"/>
  <c r="AB102" i="1"/>
  <c r="AB261" i="1"/>
  <c r="AC81" i="1"/>
  <c r="AB222" i="1"/>
  <c r="AC114" i="1"/>
  <c r="AC234" i="1"/>
  <c r="AC126" i="1"/>
  <c r="AB159" i="1"/>
  <c r="G35" i="54"/>
  <c r="AD45" i="1"/>
  <c r="AE45" i="1" s="1"/>
  <c r="AC117" i="1"/>
  <c r="AB45" i="1"/>
  <c r="AC45" i="1"/>
  <c r="Y172" i="55"/>
  <c r="AF15" i="1"/>
  <c r="AG15" i="1" s="1"/>
  <c r="AB27" i="1"/>
  <c r="F37" i="54"/>
  <c r="AF171" i="1"/>
  <c r="AG171" i="1" s="1"/>
  <c r="AB111" i="1"/>
  <c r="AD75" i="1"/>
  <c r="AE75" i="1" s="1"/>
  <c r="AC243" i="1"/>
  <c r="AB15" i="1"/>
  <c r="Y82" i="55"/>
  <c r="AB63" i="1"/>
  <c r="AD195" i="1"/>
  <c r="AE195" i="1" s="1"/>
  <c r="AD219" i="1"/>
  <c r="AE219" i="1" s="1"/>
  <c r="AF135" i="1"/>
  <c r="AG135" i="1" s="1"/>
  <c r="AD15" i="1"/>
  <c r="AE15" i="1" s="1"/>
  <c r="AB207" i="1"/>
  <c r="AD291" i="1"/>
  <c r="AE291" i="1" s="1"/>
  <c r="AD243" i="1"/>
  <c r="AE243" i="1" s="1"/>
  <c r="AD51" i="1"/>
  <c r="AE51" i="1" s="1"/>
  <c r="AF123" i="1"/>
  <c r="AG123" i="1" s="1"/>
  <c r="AD87" i="1"/>
  <c r="AE87" i="1" s="1"/>
  <c r="AF87" i="1"/>
  <c r="AG87" i="1" s="1"/>
  <c r="AF159" i="1"/>
  <c r="AG159" i="1" s="1"/>
  <c r="AD159" i="1"/>
  <c r="AE159" i="1" s="1"/>
  <c r="AB243" i="1"/>
  <c r="AC195" i="1"/>
  <c r="AC147" i="1"/>
  <c r="AC99" i="1"/>
  <c r="AC51" i="1"/>
  <c r="AF243" i="1"/>
  <c r="AG243" i="1" s="1"/>
  <c r="Y208" i="55"/>
  <c r="AC219" i="1"/>
  <c r="AB87" i="1"/>
  <c r="AD99" i="1"/>
  <c r="AE99" i="1" s="1"/>
  <c r="Y145" i="55"/>
  <c r="Y64" i="55"/>
  <c r="Y46" i="55"/>
  <c r="AD39" i="1"/>
  <c r="AE39" i="1" s="1"/>
  <c r="Y73" i="55"/>
  <c r="AD303" i="1"/>
  <c r="AE303" i="1" s="1"/>
  <c r="AB183" i="1"/>
  <c r="AB135" i="1"/>
  <c r="AB39" i="1"/>
  <c r="AD147" i="1"/>
  <c r="AE147" i="1" s="1"/>
  <c r="X541" i="55"/>
  <c r="AD171" i="1"/>
  <c r="AE171" i="1" s="1"/>
  <c r="AD123" i="1"/>
  <c r="AE123" i="1" s="1"/>
  <c r="AF183" i="1"/>
  <c r="AG183" i="1" s="1"/>
  <c r="Y91" i="55"/>
  <c r="AD111" i="1"/>
  <c r="AE111" i="1" s="1"/>
  <c r="AC207" i="1"/>
  <c r="AC171" i="1"/>
  <c r="AC123" i="1"/>
  <c r="AC75" i="1"/>
  <c r="R306" i="1"/>
  <c r="AF195" i="1"/>
  <c r="AG195" i="1" s="1"/>
  <c r="AF147" i="1"/>
  <c r="AG147" i="1" s="1"/>
  <c r="AF99" i="1"/>
  <c r="AG99" i="1" s="1"/>
  <c r="AF51" i="1"/>
  <c r="AG51" i="1" s="1"/>
  <c r="AD27" i="1"/>
  <c r="AE27" i="1" s="1"/>
  <c r="AF42" i="1"/>
  <c r="AG42" i="1" s="1"/>
  <c r="AF294" i="1"/>
  <c r="AG294" i="1" s="1"/>
  <c r="AD234" i="1"/>
  <c r="AE234" i="1" s="1"/>
  <c r="Y238" i="55"/>
  <c r="Y55" i="55"/>
  <c r="Y121" i="55"/>
  <c r="AB258" i="1"/>
  <c r="AF162" i="1"/>
  <c r="AG162" i="1" s="1"/>
  <c r="AF54" i="1"/>
  <c r="AG54" i="1" s="1"/>
  <c r="AD138" i="1"/>
  <c r="AE138" i="1" s="1"/>
  <c r="Y22" i="55"/>
  <c r="AD135" i="1"/>
  <c r="AE135" i="1" s="1"/>
  <c r="AD183" i="1"/>
  <c r="AE183" i="1" s="1"/>
  <c r="Y136" i="55"/>
  <c r="Y163" i="55"/>
  <c r="AC27" i="1"/>
  <c r="AB219" i="1"/>
  <c r="AB147" i="1"/>
  <c r="AB123" i="1"/>
  <c r="AC78" i="1"/>
  <c r="AF27" i="1"/>
  <c r="AG27" i="1" s="1"/>
  <c r="AF63" i="1"/>
  <c r="AG63" i="1" s="1"/>
  <c r="AD63" i="1"/>
  <c r="AE63" i="1" s="1"/>
  <c r="Y28" i="55"/>
  <c r="AF39" i="1"/>
  <c r="AG39" i="1" s="1"/>
  <c r="AF111" i="1"/>
  <c r="AG111" i="1" s="1"/>
  <c r="Y100" i="55"/>
  <c r="AC183" i="1"/>
  <c r="AC135" i="1"/>
  <c r="AD255" i="1"/>
  <c r="AE255" i="1" s="1"/>
  <c r="AB255" i="1"/>
  <c r="AB267" i="1"/>
  <c r="AD267" i="1"/>
  <c r="AE267" i="1" s="1"/>
  <c r="Y217" i="55"/>
  <c r="AD279" i="1"/>
  <c r="AE279" i="1" s="1"/>
  <c r="AB279" i="1"/>
  <c r="Y226" i="55"/>
  <c r="AC291" i="1"/>
  <c r="AB291" i="1"/>
  <c r="AF291" i="1"/>
  <c r="AG291" i="1" s="1"/>
  <c r="AF303" i="1"/>
  <c r="AG303" i="1" s="1"/>
  <c r="AC303" i="1"/>
  <c r="AB303" i="1"/>
  <c r="AD246" i="1"/>
  <c r="AE246" i="1" s="1"/>
  <c r="AC246" i="1"/>
  <c r="AC9" i="1"/>
  <c r="S306" i="1"/>
  <c r="AB9" i="1"/>
  <c r="AC21" i="1"/>
  <c r="AD21" i="1"/>
  <c r="AE21" i="1" s="1"/>
  <c r="AF21" i="1"/>
  <c r="AG21" i="1" s="1"/>
  <c r="Y33" i="55"/>
  <c r="AC33" i="1"/>
  <c r="AF33" i="1"/>
  <c r="AG33" i="1" s="1"/>
  <c r="AD33" i="1"/>
  <c r="AE33" i="1" s="1"/>
  <c r="Y60" i="55"/>
  <c r="AF57" i="1"/>
  <c r="AG57" i="1" s="1"/>
  <c r="AD57" i="1"/>
  <c r="AE57" i="1" s="1"/>
  <c r="AF69" i="1"/>
  <c r="AG69" i="1" s="1"/>
  <c r="AD69" i="1"/>
  <c r="AE69" i="1" s="1"/>
  <c r="Y78" i="55"/>
  <c r="AD81" i="1"/>
  <c r="AE81" i="1" s="1"/>
  <c r="Y87" i="55"/>
  <c r="AD93" i="1"/>
  <c r="AE93" i="1" s="1"/>
  <c r="Y96" i="55"/>
  <c r="AB105" i="1"/>
  <c r="AB117" i="1"/>
  <c r="AF117" i="1"/>
  <c r="AG117" i="1" s="1"/>
  <c r="Y114" i="55"/>
  <c r="AB129" i="1"/>
  <c r="AF141" i="1"/>
  <c r="AG141" i="1" s="1"/>
  <c r="AB141" i="1"/>
  <c r="Y123" i="55"/>
  <c r="AC165" i="1"/>
  <c r="AF165" i="1"/>
  <c r="AG165" i="1" s="1"/>
  <c r="Y150" i="55"/>
  <c r="AD177" i="1"/>
  <c r="AE177" i="1" s="1"/>
  <c r="AB189" i="1"/>
  <c r="AF189" i="1"/>
  <c r="AG189" i="1" s="1"/>
  <c r="AD189" i="1"/>
  <c r="AE189" i="1" s="1"/>
  <c r="Y159" i="55"/>
  <c r="Y168" i="55"/>
  <c r="AB201" i="1"/>
  <c r="AF213" i="1"/>
  <c r="AG213" i="1" s="1"/>
  <c r="Y177" i="55"/>
  <c r="AD213" i="1"/>
  <c r="AE213" i="1" s="1"/>
  <c r="AF225" i="1"/>
  <c r="AG225" i="1" s="1"/>
  <c r="AD225" i="1"/>
  <c r="AE225" i="1" s="1"/>
  <c r="AD237" i="1"/>
  <c r="AE237" i="1" s="1"/>
  <c r="AB237" i="1"/>
  <c r="AC153" i="1"/>
  <c r="Y132" i="55"/>
  <c r="AC24" i="1"/>
  <c r="Y35" i="55"/>
  <c r="AF24" i="1"/>
  <c r="AB96" i="1"/>
  <c r="AD96" i="1"/>
  <c r="Y89" i="55"/>
  <c r="AD108" i="1"/>
  <c r="AE108" i="1" s="1"/>
  <c r="AC108" i="1"/>
  <c r="AB120" i="1"/>
  <c r="Y107" i="55"/>
  <c r="AC231" i="1"/>
  <c r="AF231" i="1"/>
  <c r="AG231" i="1" s="1"/>
  <c r="AB231" i="1"/>
  <c r="AD231" i="1"/>
  <c r="AE231" i="1" s="1"/>
  <c r="AF273" i="1"/>
  <c r="AG273" i="1" s="1"/>
  <c r="Y222" i="55"/>
  <c r="AC285" i="1"/>
  <c r="AB285" i="1"/>
  <c r="AD186" i="1"/>
  <c r="AE186" i="1" s="1"/>
  <c r="AB186" i="1"/>
  <c r="AD198" i="1"/>
  <c r="AE198" i="1" s="1"/>
  <c r="Y166" i="55"/>
  <c r="AF210" i="1"/>
  <c r="AG210" i="1" s="1"/>
  <c r="AD210" i="1"/>
  <c r="AE210" i="1" s="1"/>
  <c r="AC210" i="1"/>
  <c r="AB210" i="1"/>
  <c r="BI7" i="1" l="1"/>
  <c r="A21" i="55"/>
  <c r="A9" i="1"/>
  <c r="A23" i="55" s="1"/>
  <c r="BD7" i="1"/>
  <c r="BD10" i="1"/>
  <c r="CD221" i="1"/>
  <c r="CE221" i="1" s="1"/>
  <c r="CA190" i="1"/>
  <c r="CB190" i="1" s="1"/>
  <c r="BC190" i="1"/>
  <c r="BD190" i="1" s="1"/>
  <c r="BC172" i="1"/>
  <c r="BD172" i="1" s="1"/>
  <c r="BX77" i="1"/>
  <c r="BY77" i="1" s="1"/>
  <c r="AF93" i="1"/>
  <c r="AG93" i="1" s="1"/>
  <c r="AF279" i="1"/>
  <c r="AG279" i="1" s="1"/>
  <c r="AF207" i="1"/>
  <c r="AG207" i="1" s="1"/>
  <c r="CD83" i="1"/>
  <c r="CE83" i="1" s="1"/>
  <c r="BF32" i="1"/>
  <c r="BG32" i="1" s="1"/>
  <c r="AW190" i="1"/>
  <c r="AX190" i="1" s="1"/>
  <c r="BL95" i="1"/>
  <c r="BS95" i="1" s="1"/>
  <c r="BU190" i="1"/>
  <c r="BV190" i="1" s="1"/>
  <c r="BI172" i="1"/>
  <c r="BJ172" i="1" s="1"/>
  <c r="BO43" i="1"/>
  <c r="BP43" i="1" s="1"/>
  <c r="BI43" i="1"/>
  <c r="BJ43" i="1" s="1"/>
  <c r="BC43" i="1"/>
  <c r="BD43" i="1" s="1"/>
  <c r="AO43" i="1"/>
  <c r="AW43" i="1"/>
  <c r="AX43" i="1" s="1"/>
  <c r="AF30" i="1"/>
  <c r="AG30" i="1" s="1"/>
  <c r="CD95" i="1"/>
  <c r="CE95" i="1" s="1"/>
  <c r="CD77" i="1"/>
  <c r="CE77" i="1" s="1"/>
  <c r="BI190" i="1"/>
  <c r="BJ190" i="1" s="1"/>
  <c r="AW172" i="1"/>
  <c r="AX172" i="1" s="1"/>
  <c r="BF95" i="1"/>
  <c r="BG95" i="1" s="1"/>
  <c r="BR95" i="1"/>
  <c r="AO190" i="1"/>
  <c r="AO172" i="1"/>
  <c r="BU172" i="1"/>
  <c r="BV172" i="1" s="1"/>
  <c r="BX179" i="1"/>
  <c r="BY179" i="1" s="1"/>
  <c r="BL179" i="1"/>
  <c r="AS179" i="1"/>
  <c r="BR179" i="1"/>
  <c r="BF179" i="1"/>
  <c r="BG179" i="1" s="1"/>
  <c r="AZ179" i="1"/>
  <c r="BA179" i="1" s="1"/>
  <c r="AO196" i="1"/>
  <c r="BI196" i="1"/>
  <c r="BJ196" i="1" s="1"/>
  <c r="BO196" i="1"/>
  <c r="BP196" i="1" s="1"/>
  <c r="BC196" i="1"/>
  <c r="BD196" i="1" s="1"/>
  <c r="AW196" i="1"/>
  <c r="AX196" i="1" s="1"/>
  <c r="BU196" i="1"/>
  <c r="BV196" i="1" s="1"/>
  <c r="BX227" i="1"/>
  <c r="BY227" i="1" s="1"/>
  <c r="AZ227" i="1"/>
  <c r="BA227" i="1" s="1"/>
  <c r="BR227" i="1"/>
  <c r="BF227" i="1"/>
  <c r="BG227" i="1" s="1"/>
  <c r="BL227" i="1"/>
  <c r="AS227" i="1"/>
  <c r="AW49" i="1"/>
  <c r="AX49" i="1" s="1"/>
  <c r="BC49" i="1"/>
  <c r="BD49" i="1" s="1"/>
  <c r="BI49" i="1"/>
  <c r="BJ49" i="1" s="1"/>
  <c r="CD257" i="1"/>
  <c r="CE257" i="1" s="1"/>
  <c r="AO49" i="1"/>
  <c r="AO112" i="1"/>
  <c r="BI112" i="1"/>
  <c r="BJ112" i="1" s="1"/>
  <c r="BU112" i="1"/>
  <c r="BV112" i="1" s="1"/>
  <c r="BO112" i="1"/>
  <c r="BP112" i="1" s="1"/>
  <c r="AW112" i="1"/>
  <c r="AX112" i="1" s="1"/>
  <c r="BC112" i="1"/>
  <c r="BD112" i="1" s="1"/>
  <c r="BR161" i="1"/>
  <c r="BX161" i="1"/>
  <c r="BY161" i="1" s="1"/>
  <c r="AS161" i="1"/>
  <c r="AZ161" i="1"/>
  <c r="BA161" i="1" s="1"/>
  <c r="BL161" i="1"/>
  <c r="BF161" i="1"/>
  <c r="BG161" i="1" s="1"/>
  <c r="BL209" i="1"/>
  <c r="BR209" i="1"/>
  <c r="AZ209" i="1"/>
  <c r="BA209" i="1" s="1"/>
  <c r="BX209" i="1"/>
  <c r="BY209" i="1" s="1"/>
  <c r="BF209" i="1"/>
  <c r="BG209" i="1" s="1"/>
  <c r="AS209" i="1"/>
  <c r="BL215" i="1"/>
  <c r="BR215" i="1"/>
  <c r="BX215" i="1"/>
  <c r="BY215" i="1" s="1"/>
  <c r="AZ215" i="1"/>
  <c r="BA215" i="1" s="1"/>
  <c r="AS215" i="1"/>
  <c r="BL221" i="1"/>
  <c r="BX221" i="1"/>
  <c r="BY221" i="1" s="1"/>
  <c r="BF221" i="1"/>
  <c r="BG221" i="1" s="1"/>
  <c r="AZ221" i="1"/>
  <c r="BA221" i="1" s="1"/>
  <c r="BR221" i="1"/>
  <c r="AS221" i="1"/>
  <c r="AS239" i="1"/>
  <c r="AZ239" i="1"/>
  <c r="BA239" i="1" s="1"/>
  <c r="BR239" i="1"/>
  <c r="BF239" i="1"/>
  <c r="BG239" i="1" s="1"/>
  <c r="BL239" i="1"/>
  <c r="BX239" i="1"/>
  <c r="BY239" i="1" s="1"/>
  <c r="CA49" i="1"/>
  <c r="CB49" i="1" s="1"/>
  <c r="BS38" i="1"/>
  <c r="AO277" i="1"/>
  <c r="BU277" i="1"/>
  <c r="BV277" i="1" s="1"/>
  <c r="BI277" i="1"/>
  <c r="BJ277" i="1" s="1"/>
  <c r="BC277" i="1"/>
  <c r="BD277" i="1" s="1"/>
  <c r="BO277" i="1"/>
  <c r="BP277" i="1" s="1"/>
  <c r="AW277" i="1"/>
  <c r="AX277" i="1" s="1"/>
  <c r="BL173" i="1"/>
  <c r="BF173" i="1"/>
  <c r="BG173" i="1" s="1"/>
  <c r="BR173" i="1"/>
  <c r="AS173" i="1"/>
  <c r="AZ191" i="1"/>
  <c r="BA191" i="1" s="1"/>
  <c r="AS191" i="1"/>
  <c r="BL191" i="1"/>
  <c r="BX191" i="1"/>
  <c r="BY191" i="1" s="1"/>
  <c r="BF191" i="1"/>
  <c r="BG191" i="1" s="1"/>
  <c r="BR191" i="1"/>
  <c r="BI226" i="1"/>
  <c r="BJ226" i="1" s="1"/>
  <c r="AO226" i="1"/>
  <c r="AW226" i="1"/>
  <c r="AX226" i="1" s="1"/>
  <c r="BC226" i="1"/>
  <c r="BD226" i="1" s="1"/>
  <c r="BL233" i="1"/>
  <c r="BX233" i="1"/>
  <c r="BY233" i="1" s="1"/>
  <c r="BR233" i="1"/>
  <c r="AS233" i="1"/>
  <c r="AZ233" i="1"/>
  <c r="BA233" i="1" s="1"/>
  <c r="AF267" i="1"/>
  <c r="AG267" i="1" s="1"/>
  <c r="CD269" i="1"/>
  <c r="CE269" i="1" s="1"/>
  <c r="BU49" i="1"/>
  <c r="BV49" i="1" s="1"/>
  <c r="AW55" i="1"/>
  <c r="AX55" i="1" s="1"/>
  <c r="BC55" i="1"/>
  <c r="BD55" i="1" s="1"/>
  <c r="BO55" i="1"/>
  <c r="BP55" i="1" s="1"/>
  <c r="BI55" i="1"/>
  <c r="BJ55" i="1" s="1"/>
  <c r="AO55" i="1"/>
  <c r="BU55" i="1"/>
  <c r="BV55" i="1" s="1"/>
  <c r="AW178" i="1"/>
  <c r="AX178" i="1" s="1"/>
  <c r="BU178" i="1"/>
  <c r="BV178" i="1" s="1"/>
  <c r="AO178" i="1"/>
  <c r="BC178" i="1"/>
  <c r="BD178" i="1" s="1"/>
  <c r="BO178" i="1"/>
  <c r="BP178" i="1" s="1"/>
  <c r="BI178" i="1"/>
  <c r="BJ178" i="1" s="1"/>
  <c r="BX185" i="1"/>
  <c r="BY185" i="1" s="1"/>
  <c r="AZ185" i="1"/>
  <c r="BA185" i="1" s="1"/>
  <c r="BR185" i="1"/>
  <c r="AS185" i="1"/>
  <c r="BL185" i="1"/>
  <c r="AS197" i="1"/>
  <c r="AZ197" i="1"/>
  <c r="BA197" i="1" s="1"/>
  <c r="BL197" i="1"/>
  <c r="BU214" i="1"/>
  <c r="BV214" i="1" s="1"/>
  <c r="BC214" i="1"/>
  <c r="BD214" i="1" s="1"/>
  <c r="BI214" i="1"/>
  <c r="BJ214" i="1" s="1"/>
  <c r="AW214" i="1"/>
  <c r="AX214" i="1" s="1"/>
  <c r="BF245" i="1"/>
  <c r="BG245" i="1" s="1"/>
  <c r="BX245" i="1"/>
  <c r="BY245" i="1" s="1"/>
  <c r="AS245" i="1"/>
  <c r="BR245" i="1"/>
  <c r="BL245" i="1"/>
  <c r="AZ245" i="1"/>
  <c r="BA245" i="1" s="1"/>
  <c r="AO274" i="1"/>
  <c r="BO274" i="1"/>
  <c r="BP274" i="1" s="1"/>
  <c r="BC274" i="1"/>
  <c r="BD274" i="1" s="1"/>
  <c r="AW274" i="1"/>
  <c r="AX274" i="1" s="1"/>
  <c r="BU274" i="1"/>
  <c r="BV274" i="1" s="1"/>
  <c r="BI274" i="1"/>
  <c r="BJ274" i="1" s="1"/>
  <c r="BR281" i="1"/>
  <c r="AS281" i="1"/>
  <c r="BX281" i="1"/>
  <c r="BY281" i="1" s="1"/>
  <c r="BF281" i="1"/>
  <c r="BG281" i="1" s="1"/>
  <c r="AZ281" i="1"/>
  <c r="BA281" i="1" s="1"/>
  <c r="BL281" i="1"/>
  <c r="BL287" i="1"/>
  <c r="AZ287" i="1"/>
  <c r="BA287" i="1" s="1"/>
  <c r="AS287" i="1"/>
  <c r="BF287" i="1"/>
  <c r="BG287" i="1" s="1"/>
  <c r="BX287" i="1"/>
  <c r="BY287" i="1" s="1"/>
  <c r="BR287" i="1"/>
  <c r="BX170" i="1"/>
  <c r="BY170" i="1" s="1"/>
  <c r="BL170" i="1"/>
  <c r="BF170" i="1"/>
  <c r="BG170" i="1" s="1"/>
  <c r="AZ170" i="1"/>
  <c r="BA170" i="1" s="1"/>
  <c r="BR170" i="1"/>
  <c r="AS170" i="1"/>
  <c r="BR188" i="1"/>
  <c r="AZ188" i="1"/>
  <c r="BA188" i="1" s="1"/>
  <c r="BX188" i="1"/>
  <c r="BY188" i="1" s="1"/>
  <c r="AS188" i="1"/>
  <c r="BF188" i="1"/>
  <c r="BG188" i="1" s="1"/>
  <c r="BL188" i="1"/>
  <c r="AO82" i="1"/>
  <c r="AW82" i="1"/>
  <c r="AX82" i="1" s="1"/>
  <c r="BO82" i="1"/>
  <c r="BP82" i="1" s="1"/>
  <c r="BI82" i="1"/>
  <c r="BJ82" i="1" s="1"/>
  <c r="BU82" i="1"/>
  <c r="BV82" i="1" s="1"/>
  <c r="BC82" i="1"/>
  <c r="BD82" i="1" s="1"/>
  <c r="AO25" i="1"/>
  <c r="BI25" i="1"/>
  <c r="BJ25" i="1" s="1"/>
  <c r="BC25" i="1"/>
  <c r="BD25" i="1" s="1"/>
  <c r="BO25" i="1"/>
  <c r="BP25" i="1" s="1"/>
  <c r="BU25" i="1"/>
  <c r="BV25" i="1" s="1"/>
  <c r="AW25" i="1"/>
  <c r="AX25" i="1" s="1"/>
  <c r="BI31" i="1"/>
  <c r="BJ31" i="1" s="1"/>
  <c r="AW31" i="1"/>
  <c r="AX31" i="1" s="1"/>
  <c r="BU31" i="1"/>
  <c r="BV31" i="1" s="1"/>
  <c r="BO31" i="1"/>
  <c r="BP31" i="1" s="1"/>
  <c r="AO31" i="1"/>
  <c r="BC31" i="1"/>
  <c r="BD31" i="1" s="1"/>
  <c r="AF168" i="1"/>
  <c r="AG168" i="1" s="1"/>
  <c r="CA31" i="1"/>
  <c r="CB31" i="1" s="1"/>
  <c r="CD287" i="1"/>
  <c r="CE287" i="1" s="1"/>
  <c r="BM125" i="1"/>
  <c r="BM8" i="1"/>
  <c r="BX293" i="1"/>
  <c r="BY293" i="1" s="1"/>
  <c r="BL293" i="1"/>
  <c r="AS293" i="1"/>
  <c r="BF293" i="1"/>
  <c r="BG293" i="1" s="1"/>
  <c r="AZ293" i="1"/>
  <c r="BA293" i="1" s="1"/>
  <c r="BR293" i="1"/>
  <c r="BF164" i="1"/>
  <c r="BG164" i="1" s="1"/>
  <c r="BL164" i="1"/>
  <c r="BR164" i="1"/>
  <c r="AZ164" i="1"/>
  <c r="BA164" i="1" s="1"/>
  <c r="BX164" i="1"/>
  <c r="BY164" i="1" s="1"/>
  <c r="AS164" i="1"/>
  <c r="BL77" i="1"/>
  <c r="AS77" i="1"/>
  <c r="BR77" i="1"/>
  <c r="BF77" i="1"/>
  <c r="BG77" i="1" s="1"/>
  <c r="AZ77" i="1"/>
  <c r="BA77" i="1" s="1"/>
  <c r="BR83" i="1"/>
  <c r="BL83" i="1"/>
  <c r="BF83" i="1"/>
  <c r="BG83" i="1" s="1"/>
  <c r="AS83" i="1"/>
  <c r="AZ83" i="1"/>
  <c r="BA83" i="1" s="1"/>
  <c r="BX83" i="1"/>
  <c r="BY83" i="1" s="1"/>
  <c r="AO88" i="1"/>
  <c r="BU88" i="1"/>
  <c r="BV88" i="1" s="1"/>
  <c r="AW88" i="1"/>
  <c r="AX88" i="1" s="1"/>
  <c r="BC88" i="1"/>
  <c r="BD88" i="1" s="1"/>
  <c r="BI88" i="1"/>
  <c r="BJ88" i="1" s="1"/>
  <c r="BL32" i="1"/>
  <c r="AZ32" i="1"/>
  <c r="BA32" i="1" s="1"/>
  <c r="BX32" i="1"/>
  <c r="BY32" i="1" s="1"/>
  <c r="BR32" i="1"/>
  <c r="AS32" i="1"/>
  <c r="AF186" i="1"/>
  <c r="AG186" i="1" s="1"/>
  <c r="CD188" i="1"/>
  <c r="CE188" i="1" s="1"/>
  <c r="CA274" i="1"/>
  <c r="CB274" i="1" s="1"/>
  <c r="CA25" i="1"/>
  <c r="CB25" i="1" s="1"/>
  <c r="BM155" i="1"/>
  <c r="BS212" i="1"/>
  <c r="AQ306" i="1"/>
  <c r="AU306" i="1"/>
  <c r="AO250" i="1"/>
  <c r="BO250" i="1"/>
  <c r="BP250" i="1" s="1"/>
  <c r="BI250" i="1"/>
  <c r="BJ250" i="1" s="1"/>
  <c r="AW250" i="1"/>
  <c r="AX250" i="1" s="1"/>
  <c r="BU250" i="1"/>
  <c r="BV250" i="1" s="1"/>
  <c r="BC250" i="1"/>
  <c r="BD250" i="1" s="1"/>
  <c r="AO256" i="1"/>
  <c r="BO256" i="1"/>
  <c r="BP256" i="1" s="1"/>
  <c r="BI256" i="1"/>
  <c r="BJ256" i="1" s="1"/>
  <c r="BC256" i="1"/>
  <c r="BD256" i="1" s="1"/>
  <c r="AW256" i="1"/>
  <c r="AX256" i="1" s="1"/>
  <c r="BF263" i="1"/>
  <c r="BG263" i="1" s="1"/>
  <c r="BX263" i="1"/>
  <c r="BY263" i="1" s="1"/>
  <c r="AS263" i="1"/>
  <c r="BR263" i="1"/>
  <c r="BL263" i="1"/>
  <c r="AZ263" i="1"/>
  <c r="BA263" i="1" s="1"/>
  <c r="AO268" i="1"/>
  <c r="BO268" i="1"/>
  <c r="BP268" i="1" s="1"/>
  <c r="AW268" i="1"/>
  <c r="AX268" i="1" s="1"/>
  <c r="BC268" i="1"/>
  <c r="BD268" i="1" s="1"/>
  <c r="BI268" i="1"/>
  <c r="BJ268" i="1" s="1"/>
  <c r="BU268" i="1"/>
  <c r="BV268" i="1" s="1"/>
  <c r="BR275" i="1"/>
  <c r="AS275" i="1"/>
  <c r="BX275" i="1"/>
  <c r="BY275" i="1" s="1"/>
  <c r="BF275" i="1"/>
  <c r="BG275" i="1" s="1"/>
  <c r="BL275" i="1"/>
  <c r="AZ275" i="1"/>
  <c r="BA275" i="1" s="1"/>
  <c r="BL182" i="1"/>
  <c r="BX182" i="1"/>
  <c r="BY182" i="1" s="1"/>
  <c r="BF182" i="1"/>
  <c r="BG182" i="1" s="1"/>
  <c r="BF89" i="1"/>
  <c r="BG89" i="1" s="1"/>
  <c r="AZ89" i="1"/>
  <c r="BA89" i="1" s="1"/>
  <c r="BR89" i="1"/>
  <c r="AS89" i="1"/>
  <c r="BX89" i="1"/>
  <c r="BY89" i="1" s="1"/>
  <c r="BL89" i="1"/>
  <c r="AO13" i="1"/>
  <c r="BO13" i="1"/>
  <c r="BP13" i="1" s="1"/>
  <c r="BU13" i="1"/>
  <c r="BV13" i="1" s="1"/>
  <c r="BC13" i="1"/>
  <c r="BD13" i="1" s="1"/>
  <c r="AW13" i="1"/>
  <c r="AX13" i="1" s="1"/>
  <c r="BI13" i="1"/>
  <c r="BJ13" i="1" s="1"/>
  <c r="BL26" i="1"/>
  <c r="BR26" i="1"/>
  <c r="AS26" i="1"/>
  <c r="AZ26" i="1"/>
  <c r="BA26" i="1" s="1"/>
  <c r="BX26" i="1"/>
  <c r="BY26" i="1" s="1"/>
  <c r="BF26" i="1"/>
  <c r="BG26" i="1" s="1"/>
  <c r="BS200" i="1"/>
  <c r="BX257" i="1"/>
  <c r="BY257" i="1" s="1"/>
  <c r="AZ257" i="1"/>
  <c r="BA257" i="1" s="1"/>
  <c r="BL257" i="1"/>
  <c r="AS257" i="1"/>
  <c r="BF257" i="1"/>
  <c r="BG257" i="1" s="1"/>
  <c r="BR257" i="1"/>
  <c r="BR269" i="1"/>
  <c r="AS269" i="1"/>
  <c r="AZ269" i="1"/>
  <c r="BA269" i="1" s="1"/>
  <c r="BF269" i="1"/>
  <c r="BG269" i="1" s="1"/>
  <c r="BL269" i="1"/>
  <c r="AO286" i="1"/>
  <c r="BU286" i="1"/>
  <c r="BV286" i="1" s="1"/>
  <c r="BI286" i="1"/>
  <c r="BJ286" i="1" s="1"/>
  <c r="AW286" i="1"/>
  <c r="AX286" i="1" s="1"/>
  <c r="BC286" i="1"/>
  <c r="BD286" i="1" s="1"/>
  <c r="BO286" i="1"/>
  <c r="BP286" i="1" s="1"/>
  <c r="AO292" i="1"/>
  <c r="BU292" i="1"/>
  <c r="BV292" i="1" s="1"/>
  <c r="BC292" i="1"/>
  <c r="BD292" i="1" s="1"/>
  <c r="BO292" i="1"/>
  <c r="BP292" i="1" s="1"/>
  <c r="AW292" i="1"/>
  <c r="AX292" i="1" s="1"/>
  <c r="BI292" i="1"/>
  <c r="BJ292" i="1" s="1"/>
  <c r="AW163" i="1"/>
  <c r="AX163" i="1" s="1"/>
  <c r="AO163" i="1"/>
  <c r="BC163" i="1"/>
  <c r="BD163" i="1" s="1"/>
  <c r="BU163" i="1"/>
  <c r="BV163" i="1" s="1"/>
  <c r="BI163" i="1"/>
  <c r="BJ163" i="1" s="1"/>
  <c r="BO163" i="1"/>
  <c r="BP163" i="1" s="1"/>
  <c r="AO169" i="1"/>
  <c r="BU169" i="1"/>
  <c r="BV169" i="1" s="1"/>
  <c r="AW169" i="1"/>
  <c r="AX169" i="1" s="1"/>
  <c r="BC169" i="1"/>
  <c r="BD169" i="1" s="1"/>
  <c r="BO169" i="1"/>
  <c r="BP169" i="1" s="1"/>
  <c r="BI169" i="1"/>
  <c r="BJ169" i="1" s="1"/>
  <c r="BC70" i="1"/>
  <c r="BD70" i="1" s="1"/>
  <c r="AW70" i="1"/>
  <c r="AX70" i="1" s="1"/>
  <c r="BU70" i="1"/>
  <c r="BV70" i="1" s="1"/>
  <c r="AZ71" i="1"/>
  <c r="BA71" i="1" s="1"/>
  <c r="BX71" i="1"/>
  <c r="BY71" i="1" s="1"/>
  <c r="AS71" i="1"/>
  <c r="BL71" i="1"/>
  <c r="BR71" i="1"/>
  <c r="AO94" i="1"/>
  <c r="BU94" i="1"/>
  <c r="BV94" i="1" s="1"/>
  <c r="BI94" i="1"/>
  <c r="BJ94" i="1" s="1"/>
  <c r="BO94" i="1"/>
  <c r="BP94" i="1" s="1"/>
  <c r="AW94" i="1"/>
  <c r="AX94" i="1" s="1"/>
  <c r="BC94" i="1"/>
  <c r="BD94" i="1" s="1"/>
  <c r="BX14" i="1"/>
  <c r="BY14" i="1" s="1"/>
  <c r="BF14" i="1"/>
  <c r="BG14" i="1" s="1"/>
  <c r="AS14" i="1"/>
  <c r="AZ14" i="1"/>
  <c r="BA14" i="1" s="1"/>
  <c r="BR14" i="1"/>
  <c r="BL14" i="1"/>
  <c r="BX20" i="1"/>
  <c r="BY20" i="1" s="1"/>
  <c r="BR20" i="1"/>
  <c r="BL20" i="1"/>
  <c r="AS20" i="1"/>
  <c r="AZ20" i="1"/>
  <c r="BA20" i="1" s="1"/>
  <c r="BY8" i="1"/>
  <c r="BG8" i="1"/>
  <c r="BS8" i="1"/>
  <c r="BA8" i="1"/>
  <c r="BJ7" i="1"/>
  <c r="BU7" i="1"/>
  <c r="AT306" i="1"/>
  <c r="AP306" i="1"/>
  <c r="C132" i="54"/>
  <c r="D246" i="55"/>
  <c r="D308" i="1"/>
  <c r="G24" i="6"/>
  <c r="H78" i="54" s="1"/>
  <c r="H88" i="54" s="1"/>
  <c r="H49" i="54"/>
  <c r="B88" i="54" s="1"/>
  <c r="H51" i="54"/>
  <c r="BM56" i="1"/>
  <c r="BS56" i="1"/>
  <c r="BS224" i="1"/>
  <c r="BM224" i="1"/>
  <c r="BS50" i="1"/>
  <c r="BS62" i="1"/>
  <c r="BM62" i="1"/>
  <c r="BM107" i="1"/>
  <c r="BS107" i="1"/>
  <c r="BS119" i="1"/>
  <c r="BM119" i="1"/>
  <c r="BS305" i="1"/>
  <c r="BM305" i="1"/>
  <c r="BM206" i="1"/>
  <c r="BM101" i="1"/>
  <c r="BS101" i="1"/>
  <c r="BS137" i="1"/>
  <c r="BM137" i="1"/>
  <c r="BM149" i="1"/>
  <c r="BS149" i="1"/>
  <c r="BM44" i="1"/>
  <c r="BS44" i="1"/>
  <c r="CA133" i="1"/>
  <c r="CB133" i="1" s="1"/>
  <c r="AO220" i="1"/>
  <c r="BU220" i="1"/>
  <c r="BV220" i="1" s="1"/>
  <c r="BO220" i="1"/>
  <c r="BP220" i="1" s="1"/>
  <c r="AW220" i="1"/>
  <c r="AX220" i="1" s="1"/>
  <c r="BC220" i="1"/>
  <c r="BD220" i="1" s="1"/>
  <c r="BI220" i="1"/>
  <c r="BJ220" i="1" s="1"/>
  <c r="AO253" i="1"/>
  <c r="BI253" i="1"/>
  <c r="BJ253" i="1" s="1"/>
  <c r="BO253" i="1"/>
  <c r="BP253" i="1" s="1"/>
  <c r="BC253" i="1"/>
  <c r="BD253" i="1" s="1"/>
  <c r="BU253" i="1"/>
  <c r="BV253" i="1" s="1"/>
  <c r="AW253" i="1"/>
  <c r="AX253" i="1" s="1"/>
  <c r="AO247" i="1"/>
  <c r="BO247" i="1"/>
  <c r="BP247" i="1" s="1"/>
  <c r="BI247" i="1"/>
  <c r="BJ247" i="1" s="1"/>
  <c r="BU247" i="1"/>
  <c r="BV247" i="1" s="1"/>
  <c r="AW247" i="1"/>
  <c r="AX247" i="1" s="1"/>
  <c r="BC247" i="1"/>
  <c r="BD247" i="1" s="1"/>
  <c r="AO271" i="1"/>
  <c r="BC271" i="1"/>
  <c r="BD271" i="1" s="1"/>
  <c r="BU271" i="1"/>
  <c r="BV271" i="1" s="1"/>
  <c r="BI271" i="1"/>
  <c r="BJ271" i="1" s="1"/>
  <c r="BO271" i="1"/>
  <c r="BP271" i="1" s="1"/>
  <c r="AW271" i="1"/>
  <c r="AX271" i="1" s="1"/>
  <c r="BS59" i="1"/>
  <c r="BM59" i="1"/>
  <c r="BS143" i="1"/>
  <c r="BM143" i="1"/>
  <c r="BN306" i="1"/>
  <c r="CA220" i="1"/>
  <c r="CB220" i="1" s="1"/>
  <c r="M52" i="52"/>
  <c r="M36" i="52"/>
  <c r="M100" i="52"/>
  <c r="BS131" i="1"/>
  <c r="BM131" i="1"/>
  <c r="M228" i="52"/>
  <c r="M212" i="52"/>
  <c r="M68" i="52"/>
  <c r="AO76" i="1"/>
  <c r="BU76" i="1"/>
  <c r="BV76" i="1" s="1"/>
  <c r="BO76" i="1"/>
  <c r="BP76" i="1" s="1"/>
  <c r="BI76" i="1"/>
  <c r="BJ76" i="1" s="1"/>
  <c r="BC76" i="1"/>
  <c r="BD76" i="1" s="1"/>
  <c r="AW76" i="1"/>
  <c r="AX76" i="1" s="1"/>
  <c r="AO187" i="1"/>
  <c r="BC187" i="1"/>
  <c r="BD187" i="1" s="1"/>
  <c r="BI187" i="1"/>
  <c r="BJ187" i="1" s="1"/>
  <c r="BO187" i="1"/>
  <c r="BP187" i="1" s="1"/>
  <c r="AW187" i="1"/>
  <c r="AX187" i="1" s="1"/>
  <c r="BU187" i="1"/>
  <c r="BV187" i="1" s="1"/>
  <c r="AO265" i="1"/>
  <c r="BI265" i="1"/>
  <c r="BJ265" i="1" s="1"/>
  <c r="BO265" i="1"/>
  <c r="BP265" i="1" s="1"/>
  <c r="BC265" i="1"/>
  <c r="BD265" i="1" s="1"/>
  <c r="AW265" i="1"/>
  <c r="AX265" i="1" s="1"/>
  <c r="BU265" i="1"/>
  <c r="BV265" i="1" s="1"/>
  <c r="CA187" i="1"/>
  <c r="CB187" i="1" s="1"/>
  <c r="CA217" i="1"/>
  <c r="CB217" i="1" s="1"/>
  <c r="CA76" i="1"/>
  <c r="CB76" i="1" s="1"/>
  <c r="CD203" i="1"/>
  <c r="CE203" i="1" s="1"/>
  <c r="AY306" i="1"/>
  <c r="D133" i="54" s="1"/>
  <c r="T10" i="3"/>
  <c r="BU115" i="1"/>
  <c r="BV115" i="1" s="1"/>
  <c r="AW115" i="1"/>
  <c r="AX115" i="1" s="1"/>
  <c r="AO115" i="1"/>
  <c r="BI115" i="1"/>
  <c r="BJ115" i="1" s="1"/>
  <c r="BC115" i="1"/>
  <c r="BD115" i="1" s="1"/>
  <c r="BO115" i="1"/>
  <c r="BP115" i="1" s="1"/>
  <c r="AO235" i="1"/>
  <c r="BU235" i="1"/>
  <c r="BV235" i="1" s="1"/>
  <c r="BI235" i="1"/>
  <c r="BJ235" i="1" s="1"/>
  <c r="AW235" i="1"/>
  <c r="AX235" i="1" s="1"/>
  <c r="BO235" i="1"/>
  <c r="BP235" i="1" s="1"/>
  <c r="BC235" i="1"/>
  <c r="BD235" i="1" s="1"/>
  <c r="AO109" i="1"/>
  <c r="BC109" i="1"/>
  <c r="BD109" i="1" s="1"/>
  <c r="BU109" i="1"/>
  <c r="BV109" i="1" s="1"/>
  <c r="BI109" i="1"/>
  <c r="BJ109" i="1" s="1"/>
  <c r="BO109" i="1"/>
  <c r="BP109" i="1" s="1"/>
  <c r="AW109" i="1"/>
  <c r="AX109" i="1" s="1"/>
  <c r="AO166" i="1"/>
  <c r="BO166" i="1"/>
  <c r="BP166" i="1" s="1"/>
  <c r="BU166" i="1"/>
  <c r="BV166" i="1" s="1"/>
  <c r="BC166" i="1"/>
  <c r="BD166" i="1" s="1"/>
  <c r="BI166" i="1"/>
  <c r="BJ166" i="1" s="1"/>
  <c r="AW166" i="1"/>
  <c r="AX166" i="1" s="1"/>
  <c r="BU91" i="1"/>
  <c r="BV91" i="1" s="1"/>
  <c r="AW91" i="1"/>
  <c r="AX91" i="1" s="1"/>
  <c r="AO91" i="1"/>
  <c r="BC91" i="1"/>
  <c r="BD91" i="1" s="1"/>
  <c r="BO91" i="1"/>
  <c r="BP91" i="1" s="1"/>
  <c r="BI91" i="1"/>
  <c r="BJ91" i="1" s="1"/>
  <c r="AO217" i="1"/>
  <c r="BI217" i="1"/>
  <c r="BJ217" i="1" s="1"/>
  <c r="BU217" i="1"/>
  <c r="BV217" i="1" s="1"/>
  <c r="BC217" i="1"/>
  <c r="BD217" i="1" s="1"/>
  <c r="AW217" i="1"/>
  <c r="AX217" i="1" s="1"/>
  <c r="BU67" i="1"/>
  <c r="BV67" i="1" s="1"/>
  <c r="BI67" i="1"/>
  <c r="BJ67" i="1" s="1"/>
  <c r="BO67" i="1"/>
  <c r="BP67" i="1" s="1"/>
  <c r="AW67" i="1"/>
  <c r="AX67" i="1" s="1"/>
  <c r="BC67" i="1"/>
  <c r="BD67" i="1" s="1"/>
  <c r="AO67" i="1"/>
  <c r="BI298" i="1"/>
  <c r="BJ298" i="1" s="1"/>
  <c r="AO298" i="1"/>
  <c r="BU298" i="1"/>
  <c r="BV298" i="1" s="1"/>
  <c r="BC298" i="1"/>
  <c r="BD298" i="1" s="1"/>
  <c r="BO298" i="1"/>
  <c r="BP298" i="1" s="1"/>
  <c r="AW298" i="1"/>
  <c r="AX298" i="1" s="1"/>
  <c r="AN306" i="1"/>
  <c r="H308" i="1" s="1"/>
  <c r="BB306" i="1"/>
  <c r="AO28" i="1"/>
  <c r="BU28" i="1"/>
  <c r="BV28" i="1" s="1"/>
  <c r="BO28" i="1"/>
  <c r="BP28" i="1" s="1"/>
  <c r="BI28" i="1"/>
  <c r="BJ28" i="1" s="1"/>
  <c r="AW28" i="1"/>
  <c r="AX28" i="1" s="1"/>
  <c r="AO133" i="1"/>
  <c r="BI133" i="1"/>
  <c r="BJ133" i="1" s="1"/>
  <c r="AW133" i="1"/>
  <c r="AX133" i="1" s="1"/>
  <c r="BU133" i="1"/>
  <c r="BV133" i="1" s="1"/>
  <c r="BO133" i="1"/>
  <c r="BP133" i="1" s="1"/>
  <c r="AO280" i="1"/>
  <c r="BO280" i="1"/>
  <c r="BP280" i="1" s="1"/>
  <c r="BI280" i="1"/>
  <c r="BJ280" i="1" s="1"/>
  <c r="AW280" i="1"/>
  <c r="AX280" i="1" s="1"/>
  <c r="BU280" i="1"/>
  <c r="BV280" i="1" s="1"/>
  <c r="BC280" i="1"/>
  <c r="BD280" i="1" s="1"/>
  <c r="BI139" i="1"/>
  <c r="BJ139" i="1" s="1"/>
  <c r="AO139" i="1"/>
  <c r="BU139" i="1"/>
  <c r="BV139" i="1" s="1"/>
  <c r="BC139" i="1"/>
  <c r="BD139" i="1" s="1"/>
  <c r="AW139" i="1"/>
  <c r="AX139" i="1" s="1"/>
  <c r="BO139" i="1"/>
  <c r="BP139" i="1" s="1"/>
  <c r="F28" i="54"/>
  <c r="F47" i="54" s="1"/>
  <c r="M244" i="52"/>
  <c r="M20" i="52"/>
  <c r="M84" i="52"/>
  <c r="AO202" i="1"/>
  <c r="BU202" i="1"/>
  <c r="BV202" i="1" s="1"/>
  <c r="BO202" i="1"/>
  <c r="BP202" i="1" s="1"/>
  <c r="BC202" i="1"/>
  <c r="BD202" i="1" s="1"/>
  <c r="AW202" i="1"/>
  <c r="AX202" i="1" s="1"/>
  <c r="BI202" i="1"/>
  <c r="BJ202" i="1" s="1"/>
  <c r="AV306" i="1"/>
  <c r="BR203" i="1"/>
  <c r="BX203" i="1"/>
  <c r="BY203" i="1" s="1"/>
  <c r="AZ203" i="1"/>
  <c r="BA203" i="1" s="1"/>
  <c r="BF203" i="1"/>
  <c r="BG203" i="1" s="1"/>
  <c r="AS203" i="1"/>
  <c r="BL203" i="1"/>
  <c r="BW306" i="1"/>
  <c r="D137" i="54" s="1"/>
  <c r="G99" i="54" s="1"/>
  <c r="AO124" i="1"/>
  <c r="AW124" i="1"/>
  <c r="AX124" i="1" s="1"/>
  <c r="BU124" i="1"/>
  <c r="BV124" i="1" s="1"/>
  <c r="BI124" i="1"/>
  <c r="BJ124" i="1" s="1"/>
  <c r="BO124" i="1"/>
  <c r="BP124" i="1" s="1"/>
  <c r="BC124" i="1"/>
  <c r="BD124" i="1" s="1"/>
  <c r="BI175" i="1"/>
  <c r="BJ175" i="1" s="1"/>
  <c r="BO175" i="1"/>
  <c r="BP175" i="1" s="1"/>
  <c r="AW175" i="1"/>
  <c r="AX175" i="1" s="1"/>
  <c r="BU175" i="1"/>
  <c r="BV175" i="1" s="1"/>
  <c r="AO175" i="1"/>
  <c r="BC175" i="1"/>
  <c r="BD175" i="1" s="1"/>
  <c r="AO289" i="1"/>
  <c r="BO289" i="1"/>
  <c r="BP289" i="1" s="1"/>
  <c r="BC289" i="1"/>
  <c r="BD289" i="1" s="1"/>
  <c r="BI289" i="1"/>
  <c r="BJ289" i="1" s="1"/>
  <c r="AW289" i="1"/>
  <c r="AX289" i="1" s="1"/>
  <c r="BU289" i="1"/>
  <c r="BV289" i="1" s="1"/>
  <c r="BA116" i="1"/>
  <c r="BY41" i="1"/>
  <c r="BG20" i="1"/>
  <c r="AO100" i="1"/>
  <c r="BU100" i="1"/>
  <c r="BV100" i="1" s="1"/>
  <c r="BI100" i="1"/>
  <c r="AW100" i="1"/>
  <c r="AX100" i="1" s="1"/>
  <c r="BC100" i="1"/>
  <c r="BO100" i="1"/>
  <c r="BP100" i="1" s="1"/>
  <c r="BR176" i="1"/>
  <c r="AS176" i="1"/>
  <c r="BL176" i="1"/>
  <c r="AR306" i="1"/>
  <c r="BF176" i="1"/>
  <c r="BG176" i="1" s="1"/>
  <c r="AZ176" i="1"/>
  <c r="BA176" i="1" s="1"/>
  <c r="BX176" i="1"/>
  <c r="BY176" i="1" s="1"/>
  <c r="BX290" i="1"/>
  <c r="BY290" i="1" s="1"/>
  <c r="BL290" i="1"/>
  <c r="BF290" i="1"/>
  <c r="BG290" i="1" s="1"/>
  <c r="BR290" i="1"/>
  <c r="AZ290" i="1"/>
  <c r="BA290" i="1" s="1"/>
  <c r="AS290" i="1"/>
  <c r="BT306" i="1"/>
  <c r="BE306" i="1"/>
  <c r="D134" i="54" s="1"/>
  <c r="F20" i="54"/>
  <c r="G20" i="54"/>
  <c r="C9" i="64" s="1"/>
  <c r="A15" i="64" s="1"/>
  <c r="AX7" i="1"/>
  <c r="BP7" i="1"/>
  <c r="BV7" i="1"/>
  <c r="K18" i="55"/>
  <c r="A18" i="55" s="1"/>
  <c r="H20" i="54"/>
  <c r="B20" i="54" s="1"/>
  <c r="G75" i="54"/>
  <c r="C10" i="57" s="1"/>
  <c r="K66" i="54"/>
  <c r="F116" i="54"/>
  <c r="G22" i="54"/>
  <c r="J6" i="51"/>
  <c r="CE306" i="1"/>
  <c r="H138" i="54" s="1"/>
  <c r="CC306" i="1"/>
  <c r="D138" i="54" s="1"/>
  <c r="G100" i="54" s="1"/>
  <c r="M4" i="64"/>
  <c r="H6" i="54"/>
  <c r="M4" i="57"/>
  <c r="O4" i="59"/>
  <c r="BZ306" i="1"/>
  <c r="CD306" i="1"/>
  <c r="F138" i="54" s="1"/>
  <c r="G28" i="54"/>
  <c r="G47" i="54" s="1"/>
  <c r="G52" i="54" s="1"/>
  <c r="K306" i="1"/>
  <c r="AB306" i="1"/>
  <c r="H144" i="54" s="1"/>
  <c r="D132" i="54"/>
  <c r="X245" i="55"/>
  <c r="H28" i="54"/>
  <c r="AE96" i="1"/>
  <c r="AE306" i="1" s="1"/>
  <c r="E147" i="54" s="1"/>
  <c r="AD306" i="1"/>
  <c r="A147" i="54" s="1"/>
  <c r="AC306" i="1"/>
  <c r="H142" i="54" s="1"/>
  <c r="AG24" i="1"/>
  <c r="BM95" i="1" l="1"/>
  <c r="AF306" i="1"/>
  <c r="H147" i="54" s="1"/>
  <c r="AG306" i="1"/>
  <c r="E148" i="54" s="1"/>
  <c r="BM173" i="1"/>
  <c r="BS173" i="1"/>
  <c r="BS221" i="1"/>
  <c r="BM221" i="1"/>
  <c r="BM215" i="1"/>
  <c r="BS215" i="1"/>
  <c r="BM161" i="1"/>
  <c r="BS161" i="1"/>
  <c r="BM179" i="1"/>
  <c r="BS179" i="1"/>
  <c r="BS197" i="1"/>
  <c r="BM197" i="1"/>
  <c r="BM209" i="1"/>
  <c r="BS209" i="1"/>
  <c r="BS245" i="1"/>
  <c r="BM245" i="1"/>
  <c r="BM185" i="1"/>
  <c r="BS185" i="1"/>
  <c r="BS233" i="1"/>
  <c r="BM233" i="1"/>
  <c r="BM191" i="1"/>
  <c r="BS191" i="1"/>
  <c r="BS239" i="1"/>
  <c r="BM239" i="1"/>
  <c r="BM227" i="1"/>
  <c r="BS227" i="1"/>
  <c r="BM14" i="1"/>
  <c r="BS14" i="1"/>
  <c r="BS269" i="1"/>
  <c r="BM269" i="1"/>
  <c r="BS257" i="1"/>
  <c r="BM257" i="1"/>
  <c r="BS89" i="1"/>
  <c r="BM89" i="1"/>
  <c r="BM182" i="1"/>
  <c r="BS182" i="1"/>
  <c r="BM83" i="1"/>
  <c r="BS83" i="1"/>
  <c r="BS170" i="1"/>
  <c r="BM170" i="1"/>
  <c r="BM281" i="1"/>
  <c r="BS281" i="1"/>
  <c r="BS20" i="1"/>
  <c r="BM20" i="1"/>
  <c r="BM71" i="1"/>
  <c r="BS71" i="1"/>
  <c r="BM26" i="1"/>
  <c r="BS26" i="1"/>
  <c r="BS293" i="1"/>
  <c r="BM293" i="1"/>
  <c r="BM275" i="1"/>
  <c r="BS275" i="1"/>
  <c r="BM263" i="1"/>
  <c r="BS263" i="1"/>
  <c r="BS32" i="1"/>
  <c r="BM32" i="1"/>
  <c r="BM77" i="1"/>
  <c r="BS77" i="1"/>
  <c r="BM188" i="1"/>
  <c r="BS188" i="1"/>
  <c r="BM164" i="1"/>
  <c r="BS164" i="1"/>
  <c r="BM287" i="1"/>
  <c r="BS287" i="1"/>
  <c r="C9" i="57"/>
  <c r="CB306" i="1"/>
  <c r="AO306" i="1"/>
  <c r="R308" i="1" s="1"/>
  <c r="AX306" i="1"/>
  <c r="I245" i="52"/>
  <c r="F23" i="54" s="1"/>
  <c r="F25" i="54" s="1"/>
  <c r="H87" i="54"/>
  <c r="J87" i="54"/>
  <c r="AW306" i="1"/>
  <c r="BV306" i="1"/>
  <c r="AS306" i="1"/>
  <c r="CA306" i="1"/>
  <c r="BA306" i="1"/>
  <c r="H133" i="54" s="1"/>
  <c r="K133" i="54" s="1"/>
  <c r="I24" i="6"/>
  <c r="J78" i="54" s="1"/>
  <c r="J88" i="54" s="1"/>
  <c r="S10" i="3"/>
  <c r="BM176" i="1"/>
  <c r="BS176" i="1"/>
  <c r="BL306" i="1"/>
  <c r="F135" i="54" s="1"/>
  <c r="BD100" i="1"/>
  <c r="BD306" i="1" s="1"/>
  <c r="BC306" i="1"/>
  <c r="BX306" i="1"/>
  <c r="F137" i="54" s="1"/>
  <c r="BU306" i="1"/>
  <c r="BY306" i="1"/>
  <c r="H137" i="54" s="1"/>
  <c r="K137" i="54" s="1"/>
  <c r="BM203" i="1"/>
  <c r="BS203" i="1"/>
  <c r="K57" i="54"/>
  <c r="BO306" i="1"/>
  <c r="BM290" i="1"/>
  <c r="BS290" i="1"/>
  <c r="BR306" i="1"/>
  <c r="F136" i="54" s="1"/>
  <c r="BJ100" i="1"/>
  <c r="BJ306" i="1" s="1"/>
  <c r="A307" i="1" s="1"/>
  <c r="BI306" i="1"/>
  <c r="BG306" i="1"/>
  <c r="H134" i="54" s="1"/>
  <c r="K134" i="54" s="1"/>
  <c r="BP306" i="1"/>
  <c r="H246" i="55"/>
  <c r="F132" i="54"/>
  <c r="BF306" i="1"/>
  <c r="F134" i="54" s="1"/>
  <c r="AZ306" i="1"/>
  <c r="F133" i="54" s="1"/>
  <c r="F90" i="54"/>
  <c r="C9" i="65"/>
  <c r="A15" i="65" s="1"/>
  <c r="H22" i="54"/>
  <c r="X9" i="55"/>
  <c r="B80" i="54"/>
  <c r="C86" i="54" s="1"/>
  <c r="A131" i="54"/>
  <c r="K29" i="54"/>
  <c r="D139" i="54"/>
  <c r="J137" i="54"/>
  <c r="K138" i="54"/>
  <c r="J134" i="54"/>
  <c r="K139" i="54"/>
  <c r="J136" i="54"/>
  <c r="J133" i="54"/>
  <c r="J135" i="54"/>
  <c r="J138" i="54"/>
  <c r="H47" i="54"/>
  <c r="H52" i="54" s="1"/>
  <c r="J307" i="1" l="1"/>
  <c r="D10" i="59"/>
  <c r="F52" i="54"/>
  <c r="F76" i="54" s="1"/>
  <c r="K39" i="54"/>
  <c r="A245" i="52"/>
  <c r="J245" i="52"/>
  <c r="M245" i="52" s="1"/>
  <c r="G23" i="54" s="1"/>
  <c r="G25" i="54" s="1"/>
  <c r="H132" i="54"/>
  <c r="W308" i="1"/>
  <c r="T246" i="55" s="1"/>
  <c r="K132" i="54"/>
  <c r="BS306" i="1"/>
  <c r="H136" i="54" s="1"/>
  <c r="K136" i="54" s="1"/>
  <c r="BM306" i="1"/>
  <c r="H135" i="54" s="1"/>
  <c r="K135" i="54" s="1"/>
  <c r="F97" i="54"/>
  <c r="C8" i="57" l="1"/>
  <c r="G76" i="54"/>
  <c r="X10" i="55"/>
  <c r="X12" i="55" s="1"/>
  <c r="N12" i="55" s="1"/>
  <c r="C11" i="57"/>
  <c r="H23" i="54"/>
  <c r="G95" i="54" s="1"/>
  <c r="H25" i="54" l="1"/>
  <c r="H76" i="54" l="1"/>
  <c r="H124" i="54" s="1"/>
  <c r="D12" i="59"/>
  <c r="F92" i="54"/>
  <c r="B25" i="54"/>
  <c r="D9" i="59"/>
  <c r="A76" i="54" l="1"/>
  <c r="C80" i="54" s="1"/>
</calcChain>
</file>

<file path=xl/comments1.xml><?xml version="1.0" encoding="utf-8"?>
<comments xmlns="http://schemas.openxmlformats.org/spreadsheetml/2006/main">
  <authors>
    <author>Author</author>
  </authors>
  <commentList>
    <comment ref="F45" authorId="0" shapeId="0">
      <text>
        <r>
          <rPr>
            <b/>
            <sz val="9"/>
            <color indexed="81"/>
            <rFont val="Tahoma"/>
            <family val="2"/>
          </rPr>
          <t>امتياز دانشنامه معلوم نيست</t>
        </r>
      </text>
    </comment>
  </commentList>
</comments>
</file>

<file path=xl/sharedStrings.xml><?xml version="1.0" encoding="utf-8"?>
<sst xmlns="http://schemas.openxmlformats.org/spreadsheetml/2006/main" count="7190" uniqueCount="1361">
  <si>
    <t>نام مؤسسه:</t>
  </si>
  <si>
    <t>نام و نام خانوادگی عضو هیات علمی:</t>
  </si>
  <si>
    <t>رشته تحصیلی :</t>
  </si>
  <si>
    <t>گروه آموزشی :</t>
  </si>
  <si>
    <t>JCR-Q1</t>
  </si>
  <si>
    <t>مقاله پر استناد</t>
  </si>
  <si>
    <t>نفر اول</t>
  </si>
  <si>
    <t>JCR-Q2</t>
  </si>
  <si>
    <t>مقاله داغ</t>
  </si>
  <si>
    <t>ردیف</t>
  </si>
  <si>
    <t xml:space="preserve">نام نشریه </t>
  </si>
  <si>
    <t>مشخصات نشريه</t>
  </si>
  <si>
    <t>ب- ضریب تأثیر متوسط</t>
  </si>
  <si>
    <t>امتیاز</t>
  </si>
  <si>
    <t>ملاحظات</t>
  </si>
  <si>
    <t>JCR-Q3</t>
  </si>
  <si>
    <t>سال</t>
  </si>
  <si>
    <t>کمیته منتخب</t>
  </si>
  <si>
    <t>هیات ممیزه</t>
  </si>
  <si>
    <t>JCR-Q4</t>
  </si>
  <si>
    <t>Short Article</t>
  </si>
  <si>
    <t>WOS</t>
  </si>
  <si>
    <t>Scopus</t>
  </si>
  <si>
    <t>تعداد Q1 و Q2 و Q3</t>
  </si>
  <si>
    <t>تعداد JCR</t>
  </si>
  <si>
    <t>تعداد JCRوWOS</t>
  </si>
  <si>
    <t>تعداد JCRوWOSوScopus</t>
  </si>
  <si>
    <t>تعداد علمی پژوهشی</t>
  </si>
  <si>
    <t>تعداد Q1 و Q2</t>
  </si>
  <si>
    <t xml:space="preserve">امتیازدهی کمیته منتخب </t>
  </si>
  <si>
    <t>امتیازدهی کمیسیون تخصصی</t>
  </si>
  <si>
    <t>امضای عضو هیات علمی</t>
  </si>
  <si>
    <t>امضای مدیر گروه</t>
  </si>
  <si>
    <t>امضای دبیر کمیته منتخب</t>
  </si>
  <si>
    <t>فرم هاي ماده 3</t>
  </si>
  <si>
    <t>كشور محل انتشار</t>
  </si>
  <si>
    <t>تعداد كل صفحات</t>
  </si>
  <si>
    <t>شماره مجله</t>
  </si>
  <si>
    <t>الف- ضریب تأثیر(IF)</t>
  </si>
  <si>
    <t>نوع
نمايه
علمي
نشريه</t>
  </si>
  <si>
    <t>همكار</t>
  </si>
  <si>
    <t>ماه و
سال
انتشار مجله</t>
  </si>
  <si>
    <t>كيفيت مقاله</t>
  </si>
  <si>
    <t>موارد خاص</t>
  </si>
  <si>
    <t>6 و بالاتر</t>
  </si>
  <si>
    <t>تعداد نويسنده ها</t>
  </si>
  <si>
    <t>همپوشاني</t>
  </si>
  <si>
    <t>درصد</t>
  </si>
  <si>
    <t>امتياز</t>
  </si>
  <si>
    <t>مستخرج از طرح پژوهشي محرمانه</t>
  </si>
  <si>
    <t>مشترك با اساتيد دانشگاه خارج از كشور</t>
  </si>
  <si>
    <t>نمايه علمي نشريات</t>
  </si>
  <si>
    <t>جايگاه نويسنده</t>
  </si>
  <si>
    <t>علمی پ داخلی</t>
  </si>
  <si>
    <t>علمی پ خارجی</t>
  </si>
  <si>
    <t>موارد خاص:</t>
  </si>
  <si>
    <r>
      <t xml:space="preserve">اسامی همكاران به ترتیب
</t>
    </r>
    <r>
      <rPr>
        <sz val="11"/>
        <color theme="1"/>
        <rFont val="B Nazanin"/>
        <charset val="178"/>
      </rPr>
      <t>شامل نام متقاضی</t>
    </r>
  </si>
  <si>
    <r>
      <t>شماره و تاريخ گواهي پذيرش قطعي</t>
    </r>
    <r>
      <rPr>
        <sz val="10"/>
        <color theme="1"/>
        <rFont val="B Nazanin"/>
        <charset val="178"/>
      </rPr>
      <t>**</t>
    </r>
  </si>
  <si>
    <t>تعداد كل مقالات</t>
  </si>
  <si>
    <t>مجموع Q1 و Q2و Q3
منتخب</t>
  </si>
  <si>
    <t>مجموع مقالات همكار تخصصی</t>
  </si>
  <si>
    <t>تعداد مقالات همكار تخصصی</t>
  </si>
  <si>
    <t>مجموع مقالات نفر اول تخصصی</t>
  </si>
  <si>
    <t>تعداد مقالات نفر اول تخصصی</t>
  </si>
  <si>
    <t>مجموع مقالات همكار منتخب</t>
  </si>
  <si>
    <t>تعداد مقالات همكار منتخب</t>
  </si>
  <si>
    <t>مجموع مقالات نفر اول منتخب</t>
  </si>
  <si>
    <t>تعداد مقالات نفر اول منتخب</t>
  </si>
  <si>
    <t>مجموع Q1 و Q2و Q3
تخصصي</t>
  </si>
  <si>
    <t>مستخرج از برنامه تحقيقاتي ملي معطوف به رفع مشكلات كشور</t>
  </si>
  <si>
    <t>چاپ شده در نشريات بسيار پر استناد Nature و Science</t>
  </si>
  <si>
    <t>مجموع Q1 و Q2
منتخب</t>
  </si>
  <si>
    <t>تعداد مقالات نفر اول Q1 و Q2
منتخب</t>
  </si>
  <si>
    <t>مجموع مقالات نفر اول Q1 و Q2
منتخب</t>
  </si>
  <si>
    <t>مجموع Q1 و Q2
تخصصي</t>
  </si>
  <si>
    <t>تعداد مقالات نفر اول Q1 و Q2
تخصصي</t>
  </si>
  <si>
    <t>مجموع مقالات نفر اول Q1 و Q2
تخصصي</t>
  </si>
  <si>
    <t>تعداد نفر اول Q1 و Q2 و Q3
منتخب</t>
  </si>
  <si>
    <t>مجموع نفر اول Q1 و Q2 و Q3
تخصصي</t>
  </si>
  <si>
    <t>تعداد نفر اول Q1 و Q2 و Q3
تخصصي</t>
  </si>
  <si>
    <t>مجموع نفر اول Q1 و Q2 و Q3
منتخب</t>
  </si>
  <si>
    <t>مجموع امتیاز JCR
منتخب</t>
  </si>
  <si>
    <t>تعداد مقالات نفر اول JCR
منتخب</t>
  </si>
  <si>
    <t>مجموع امتیاز نفر اول JCR
منتخب</t>
  </si>
  <si>
    <t>مجموع امتیاز JCR
تخصصي</t>
  </si>
  <si>
    <t>تعداد مقالات نفر اول JCR
تخصصي</t>
  </si>
  <si>
    <t>مجموع امتیاز نفر اول JCR
تخصصي</t>
  </si>
  <si>
    <t>مجموع امتیاز JCRوWOS
منتخب</t>
  </si>
  <si>
    <t>تعداد  نفر اولJCRوWOS
منتخب</t>
  </si>
  <si>
    <t>مجموع امتیاز  نفر اولJCRوWOS
منتخب</t>
  </si>
  <si>
    <t>مجموع امتیاز JCRوWOS
تخصصي</t>
  </si>
  <si>
    <t>تعداد  نفر اولJCRوWOS
تخصصي</t>
  </si>
  <si>
    <t>مجموع امتیاز  نفر اولJCRوWOS
تخصصي</t>
  </si>
  <si>
    <t>مجموع امتیاز JCRوWOSوScopus
منتخب</t>
  </si>
  <si>
    <t>تعداد  نفر اولJCRوWOSوScopus
منتخب</t>
  </si>
  <si>
    <t>مجموع امتیاز  نفر اولJCRوWOSوScopus
منتخب</t>
  </si>
  <si>
    <t>مجموع امتیاز JCRوWOSوScopus
تخصصي</t>
  </si>
  <si>
    <t>تعداد  نفر اولJCRوWOSوScopus
تخصصي</t>
  </si>
  <si>
    <t>مجموع امتیاز  نفر اولJCRوWOSوScopus
تخصصي</t>
  </si>
  <si>
    <t>مجموع علمی پژوهشی
منتخب</t>
  </si>
  <si>
    <t>تعداد  نفر اول علمی پژوهشی
منتخب</t>
  </si>
  <si>
    <t>مجموع  نفر اول علمی پژوهشی
منتخب</t>
  </si>
  <si>
    <t>مجموع علمی پژوهشی
تخصصي</t>
  </si>
  <si>
    <t>تعداد  نفر اول علمی پژوهشی
تخصصي</t>
  </si>
  <si>
    <t>مجموع  نفر اول علمی پژوهشی
تخصصي</t>
  </si>
  <si>
    <t>شمارنده</t>
  </si>
  <si>
    <t>فرم الف</t>
  </si>
  <si>
    <t>نام موسسه:</t>
  </si>
  <si>
    <t>الف - مشخصات عمومی</t>
  </si>
  <si>
    <t>گروه آموزشی مربوطه:</t>
  </si>
  <si>
    <t>مرتبه علمی بدو استخدام:</t>
  </si>
  <si>
    <t>ب - سوابق تحصیلی</t>
  </si>
  <si>
    <t>کارشناسی</t>
  </si>
  <si>
    <t>کارشناسی ارشد</t>
  </si>
  <si>
    <t>دکترای تخصصی  (Ph.D)</t>
  </si>
  <si>
    <t>رشـتـه تـحـصـیـلـی</t>
  </si>
  <si>
    <t>حــوزه تـخـصـصی پـژوهـشـی</t>
  </si>
  <si>
    <t>مـوسسـه مـحـل اخـذ مـدرک</t>
  </si>
  <si>
    <t>شهر و کشور محل اخـذ مدرک</t>
  </si>
  <si>
    <t>تـــــاریـــخ اخـــذ مـــدرک</t>
  </si>
  <si>
    <t>عـنـوان پـایـان نـامـه یا رساله</t>
  </si>
  <si>
    <t>ســال و</t>
  </si>
  <si>
    <t>عضو هیات علمی</t>
  </si>
  <si>
    <t>مدیر گروه</t>
  </si>
  <si>
    <t>دبیر کمیته منتخب</t>
  </si>
  <si>
    <t>امضاء</t>
  </si>
  <si>
    <t>وزارت علوم تحقيقات و فناوري</t>
  </si>
  <si>
    <t>به</t>
  </si>
  <si>
    <t>شناسنامه علمی عضو هیات علمی آموزشی متقاضي ارتقاء مرتبه از</t>
  </si>
  <si>
    <t>تاریخ آخرین ارتقاء مرتبه:</t>
  </si>
  <si>
    <t>نــــام و نام خـــــانـوادگی:</t>
  </si>
  <si>
    <t>تاریخ ثبت مجدد:</t>
  </si>
  <si>
    <t>شماره ثبت اوليه در دبیرخانه کمیته منتخب:</t>
  </si>
  <si>
    <t>شماره ثبت مجدد در دبیرخانه کمیته منتخب:</t>
  </si>
  <si>
    <t>( بر اساس آیین نامه‌ی ارتقای مرتبه اعضای هیات علمی مصوب جلسه 776 مورخ 18/12/94 شورای عالی انقلاب فرهنگی )</t>
  </si>
  <si>
    <t>تاریخ ثبت اوليـه:</t>
  </si>
  <si>
    <t>مهندسی شیمی</t>
  </si>
  <si>
    <t>مهندسی مکانیک</t>
  </si>
  <si>
    <t>مهندسی صنایع</t>
  </si>
  <si>
    <t>مهندسی عمران</t>
  </si>
  <si>
    <t>مهندسی برق</t>
  </si>
  <si>
    <t>مهندسی متالورژی</t>
  </si>
  <si>
    <t>مهندسی کامپیوتر</t>
  </si>
  <si>
    <t>علی احمدپور</t>
  </si>
  <si>
    <t>شهناز دانش</t>
  </si>
  <si>
    <t>جعفر عبادی</t>
  </si>
  <si>
    <t>گروه هاي آموزشي</t>
  </si>
  <si>
    <t xml:space="preserve"> آمار</t>
  </si>
  <si>
    <t>ادیان و عرفان تطبیقی</t>
  </si>
  <si>
    <t>اقتصاد</t>
  </si>
  <si>
    <t>اقتصاد کشاورزی</t>
  </si>
  <si>
    <t>بهداشت موادغذایی و آبزیان</t>
  </si>
  <si>
    <t>بیوتکنولوزی و به نژادی گیاهی</t>
  </si>
  <si>
    <t>پاتوبیولوژی</t>
  </si>
  <si>
    <t>تاریخ</t>
  </si>
  <si>
    <t>تاریخ و تمدن ملل اسلامی</t>
  </si>
  <si>
    <t>تعلیم و تربیت اسلامی</t>
  </si>
  <si>
    <t>تکنولوژی آموزشی</t>
  </si>
  <si>
    <t>جغرافیا</t>
  </si>
  <si>
    <t>حسابداری</t>
  </si>
  <si>
    <t>حقوق</t>
  </si>
  <si>
    <t>رفتار حرکتی</t>
  </si>
  <si>
    <t>روانشناسی</t>
  </si>
  <si>
    <t>ریاضی کاربردی</t>
  </si>
  <si>
    <t>ریاضی محض</t>
  </si>
  <si>
    <t>زبان شناسی</t>
  </si>
  <si>
    <t>زبان و ادبیات انگلیسی</t>
  </si>
  <si>
    <t>زبان و ادبیات روسی</t>
  </si>
  <si>
    <t>زبان و ادبیات عرب</t>
  </si>
  <si>
    <t>زبان و ادبیات فارسی</t>
  </si>
  <si>
    <t>زبان و ادبیات فرانسه</t>
  </si>
  <si>
    <t>زمین شناسی</t>
  </si>
  <si>
    <t>زیست شناسی</t>
  </si>
  <si>
    <t>شهرسازی</t>
  </si>
  <si>
    <t>شیمی</t>
  </si>
  <si>
    <t>علم اطلاعات و دانش شناسی</t>
  </si>
  <si>
    <t>علوم اجتماعی</t>
  </si>
  <si>
    <t>علوم باغبانی و مهندسی فضای سبز</t>
  </si>
  <si>
    <t>علوم پایه</t>
  </si>
  <si>
    <t>علوم تربیتی</t>
  </si>
  <si>
    <t>علوم خاک</t>
  </si>
  <si>
    <t>علوم دامی</t>
  </si>
  <si>
    <t>علوم درمانگاهی وبهداشت وپیشگیری بیماری دامی</t>
  </si>
  <si>
    <t>علوم سیاسی</t>
  </si>
  <si>
    <t>علوم قرآن و حدیث</t>
  </si>
  <si>
    <t>علوم و صنایع غذایی</t>
  </si>
  <si>
    <t>فقه و مبانی حقوق اسلامی</t>
  </si>
  <si>
    <t>فلسفه و حکمت اسلامی</t>
  </si>
  <si>
    <t>فیزیک</t>
  </si>
  <si>
    <t>فیزیولوژی ورزشی</t>
  </si>
  <si>
    <t>گیاه پزشکی</t>
  </si>
  <si>
    <t>محیط زیست</t>
  </si>
  <si>
    <t>مدیریت</t>
  </si>
  <si>
    <t>مدیریت مناطق خشک و بیابانی</t>
  </si>
  <si>
    <t>مرتع و آبخیزداری</t>
  </si>
  <si>
    <t>مشاوره</t>
  </si>
  <si>
    <t>معارف اسلامی</t>
  </si>
  <si>
    <t>معماری</t>
  </si>
  <si>
    <t>مهندسی آب</t>
  </si>
  <si>
    <t>مهندسی متالورژی و مواد</t>
  </si>
  <si>
    <t>مهندسی مکانیک بیوسیستم</t>
  </si>
  <si>
    <t>مهندسي</t>
  </si>
  <si>
    <t>كلي</t>
  </si>
  <si>
    <t>مديران گروه</t>
  </si>
  <si>
    <t>مرتبه علمی فـعلــی:</t>
  </si>
  <si>
    <t>دانشكده علوم اداري و اقتصادي</t>
  </si>
  <si>
    <t>دانشكده الهيات و معارف اسلامي</t>
  </si>
  <si>
    <t>دانشكده دامپزشكي</t>
  </si>
  <si>
    <t>دانشكده علوم</t>
  </si>
  <si>
    <t>دانشكده علوم رياضي</t>
  </si>
  <si>
    <t>دانشكده كشاورزي</t>
  </si>
  <si>
    <t>دانشكده منابع طبيعي و محيط زيست</t>
  </si>
  <si>
    <t>دانشکده ادبيات و علوم انساني</t>
  </si>
  <si>
    <t>دانشكده علوم تربيتي و روانشناسي</t>
  </si>
  <si>
    <t>دانشكده معماري و شهرسازي و هنراسلامي</t>
  </si>
  <si>
    <t>دانشکده مهندسی</t>
  </si>
  <si>
    <t>عبدالرضا جوان جعفري</t>
  </si>
  <si>
    <t>غلام رضا رئيسيان</t>
  </si>
  <si>
    <t>محسن ملكي</t>
  </si>
  <si>
    <t>حامد کامل نیا</t>
  </si>
  <si>
    <t>گروه علوم انسانی (ب)</t>
  </si>
  <si>
    <t>گروه دامپزشکی</t>
  </si>
  <si>
    <t>گروه علوم پایه و ریاضی</t>
  </si>
  <si>
    <t>گروه کشاورزی و منابع طبیعی</t>
  </si>
  <si>
    <t>گروه علوم انسانی (الف)</t>
  </si>
  <si>
    <t>گروه مهندسی و معماری</t>
  </si>
  <si>
    <t>جعفر طاهری</t>
  </si>
  <si>
    <t>آخرین ارتقاء مرتبه متقاضی</t>
  </si>
  <si>
    <t>استادیار</t>
  </si>
  <si>
    <t>دانشیار</t>
  </si>
  <si>
    <t>روز</t>
  </si>
  <si>
    <t>ماه</t>
  </si>
  <si>
    <t>مربی آموزشیار</t>
  </si>
  <si>
    <t>مربی</t>
  </si>
  <si>
    <t>تاریـخ تولــد:</t>
  </si>
  <si>
    <t>کـد مـلـــی:</t>
  </si>
  <si>
    <t>توجه: از تاریخ</t>
  </si>
  <si>
    <t>بند 3-8- تولید دانش فنی/ اختراع یا اکتشاف منجر به تولید و تجاری سازی محصول یا فرآیند با تایید مراجع ذیصلاح وزارتین و نیز هر نوآوری که  برای حل مشکلات و معضلات کشور موثر باشد و یا منجر به تولید خدمت یا محصول جدیدی در کشور شود</t>
  </si>
  <si>
    <t>بند 3-8</t>
  </si>
  <si>
    <t>موضوع</t>
  </si>
  <si>
    <t>عنوان فعاليت</t>
  </si>
  <si>
    <t>تاريخ ثبت</t>
  </si>
  <si>
    <r>
      <t xml:space="preserve">اسامی همكاران
</t>
    </r>
    <r>
      <rPr>
        <sz val="10"/>
        <color theme="1"/>
        <rFont val="B Nazanin"/>
        <charset val="178"/>
      </rPr>
      <t>شامل نام متقاضی</t>
    </r>
  </si>
  <si>
    <t>مرجع تاييد كننده</t>
  </si>
  <si>
    <t>سمت در ارتباط با فعاليت</t>
  </si>
  <si>
    <t>نام واحد يا سازمان استفاده كننده</t>
  </si>
  <si>
    <t>8-3-1طراحی سیستم ها، روش ها و خدمات ویژه به منظور حل مشکلات آموزشی، پژوهشی، بهداشتی و درمانی در سطح کشور با گواهی مراجع ذیصلاح وزارتین</t>
  </si>
  <si>
    <t xml:space="preserve">8-3-3مدل‌سازی وسایل پزشکی و تولیدات دارویی جدید از طریق مهندسی معکوس, با گواهی اداره کل تجهیزات پزشکی وزارت بهداشت و تایید هیات ممیزه مرکزی </t>
  </si>
  <si>
    <t>8-3-4تولید مواد برای آزمایش های پزشکی و تولیدات دارویی جدید از طریق مهندسی معکوس, به ترتیب با گواهی معاونت غذا و داروی وزارت بهداشت (حسب مورد) تایید هیات ممیزه مرکزی وزارت بهداشت</t>
  </si>
  <si>
    <t>8-3-5انجام فعالیت های جدید پزشکی که به خودکفایی کشور کمک موثر کند مانند اجرای روش های تشخیصی-درمانی نوین برای اولین در ایران با گواهی هیات ممتحنه رشته مربوط و تایید هیات ممیزه مرکزی وزارت بهداشت</t>
  </si>
  <si>
    <t>8-3-6تدوین راهنمای طبابت بالینی کشور با استناد بر پژوهش و براساس شواهد علمی با گواهی معاونت درمان وزارت بهداشت و تایید هیات ممیزه مرکزی وزارت بهداشت</t>
  </si>
  <si>
    <t>8-3-10تعیین توالی ژن ثبت شده در مراجع قانونی یا علمی داخل یا خارج کشور با تایید مراجع ذیصلاح وزارتین</t>
  </si>
  <si>
    <t>محل ثبت داخل يا خارج كشور</t>
  </si>
  <si>
    <t>نام نشریه معتبر</t>
  </si>
  <si>
    <r>
      <t xml:space="preserve">تاريخ انتشار
</t>
    </r>
    <r>
      <rPr>
        <b/>
        <sz val="9"/>
        <color theme="1"/>
        <rFont val="B Nazanin"/>
        <charset val="178"/>
      </rPr>
      <t>(ماه-سال)</t>
    </r>
  </si>
  <si>
    <t>نوع
مقاله</t>
  </si>
  <si>
    <t>بند 3-1 و 3-2 و 3-3</t>
  </si>
  <si>
    <t>نوع مقاله</t>
  </si>
  <si>
    <t>علمي-مروري</t>
  </si>
  <si>
    <t>علمي-ترويجي</t>
  </si>
  <si>
    <t>جـمـع کـل امتیاز مکتـــــــــــسبه مقالات کامل</t>
  </si>
  <si>
    <t>جـمع کل امتیاز مکتــــــــــــسبه خلاصه مقالات</t>
  </si>
  <si>
    <t>امتياز قـابل قبـــول مقالات علــمي-مـــروري با رعايت سقف بند</t>
  </si>
  <si>
    <t>صفحه شانزدهم و هفدهم</t>
  </si>
  <si>
    <t>امتياز قـابل قبـــول مقالات علــمي-تـــرويجي با رعايت سقف بند</t>
  </si>
  <si>
    <t>3-4- مدخل چاپ شده در دانشنامه ها و دایره المعارف ها معادل مقاله های علمی و با نظر هیات داوری مورد تایید هیات ممیزه موسسه</t>
  </si>
  <si>
    <t>صفحه هجدهم</t>
  </si>
  <si>
    <t>محل چاپ مدخل</t>
  </si>
  <si>
    <t>دانشنامه</t>
  </si>
  <si>
    <t>دايره المعارف</t>
  </si>
  <si>
    <t>جـمـع کـل امتیاز مکتـــــسبه از اين بند</t>
  </si>
  <si>
    <t>نام نشریه</t>
  </si>
  <si>
    <t>وضعیت مقاله</t>
  </si>
  <si>
    <t>محل برگزاری</t>
  </si>
  <si>
    <t>عنوان مقاله</t>
  </si>
  <si>
    <t>کشور</t>
  </si>
  <si>
    <t>شهر</t>
  </si>
  <si>
    <t>هجری شمسی</t>
  </si>
  <si>
    <t>میلادی</t>
  </si>
  <si>
    <t>امتیازدهی کمیته منتخب</t>
  </si>
  <si>
    <t>توضیحات :</t>
  </si>
  <si>
    <t>صفحه نوزدهم و بيستم</t>
  </si>
  <si>
    <t>عنوان همایش علمی معتبر ملي و بين المللي</t>
  </si>
  <si>
    <t>بند 3-5  و 3-6 مقاله علمی کامل ارائه شده و خلاصه مقاله علمی در مجموعه مقالات همایش های علمی معتبر ملي و بين المللي</t>
  </si>
  <si>
    <t>خلاصه مقاله علمي</t>
  </si>
  <si>
    <t>اســامـی همكـاران به
تـرتیب اولــویت
(شامل نام متقاضی)</t>
  </si>
  <si>
    <t>وضعیت
مقاله</t>
  </si>
  <si>
    <t>مقاله علمی کامل داوري شده</t>
  </si>
  <si>
    <t>3-7-  مقاله علمی– پژوهشی  مستخرج از رساله متقاضی</t>
  </si>
  <si>
    <t>صفحه بیستم و یکم</t>
  </si>
  <si>
    <t>نوع نمايه علمي نشريه</t>
  </si>
  <si>
    <t>عنوان گزارش علمی طرح پژوهشی خاتمه یافته</t>
  </si>
  <si>
    <t>شماره و تاريخ گواهي خاتمه طرح</t>
  </si>
  <si>
    <t>محل انجام طرح</t>
  </si>
  <si>
    <t>تاريخ انجام</t>
  </si>
  <si>
    <t>نوع طرح</t>
  </si>
  <si>
    <t>بند 3-9-1,2</t>
  </si>
  <si>
    <t>بنیادی و توسعه ای</t>
  </si>
  <si>
    <t>کاربردی</t>
  </si>
  <si>
    <t>نظری</t>
  </si>
  <si>
    <t>منبع تامين مالي</t>
  </si>
  <si>
    <t>شروع</t>
  </si>
  <si>
    <t>پايان</t>
  </si>
  <si>
    <t>نام موسسه يا نهاد سفارش دهنده طرح</t>
  </si>
  <si>
    <t>طرح داخل موسسه</t>
  </si>
  <si>
    <t>طرح خارج از موسسه</t>
  </si>
  <si>
    <t>امتياز مكتسبه بند3-9-1 گزارش های علمی طرح های پژوهشی و فناوری خاتمه یافته در داخل موسسه</t>
  </si>
  <si>
    <t>1-9-3 گزارش های علمی طرح های پژوهشی و فناوری خاتمه یافته در داخل موسسه با تایید معاون پژوهش و فناوری موسسه
2-9-3 گزارش های علمی طرح های پژوهشی و فناوری با طرف قرارداد خـــــارج از موسسه تایید شده نهاد سفارش دهنده</t>
  </si>
  <si>
    <t>صفحه بیستم و چهارم
صفحه بیستم و پنـجم</t>
  </si>
  <si>
    <t>صفحه بیستم و ششم</t>
  </si>
  <si>
    <t>نام اثر</t>
  </si>
  <si>
    <t>ناشر</t>
  </si>
  <si>
    <t>نوع اثر بدیع و ارزنده</t>
  </si>
  <si>
    <t xml:space="preserve">هنری </t>
  </si>
  <si>
    <t>ادبی</t>
  </si>
  <si>
    <t>فلسفی</t>
  </si>
  <si>
    <t>صفحه بیستم و هفتم</t>
  </si>
  <si>
    <t>كشور يا سازمان تامين كننده اعتبار</t>
  </si>
  <si>
    <t>ماهيت اعتبار</t>
  </si>
  <si>
    <t>خاتمه</t>
  </si>
  <si>
    <t>داخلي</t>
  </si>
  <si>
    <t>خارجي</t>
  </si>
  <si>
    <t>و امتياز قـابل قبــول با رعايت سقف بند</t>
  </si>
  <si>
    <t>و امتیاز قابل قبول با رعایت سقف بند</t>
  </si>
  <si>
    <r>
      <t xml:space="preserve">جـمـع کـل امتیاز بند 3-9-2 گزارش های علمی طرح های پژوهشی و فناوری با طرف قرارداد </t>
    </r>
    <r>
      <rPr>
        <b/>
        <u/>
        <sz val="11"/>
        <color theme="1"/>
        <rFont val="B Titr"/>
        <charset val="178"/>
      </rPr>
      <t>خـــــــــــارج از موسسه</t>
    </r>
  </si>
  <si>
    <t>و امتياز قـابل قبـول با رعايت سقف بند</t>
  </si>
  <si>
    <t>صفحه بیستم و هشتم</t>
  </si>
  <si>
    <t>اولین چاپ</t>
  </si>
  <si>
    <t>تاریخ نشر مجدد</t>
  </si>
  <si>
    <t>چاپ
چندم</t>
  </si>
  <si>
    <t>نوع فعالیت</t>
  </si>
  <si>
    <t>نام ناشر معتبر</t>
  </si>
  <si>
    <t>شماره شابک</t>
  </si>
  <si>
    <r>
      <t xml:space="preserve">اسامی همکاران به ترتیب
</t>
    </r>
    <r>
      <rPr>
        <b/>
        <sz val="9"/>
        <color theme="1"/>
        <rFont val="B Nazanin"/>
        <charset val="178"/>
      </rPr>
      <t>(شامل نام متقاضی)</t>
    </r>
  </si>
  <si>
    <t>درصد تجدید نظر</t>
  </si>
  <si>
    <t>تصنیف</t>
  </si>
  <si>
    <t>تألیف</t>
  </si>
  <si>
    <t>ترجمه کتاب</t>
  </si>
  <si>
    <t>تاریخ انتشار</t>
  </si>
  <si>
    <t>آخرین تجدید چاپ یا ویرایش</t>
  </si>
  <si>
    <t>و امـتـیـاز قـابـل قــبــول با رعـایت سـقـف بـنـد</t>
  </si>
  <si>
    <t>تصحيح انتقادی</t>
  </si>
  <si>
    <t>جـمـع کـل امتیـاز كـتـاب / دانشنامه تـصـنـيـفـي</t>
  </si>
  <si>
    <t>جـمـع کـل امـتـیـاز كـتـاب / دانشنامه تـالـيـفـي</t>
  </si>
  <si>
    <t>امتياز مكتسبه تصحيح انتقادي كتاب / دانشنامه</t>
  </si>
  <si>
    <t>امتياز مكتسبه تـــرجـمـه كتاب / دانشنامه</t>
  </si>
  <si>
    <t>1. امتیاز موضوع این بند برای کتاب تالیفی یا تصنیفی به زبان خارجی که توسط ناشران معتبر بین المللی چاپ شده باشد تا 5/1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</si>
  <si>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t>صفحه بیستم و  نهم</t>
  </si>
  <si>
    <t>اسامي استادان مشاور</t>
  </si>
  <si>
    <t>کمیسیون</t>
  </si>
  <si>
    <t>اسامی استادان راهنما</t>
  </si>
  <si>
    <t>عنوان پايان نامه / رساله</t>
  </si>
  <si>
    <t>تعداد واحد</t>
  </si>
  <si>
    <t>مقطع تحصيلي</t>
  </si>
  <si>
    <t>نام دانشجو</t>
  </si>
  <si>
    <t>رشته و گرایش دانشجو</t>
  </si>
  <si>
    <t>تاریخ دفاع</t>
  </si>
  <si>
    <t>دانشگاه محل تحصيل دانشجو</t>
  </si>
  <si>
    <t>دكتري تخصصي</t>
  </si>
  <si>
    <t>كارشناسي ارشد</t>
  </si>
  <si>
    <t>استاد راهنما</t>
  </si>
  <si>
    <t>استاد راهنما مشترك</t>
  </si>
  <si>
    <t>استاد مشاور</t>
  </si>
  <si>
    <t>استاد مشاور مشترك</t>
  </si>
  <si>
    <t>دانشگاه فردوسي مشهد</t>
  </si>
  <si>
    <t>صفحه سی ام</t>
  </si>
  <si>
    <t>سطح كرسي نظريه پردازي</t>
  </si>
  <si>
    <t>نوع فعاليت</t>
  </si>
  <si>
    <t>مرجع تاييد كننده/مرجع داوري</t>
  </si>
  <si>
    <t xml:space="preserve">نقد علمی </t>
  </si>
  <si>
    <t>نوآوری</t>
  </si>
  <si>
    <t>نظریه پردازی</t>
  </si>
  <si>
    <t>ارئه کرسی علمی-ترویجی</t>
  </si>
  <si>
    <t>ارائه دستاوردها و نتایج علمی و پژوهشی</t>
  </si>
  <si>
    <t>ملی</t>
  </si>
  <si>
    <t>بین المللی</t>
  </si>
  <si>
    <t>همایش ها و میزگردهای مراکز علمی</t>
  </si>
  <si>
    <t>14-3- کرسی های نظریه پردازی</t>
  </si>
  <si>
    <t>جـمـع کـل امتیاز</t>
  </si>
  <si>
    <t>15-3-کسب رتبه در جشنوارهای داخلی و خارجی که در محاسبه امتیاز آن ها اعتبار جشنواره و رتبه متقاضی در جشنواره در نظر گرفته شود</t>
  </si>
  <si>
    <t>صفحه سی و یکم</t>
  </si>
  <si>
    <t>عنوان اثر علمی، فنی، ادبی و هنری ارائه شده در جشنواره</t>
  </si>
  <si>
    <t>عنوان کتاب / دانشنامه</t>
  </si>
  <si>
    <t>عنوان مدخل چاپ شده</t>
  </si>
  <si>
    <t>اسامی همکاران 
(شامل نام متقاضي)</t>
  </si>
  <si>
    <t>سال
كسب رتبه</t>
  </si>
  <si>
    <t>عنوان رتبه كسب شده</t>
  </si>
  <si>
    <t>عنوان جشنواره</t>
  </si>
  <si>
    <t>سطح جشنواره</t>
  </si>
  <si>
    <t>14-3</t>
  </si>
  <si>
    <t>13-3</t>
  </si>
  <si>
    <t>ملی- خوارزمی</t>
  </si>
  <si>
    <t>ملی- فارابی</t>
  </si>
  <si>
    <t>ملی - سایر</t>
  </si>
  <si>
    <t>15-3</t>
  </si>
  <si>
    <t>16-3- داوری و نظارت بر فعالیت های پژوهشی</t>
  </si>
  <si>
    <t>صفحه سی و دوم</t>
  </si>
  <si>
    <t>داوری آثار بدیع و ارزنده هنری</t>
  </si>
  <si>
    <t>داوری کتاب</t>
  </si>
  <si>
    <t>داوری یا نظارت بر طرح پژوهشی</t>
  </si>
  <si>
    <t>داوری مقاله علمی - پژوهشی معتبر</t>
  </si>
  <si>
    <t>16-3</t>
  </si>
  <si>
    <t>تعداد فعاليت</t>
  </si>
  <si>
    <t>نام مجله یا موسسه موضوع داوری و نظارت</t>
  </si>
  <si>
    <t>عنوان داوري و نظارت</t>
  </si>
  <si>
    <t>و امتيــاز قـابل قبـول با رعايت سقف بند</t>
  </si>
  <si>
    <t>تمام وقت</t>
  </si>
  <si>
    <t>سال تحصیلی</t>
  </si>
  <si>
    <t>فعالیت های انجام شده توسط عضو هیات علمی</t>
  </si>
  <si>
    <t>نوع همكاري و حضور در موسسه</t>
  </si>
  <si>
    <t>تعداد واحد موظف
تدریس</t>
  </si>
  <si>
    <t>كيفيت حضور فعال و مشاركت در انجام تكاليف</t>
  </si>
  <si>
    <t>عناوين سایر فعالیت های اجرایی محوله</t>
  </si>
  <si>
    <t>نيمه وقت</t>
  </si>
  <si>
    <t>نیمه حضوري</t>
  </si>
  <si>
    <t>خوب</t>
  </si>
  <si>
    <t>متوسط</t>
  </si>
  <si>
    <t>ضعیف</t>
  </si>
  <si>
    <t>1-4</t>
  </si>
  <si>
    <t>1-4-حضور فعال و تمام وقت در مؤسسه و مشارکت بر اساس تکالیف تعیین شده در آئین نامه مدیریت دانشگاه ها و موسسه های آموزش عالی، پژوهشی و فناوری و سایر فعالیت‌های اجرایی محوله</t>
  </si>
  <si>
    <t>صفحه سی و سوم</t>
  </si>
  <si>
    <t>متقاضي حداقل امتياز لازم را از اين بند كسب نكرده است!</t>
  </si>
  <si>
    <t>جمع كل</t>
  </si>
  <si>
    <t>و امـتـيـاز قـابـل قـبـول بـا رعــايـت سـقـف بـنـد</t>
  </si>
  <si>
    <t>فرم هاي ماده 4</t>
  </si>
  <si>
    <t>صفحه بيست و دوم
صفحه بيست و سوم</t>
  </si>
  <si>
    <t>صفحه سی و چهارم</t>
  </si>
  <si>
    <t>طراحي یا مشارکت  در برپایی</t>
  </si>
  <si>
    <t>برگزاری نمایشگاه، اردو و ...</t>
  </si>
  <si>
    <t>موسسه</t>
  </si>
  <si>
    <t>استانی</t>
  </si>
  <si>
    <t>شماره و تاريخ تاييديه</t>
  </si>
  <si>
    <t>سطح برگزاري</t>
  </si>
  <si>
    <r>
      <t xml:space="preserve">اسامی همكاران به ترتیب
</t>
    </r>
    <r>
      <rPr>
        <b/>
        <sz val="8"/>
        <color theme="1"/>
        <rFont val="B Nazanin"/>
        <charset val="178"/>
      </rPr>
      <t>شامل نام متقاضی</t>
    </r>
  </si>
  <si>
    <t>2-4</t>
  </si>
  <si>
    <t>آموزشي-طراحي یا مشارکت در برپایی</t>
  </si>
  <si>
    <t>پژوهشي-برگزاری نمایشگاه، اردو و ...</t>
  </si>
  <si>
    <t>آموزشي-برگزاری نمایشگاه، اردو و ...</t>
  </si>
  <si>
    <t>پژوهشي-طراحي یا مشارکت در برپایی</t>
  </si>
  <si>
    <r>
      <t>2-4-برپایی نمایشگاه ها، اردوها یا سایر فعالیت های فوق برنامه پژوهشی،فناوری،آموزشی،فرهنگی،هنری و مدیریت اجرایی آن</t>
    </r>
    <r>
      <rPr>
        <b/>
        <sz val="11"/>
        <color theme="1"/>
        <rFont val="B Nazanin"/>
        <charset val="178"/>
      </rPr>
      <t xml:space="preserve"> </t>
    </r>
    <r>
      <rPr>
        <b/>
        <sz val="10"/>
        <color theme="1"/>
        <rFont val="B Nazanin"/>
        <charset val="178"/>
      </rPr>
      <t>با توجه به سطح برگزاری</t>
    </r>
  </si>
  <si>
    <t>3-4-طراحی و راه اندازی آزمایشگاه یا کارگاه های تخصصی اعم از فنی، پژوهشی و هنری، واحدهای نیمه صنعتی و پژوهشی، کتابخانه های تخصصی، شبکه تخصصی مجازی حسب اهمیت و تجهیزات موجود و میزان بهره برداری</t>
  </si>
  <si>
    <t>صفحه سی و پنجم</t>
  </si>
  <si>
    <t>درصد مشاركت</t>
  </si>
  <si>
    <t>محل انجام فعاليت</t>
  </si>
  <si>
    <t>راه اندازي</t>
  </si>
  <si>
    <t>طراحي</t>
  </si>
  <si>
    <t>3-4</t>
  </si>
  <si>
    <t>4-4-همکاری مؤثر در تأسيس دانشگاه، مراكز تحقيقاتي، مؤسسه های آموزش عالی، پژوهشی و فناوری، شهرک ها و پارک های علم و فناوری، مراکز رشد و شرکت های دانش بنیان</t>
  </si>
  <si>
    <t>صفحه سی و ششم</t>
  </si>
  <si>
    <t>تاريخ و شماره موافقت اصولي</t>
  </si>
  <si>
    <t>تاريخ و شماره موافقت قطعي</t>
  </si>
  <si>
    <t>تاريخ تاسيس و شروع فعاليت</t>
  </si>
  <si>
    <t>5-4-مدیر مسئولی، سردبیری، عضویت در هیات تحریریه نشریه های علمی معتبر و ریاست قطب های علمی کشور</t>
  </si>
  <si>
    <t>صفحه سی و هفتم</t>
  </si>
  <si>
    <t>نام نشريه يا قطب</t>
  </si>
  <si>
    <t>شماره و تاريخ حكم انتصاب</t>
  </si>
  <si>
    <t>نوع همكاري</t>
  </si>
  <si>
    <t>نوع نشريه</t>
  </si>
  <si>
    <t>تاريخ انجام فعاليت</t>
  </si>
  <si>
    <t>مدیر مسئول</t>
  </si>
  <si>
    <t>سردبیر</t>
  </si>
  <si>
    <t>عضو هیات تحریریه</t>
  </si>
  <si>
    <t>رئیس قطب علمی</t>
  </si>
  <si>
    <t>علمی پژوهشی</t>
  </si>
  <si>
    <t>علمی ترویجی</t>
  </si>
  <si>
    <t>علمی مروری</t>
  </si>
  <si>
    <t>سایر</t>
  </si>
  <si>
    <t>5-4</t>
  </si>
  <si>
    <t>6-4-عضویت در یکی از هسته‌های قطب‌های علمی رسمی کشور/عضویت در هیات مدیره و بازرسی انجمن‌های علمی</t>
  </si>
  <si>
    <t>صفحه سی و هشتم</t>
  </si>
  <si>
    <t>مدت همكاري
(سال)</t>
  </si>
  <si>
    <t>نام قطب علمی/نام انجمن</t>
  </si>
  <si>
    <t>نوع همکاری</t>
  </si>
  <si>
    <t>محل فعالیت قطب علمی/انجمن علمی</t>
  </si>
  <si>
    <t>صفحه سی و نهم</t>
  </si>
  <si>
    <t>نام پارک/نام مرکز رشد</t>
  </si>
  <si>
    <t>محل فعالیت پارک/مرکز رشد</t>
  </si>
  <si>
    <t>8-4-دبیری همایش‌های علمی در سطوح ملی، منطقه‌ای و بین‌اللملی با تایید شورای پژوهشی موسسه و یا نهاد ذی‌ربط</t>
  </si>
  <si>
    <t>صفحه چهلم</t>
  </si>
  <si>
    <t>تاريخ برگزاري</t>
  </si>
  <si>
    <t>عنوان همايش</t>
  </si>
  <si>
    <t>نوع همايش</t>
  </si>
  <si>
    <t>علمي درون سازمانی</t>
  </si>
  <si>
    <t>9-4-ایفای مسئولیت در قوای سه گانه</t>
  </si>
  <si>
    <t>صفحه چهلم و يكم</t>
  </si>
  <si>
    <t>مدت فعاليت</t>
  </si>
  <si>
    <t>عنوان مسئوليت</t>
  </si>
  <si>
    <t>شماره</t>
  </si>
  <si>
    <t>تاريخ</t>
  </si>
  <si>
    <t>مرجع صادر كننده ابلاغ</t>
  </si>
  <si>
    <t>مشخصات ابلاغ</t>
  </si>
  <si>
    <t>از تاريخ</t>
  </si>
  <si>
    <t>تا تاريخ</t>
  </si>
  <si>
    <t xml:space="preserve">جـمـع کـل امتیاز </t>
  </si>
  <si>
    <t>صفحه چهل و دوم</t>
  </si>
  <si>
    <t>عنوان فعالیت</t>
  </si>
  <si>
    <t>مشخصات ابلاغ جهت شرکت در شوراها و ....</t>
  </si>
  <si>
    <t>11-4- ایجاد رشته های جدید و میان رشته ای با رویکرد رفع نیازهای اساسی کشور و ترویج کارآفرینی</t>
  </si>
  <si>
    <t>صفحه چهل و سوم</t>
  </si>
  <si>
    <t>عنوان رشته ایجاد شده</t>
  </si>
  <si>
    <t>شماره و تاریخ گواهی تایید فعالیت</t>
  </si>
  <si>
    <t>مرجع تأیید کننده</t>
  </si>
  <si>
    <t>مقطع رشته</t>
  </si>
  <si>
    <t>تاریخ 
ایجاد رشته</t>
  </si>
  <si>
    <t>کاردانی</t>
  </si>
  <si>
    <t>دکتری</t>
  </si>
  <si>
    <t>11-4</t>
  </si>
  <si>
    <t>12-4- راهبری پروژه های بین رشته ای با تایید شورای پژوهشی موسسه</t>
  </si>
  <si>
    <t>صفحه چهل و چهارم</t>
  </si>
  <si>
    <t>استاني</t>
  </si>
  <si>
    <t>8-4 و 12</t>
  </si>
  <si>
    <t>شماره و تاریخ 
گواهی</t>
  </si>
  <si>
    <t>تاريخ اجرا</t>
  </si>
  <si>
    <t>نوع پروژه</t>
  </si>
  <si>
    <t>عنوان پروژه</t>
  </si>
  <si>
    <t>13-4</t>
  </si>
  <si>
    <t>تدوين</t>
  </si>
  <si>
    <t>اجرا</t>
  </si>
  <si>
    <t>ساير</t>
  </si>
  <si>
    <t>13-4- طراحی، تدوین و اجرای برنامه ها و فعالیت با هدف افزایش کارایی و اثربخشی نظام آموزش عالی</t>
  </si>
  <si>
    <t>صفحه چهل و پنجم</t>
  </si>
  <si>
    <t>14-4- طراحی سوال آزمون های سراسری با تایید سازمان سنجش آموزش کشور/مرکز سنجش وزارت بهداشت</t>
  </si>
  <si>
    <t>صفحه چهل و ششم</t>
  </si>
  <si>
    <t>سال انجام فعاليت</t>
  </si>
  <si>
    <t>مجري آزمون</t>
  </si>
  <si>
    <t>مدت همكاري بر حسب ساعت</t>
  </si>
  <si>
    <t>شماره و تاريخ گواهي</t>
  </si>
  <si>
    <t>14-4</t>
  </si>
  <si>
    <t xml:space="preserve">سازمان سنجش آموزش کشور </t>
  </si>
  <si>
    <t>مرکز سنجش وزارت بهداشت</t>
  </si>
  <si>
    <t>طراحي سوال آزمون مقطع .................................... رشته ...............................</t>
  </si>
  <si>
    <t>مرجع صادر كننده گواهي</t>
  </si>
  <si>
    <t>گواهي</t>
  </si>
  <si>
    <t>صفحه چهل و هفتم</t>
  </si>
  <si>
    <t>صفحه چهل و هشتم</t>
  </si>
  <si>
    <t>شماره شابك</t>
  </si>
  <si>
    <t>اسامی همکاران به ترتیب
(شامل نام متقاضی)</t>
  </si>
  <si>
    <t>17-4-تدوین مجموعه مقاله های همایش های علمی معتبر</t>
  </si>
  <si>
    <t>صفحه چهل و نهم</t>
  </si>
  <si>
    <t>نام همایش معتبر</t>
  </si>
  <si>
    <t>برگزار کننده همایش</t>
  </si>
  <si>
    <t>محل همایش</t>
  </si>
  <si>
    <t>شماره و تاریخ گواهی</t>
  </si>
  <si>
    <t>درصد همكاري</t>
  </si>
  <si>
    <t>18-4-ایجاد ظرفیت در جذب دانشجویان خارجی با تایید رئیس موسسه</t>
  </si>
  <si>
    <t>صفحه پنجاه</t>
  </si>
  <si>
    <t>نام دانشجو خارجی 
جذب شده</t>
  </si>
  <si>
    <t>رشته تحصیلی</t>
  </si>
  <si>
    <t>مليت</t>
  </si>
  <si>
    <t>سال پذيرش دانشجو</t>
  </si>
  <si>
    <t>فرم هاي ماده 1</t>
  </si>
  <si>
    <t>1-1-تدوین کتاب، مقاله و تولید اثر بدیع و ارزنده هنری با رويكرد اسلامي در حوزه های فرهنگی، تربیتی، اجتماعی</t>
  </si>
  <si>
    <t>صفحه اول</t>
  </si>
  <si>
    <t>نوع اثر</t>
  </si>
  <si>
    <t>2-1-تهیه و تدوین پیوست فرهنگی برای کلیه فعالیت ها و همکاری مؤثر در اجرای امور فرهنگی بر اساس سیاست های کلی برنامه های پنج ساله توسعه و سیاست های متخذه توسط شورای اسلامی شدن دانشگاه ها و مراکز آموزشی</t>
  </si>
  <si>
    <t>صفحه دوم</t>
  </si>
  <si>
    <t>عنوان پیوست فرهنگی/عنوان فعالیت و همکاری موثر در اجرای امور فرهنگی</t>
  </si>
  <si>
    <t>شرح فعالیت</t>
  </si>
  <si>
    <t>در صورتي كه سهم همكاران در انجام ساير فعاليت مشخص نشده باشد، امتياز عضو هيات علمي براساس جدول ذيل بند «3-1» فرم شماره «3» محاسبه مي گردد</t>
  </si>
  <si>
    <t>3-1-مشاوره فرهنگی یا همکاری مؤثر با تشکل های قانونمند دانشجویان،  اعضای هیات علمی و طلاب و نهادهای فرهنگی فعال در مؤسسه و یا حوزه علمیه به منظور ترویج فعالیت در حوزه فرهنگ</t>
  </si>
  <si>
    <t>صفحه سوم</t>
  </si>
  <si>
    <t>عنوان مشاوره فرهنگی یا همکاری موثر با تشکل های قانونمند دانشجویان، .....</t>
  </si>
  <si>
    <t>1-1</t>
  </si>
  <si>
    <t>4-1-استاد مشاور فرهنگی با حکم معاون فرهنگي مؤسسه یا معاون فرهنگی بنیاد ملی نخبگان و تایید موسسه محل خدمت</t>
  </si>
  <si>
    <t>صفحه چهارم</t>
  </si>
  <si>
    <t>واحد دانشگاهی محل فعالیت</t>
  </si>
  <si>
    <t>عنوان حكم</t>
  </si>
  <si>
    <t>از نيمسال تحصيلي</t>
  </si>
  <si>
    <t>تا نيمسال تحصيلي</t>
  </si>
  <si>
    <t>اول</t>
  </si>
  <si>
    <t>دوم</t>
  </si>
  <si>
    <t>4-1</t>
  </si>
  <si>
    <t>امضای دبیر کمیسيون تخصصي موضوع ماده «1»</t>
  </si>
  <si>
    <t>5-1-مسئولیت پذیری در اصلاح و هدایت نگرش های مطلوب فـرهنگــی و مشـارکـت یــا انجام فعالیت های فرهنگی، تربیتی، اجتماعی و یا عناوین مشابه برای کلیه  اقشار دانشگاهی (دانشجویان، اساتید و کارکنان) با کسب موافقت موسسه محل خدمت</t>
  </si>
  <si>
    <t>صفحه پنجم</t>
  </si>
  <si>
    <t>برنامه ریزی و طراحی در امور فرهنگی – تربیتی – اجتماعی و علمی دانشجویی و اعضای هیات علمی  يا طلاب و کارکنان</t>
  </si>
  <si>
    <t>مشارکت در اجرای  امور فرهنگی – تربیتی – اجتماعی از جمله مشارکت فعالانه در تشکیل جلسات هم اندیشی اساتید و نشست و جلسات دانشجویی جهت تبیین مباحث و  مشکلات و رفع شبهات اعتقادی و ....</t>
  </si>
  <si>
    <t>6-1-استمرار در تقید و پایبندی به ارزش‌های دینی، فرهنگی، ملی، انقلابی و صداقت و امانتداری با تایید کمیسیون تخصصی ذی ربط</t>
  </si>
  <si>
    <t>صفحه ششم</t>
  </si>
  <si>
    <t>مرجع تأیید کننده در موسسه</t>
  </si>
  <si>
    <t>نیمسال
تحصيلي</t>
  </si>
  <si>
    <t>امتياز هر نيمسال تحصيلي</t>
  </si>
  <si>
    <t>نيم سال تحصيلي</t>
  </si>
  <si>
    <t>سال
تحصيلي</t>
  </si>
  <si>
    <t>7-1-کسب جوایز فرهنگی (در زمینه ترویج فرهنگ ایثار و شهادت، مسئولیت های فرهنگی و...)</t>
  </si>
  <si>
    <t>صفحه هفتم</t>
  </si>
  <si>
    <t>عنوان جایزه</t>
  </si>
  <si>
    <t>زمینه جایزه اعطا شده</t>
  </si>
  <si>
    <t>مرجع اعطای جایزه</t>
  </si>
  <si>
    <t>اسامی سایر افرادی که جایزه مشترکاً به آنان تعلق گرفته است</t>
  </si>
  <si>
    <t>7-1</t>
  </si>
  <si>
    <t>امتيازات اين بند براساس ميانگين مجموع امتيازات نيمسال هاي تحصيلي دوره ارزيابي تعيين مي گردد.
ارزيابي هر نيمسال تحصيلي بر اساس  نظام ارزيابي كيفي در بازه صفر تا ده تعيين مي گردد كه ميانه آن عدد پنج مي باشد. این نظام ارزیابی با تصمیم کمیسیون تخصصی موضوع ماده 1 موسسه مشخص می شود.</t>
  </si>
  <si>
    <t xml:space="preserve">در صورتي كه سهم همكاران در انجام ساير فعاليت مشخص نشده باشد، امتياز عضو هيات علمي به صورت مستقل در نظر گرفته مي شود. </t>
  </si>
  <si>
    <t>8-1-طراحی و مشارکت فعالانه در برگزاری کرسی های نقد و نظریه پردازی با تایید مراجع ذی صلاح</t>
  </si>
  <si>
    <t>صفحه هشتم</t>
  </si>
  <si>
    <t>طراحی</t>
  </si>
  <si>
    <t>مشارکت</t>
  </si>
  <si>
    <t>8-1</t>
  </si>
  <si>
    <t>9-1-شرکت در کارگاه‌های دانش‌افزایی و توانمند سازی اعضای هیات علمی در زمینه فرهنگی، تربیتی،  اجتماعی با ارائه گواهی معتبر</t>
  </si>
  <si>
    <t>صفحه نهم</t>
  </si>
  <si>
    <t>مرجع برگزار كننده</t>
  </si>
  <si>
    <r>
      <t>مدت زمان شرکت در کارگاه</t>
    </r>
    <r>
      <rPr>
        <b/>
        <sz val="8"/>
        <color theme="1"/>
        <rFont val="B Nazanin"/>
        <charset val="178"/>
      </rPr>
      <t xml:space="preserve"> (ساعت)</t>
    </r>
  </si>
  <si>
    <t>تاريخ 
برگزاری کارگاه</t>
  </si>
  <si>
    <t>عنوان کارگاه دانش افزایی و توانمندسازی فرهنگی، .....</t>
  </si>
  <si>
    <t>10-1-برگزاری نمایشگاه آثار و کارگاه هنری با رویکرد فرهنگی- اسلامی</t>
  </si>
  <si>
    <t>صفحه دهم</t>
  </si>
  <si>
    <t>مرجع برگزار کننده</t>
  </si>
  <si>
    <t>محل برگزاری نمایشگاه</t>
  </si>
  <si>
    <t>تاريخ برگزاري نمايشگاه</t>
  </si>
  <si>
    <t>عنوان نمايشگاه</t>
  </si>
  <si>
    <t xml:space="preserve">امتیاز کل دوره </t>
  </si>
  <si>
    <t>سوم</t>
  </si>
  <si>
    <t>چهارم</t>
  </si>
  <si>
    <t>پنجم</t>
  </si>
  <si>
    <t>ششم</t>
  </si>
  <si>
    <t>هفتم</t>
  </si>
  <si>
    <t xml:space="preserve">هشتم </t>
  </si>
  <si>
    <t xml:space="preserve">نهم </t>
  </si>
  <si>
    <t>دهم</t>
  </si>
  <si>
    <t>مدیر  گروه</t>
  </si>
  <si>
    <t>معاون آموزشی دانشکده</t>
  </si>
  <si>
    <t>معاون آموزشی مؤسسه</t>
  </si>
  <si>
    <t>کمیسیون تخصصی</t>
  </si>
  <si>
    <t>امتیاز هر نیمسال</t>
  </si>
  <si>
    <t>امتیاز با رعایت سقف بند</t>
  </si>
  <si>
    <t>صفحه پانزدهم</t>
  </si>
  <si>
    <t>فرم هاي ماده 2</t>
  </si>
  <si>
    <t>بند 2-1-رعایت نظم و انضباط درسی و شئونات آموزشی</t>
  </si>
  <si>
    <t>امتیاز کل هر یک از نیمسال های مورد ارزیابی منتهی به تاریخ ثبت تقاضا در کمیته منتخب 
 کسب شده از کاربرگ های مربوط</t>
  </si>
  <si>
    <t>امضای مدير گروه</t>
  </si>
  <si>
    <t>صفحه یازدهم</t>
  </si>
  <si>
    <t>گروه های ارزیابی</t>
  </si>
  <si>
    <t>ميانگين وزني ارزشيابي حسب مورد</t>
  </si>
  <si>
    <t>امتیاز حاصل از ارزیابی</t>
  </si>
  <si>
    <t>دانشجویان</t>
  </si>
  <si>
    <t>طبق جدول شماره 5 آیین نامه، متقاضی حائز شرط کسب حداقل امتیاز لازم جهت ارتقاء بوده ولی از این بند امتیازی به وی تعلق نمی گیرد.</t>
  </si>
  <si>
    <t>معاون آموزشی</t>
  </si>
  <si>
    <t>جـــــمـــــع کــــــل</t>
  </si>
  <si>
    <t>كاربرگ هاي و شاخص های مورد تایید شورای آموزشی موسسه (1)</t>
  </si>
  <si>
    <t>كاربرگ هاي و شاخص های مورد تایید شورای آموزشی موسسه (2)</t>
  </si>
  <si>
    <t>كاربرگ هاي و شاخص های مورد تایید شورای آموزشی موسسه (3)</t>
  </si>
  <si>
    <t>امتیاز مکتسبه</t>
  </si>
  <si>
    <t>بند 2-2-كيفيت تدريس</t>
  </si>
  <si>
    <t>تحصیلات تکمیلی</t>
  </si>
  <si>
    <t>فاقد تکرار</t>
  </si>
  <si>
    <t>اولین کلاس</t>
  </si>
  <si>
    <t>کلاس تکراری</t>
  </si>
  <si>
    <t>نام درس</t>
  </si>
  <si>
    <t>تعداد مدرسین</t>
  </si>
  <si>
    <t>مؤسسه محل تدریس</t>
  </si>
  <si>
    <t>مقطع تدریس</t>
  </si>
  <si>
    <t>جــــــــــــمـــــــــع کـــــــــــــل امتیاز مکتسبه</t>
  </si>
  <si>
    <t>دانشگاه فردوسی مشهد</t>
  </si>
  <si>
    <t>جمع امتیاز نیمسال تحصیلی</t>
  </si>
  <si>
    <t>بند 2-3- کمیت تدریس</t>
  </si>
  <si>
    <t>صفحه دوازدهم</t>
  </si>
  <si>
    <t>صفحه سيزدهم</t>
  </si>
  <si>
    <t>3-2</t>
  </si>
  <si>
    <t>وضعیت کلاس</t>
  </si>
  <si>
    <t>دوره مشترك بين المللي</t>
  </si>
  <si>
    <t>نیمسال تحصیلی</t>
  </si>
  <si>
    <t>نوع تدريس</t>
  </si>
  <si>
    <t>حضوري</t>
  </si>
  <si>
    <t>نيمه حضوري</t>
  </si>
  <si>
    <t>آموزش الكترونيكي آنلاين</t>
  </si>
  <si>
    <t>صفحه چهاردهم</t>
  </si>
  <si>
    <t>سال تحصيلي</t>
  </si>
  <si>
    <t>مؤسسه 
محل تحصیل دانشجو</t>
  </si>
  <si>
    <t xml:space="preserve">تعداد واحد </t>
  </si>
  <si>
    <t>نيمسال
تحصيلي</t>
  </si>
  <si>
    <t>مقـاله (کمیته منتخب) متقاضی دارای</t>
  </si>
  <si>
    <t>از مـجموع تـعداد</t>
  </si>
  <si>
    <t>در صــد می بـاشد.</t>
  </si>
  <si>
    <t>مقاله با جـایگاه نـفـر اول می باشد و درصد امتیاز مقالات اصـلی متقاضی به کـل امتیاز مقالات</t>
  </si>
  <si>
    <t>باسمه تعالي</t>
  </si>
  <si>
    <t>صورتجلسه کمیسیون تخصصي</t>
  </si>
  <si>
    <t>هيأت مميزه</t>
  </si>
  <si>
    <t>جلسه کمیسیون تخصصي</t>
  </si>
  <si>
    <t xml:space="preserve">هيأت مميزه در مورخ </t>
  </si>
  <si>
    <t xml:space="preserve">با حضور اعضا کمیسیون تشكيل گرديد. </t>
  </si>
  <si>
    <t>در اين جلسه پرونده دکتر</t>
  </si>
  <si>
    <t>مطرح و امتيازات مندرجه در</t>
  </si>
  <si>
    <t>صورتجلسه کمیته منتخب</t>
  </si>
  <si>
    <t>درباره ايشان مورد بررسي قرارگرفت و به شرح زير اظهار نـظر گردید .</t>
  </si>
  <si>
    <t xml:space="preserve">ماده </t>
  </si>
  <si>
    <t>بند و موضوع</t>
  </si>
  <si>
    <t>امتياز مكتسبه</t>
  </si>
  <si>
    <t>امتياز كميته منتخب</t>
  </si>
  <si>
    <t xml:space="preserve">امتياز کمیسیون تخصصي </t>
  </si>
  <si>
    <t>حداكثر امتياز در هر موضوع</t>
  </si>
  <si>
    <t>حداقل امتياز لازم</t>
  </si>
  <si>
    <t>جمع</t>
  </si>
  <si>
    <r>
      <t>1</t>
    </r>
    <r>
      <rPr>
        <b/>
        <sz val="11"/>
        <color theme="1"/>
        <rFont val="B Mitra"/>
        <charset val="178"/>
      </rPr>
      <t xml:space="preserve"> -فرهنگي، تربيتي و اجتماعي</t>
    </r>
  </si>
  <si>
    <r>
      <t>2</t>
    </r>
    <r>
      <rPr>
        <b/>
        <sz val="11"/>
        <color theme="1"/>
        <rFont val="B Mitra"/>
        <charset val="178"/>
      </rPr>
      <t xml:space="preserve"> - آموزشي</t>
    </r>
  </si>
  <si>
    <t>2-2- کیفیت تدریس</t>
  </si>
  <si>
    <r>
      <t>4</t>
    </r>
    <r>
      <rPr>
        <b/>
        <sz val="11"/>
        <color theme="1"/>
        <rFont val="B Mitra"/>
        <charset val="178"/>
      </rPr>
      <t xml:space="preserve"> - علمي - اجرايي</t>
    </r>
  </si>
  <si>
    <t>ســـال و</t>
  </si>
  <si>
    <t>مرتبة</t>
  </si>
  <si>
    <t>دکتر</t>
  </si>
  <si>
    <t>گروه آموزشی</t>
  </si>
  <si>
    <t>تاریخ استخدام پیمانی یا اتمام طرح سربازی</t>
  </si>
  <si>
    <t>متقاضی ارتقاء به مرتبه</t>
  </si>
  <si>
    <t>تعداد</t>
  </si>
  <si>
    <t>درصد ازکل</t>
  </si>
  <si>
    <t>رئیس کمیسیون تخصصی</t>
  </si>
  <si>
    <t>مرتبه علمي استخدامي</t>
  </si>
  <si>
    <t>دانشياري</t>
  </si>
  <si>
    <t>استادي</t>
  </si>
  <si>
    <t xml:space="preserve">2-1-  تهیه و تدوین پیوست فرهنگی </t>
  </si>
  <si>
    <t>3-1-  ارائه مشاوره فرهنگی يا همکاری مؤثر با تشكل‌هاي دانشجويي و...</t>
  </si>
  <si>
    <t>4-1-  استاد مشاور فرهنگی با حكم معاون فرهنگي</t>
  </si>
  <si>
    <t>6-1-استمرار درتقید و پایبندی به ارزش‌های دینی، فرهنگی، ملی،انقلابی...</t>
  </si>
  <si>
    <r>
      <t>7-1-  کسب جوایز فرهنگی</t>
    </r>
    <r>
      <rPr>
        <b/>
        <sz val="7"/>
        <color theme="1"/>
        <rFont val="B Mitra"/>
        <charset val="178"/>
      </rPr>
      <t>(در زمینه ترویج فرهنگ ایثار و شهادت، و ...)</t>
    </r>
  </si>
  <si>
    <t>8-1-  طراحی و مشارکت فعالانه در برگزاری کرسی های نظریه پردازی</t>
  </si>
  <si>
    <t>1-1-  تدوين كتاب،مقاله وتوليداثربديع درحوزه‌ فرهنگي-تربيتي- اجتماعي</t>
  </si>
  <si>
    <t>9-1-  شرکت در کارگاه دانش افزایی و توانمندسازی با زمينه‌ فرهنگي</t>
  </si>
  <si>
    <t>10-1- برگزاری نمایشگاه آثار و کارگاه هنری با رویکرد فرهنگی- اسلامی</t>
  </si>
  <si>
    <t>1-2- رعایت نظم وانضباط درسی و شئونات آموزشی</t>
  </si>
  <si>
    <t>3-2-  کمیت تدریس</t>
  </si>
  <si>
    <t>2-3-  مقاله علمی - مروری منتشر شده در نشريه هاي معتبر</t>
  </si>
  <si>
    <t>4-3- مدخل چاپ شده در دانشنامه ها و دایره المعارف ها</t>
  </si>
  <si>
    <t>3-3-مقاله علمی-ترویجی و نقد چاپ شده و مقاله پژوهشی در دائره المعارف</t>
  </si>
  <si>
    <t>5-3- مقاله علمی کامل داوري شده در مجموعه مقالات یا مجلات همایش</t>
  </si>
  <si>
    <t>6-3-  خلاصه مقاله علمي در مجموعه مقالات همایش های علمی معتبر</t>
  </si>
  <si>
    <t>8-3-تولید دانش فنی/ اختراع/ اکتشاف منجر به تجاری‌سازی محصول</t>
  </si>
  <si>
    <t>10-3- اثر بدیع و ارزنده هنری یا ادبی و فلسفی چاپ شده</t>
  </si>
  <si>
    <t>11-3-  ایجاد ظرفیت فعال در جذب گرنت داخلي يا بين المللي</t>
  </si>
  <si>
    <t xml:space="preserve">15-3- کسب رتبه در جشنوارهای داخلی و خارجی </t>
  </si>
  <si>
    <t>13-3- الف) راهنمایی و مشاوره پایان نامه کارشناسی ارشد</t>
  </si>
  <si>
    <t>امتياز مكتسبه راهنمايي و مشاوره پايان نامه دكتري تخصصي</t>
  </si>
  <si>
    <t>امتياز مكتسبه راهنمايي و مشاوره پايان نامه كارشناسي ارشد</t>
  </si>
  <si>
    <t>13-3- ب) راهنمایی و مشاوره پایان نامه دكتري</t>
  </si>
  <si>
    <t>3-4- طراحی و راه اندازی آزمایشگاه یا کارگاه فنی، واحد پژوهشی، …</t>
  </si>
  <si>
    <t>1-4- حضور فعال و تمام وقت در مؤسسه و مشارکت براساس تکالیف ...</t>
  </si>
  <si>
    <t>4-4-همکاری در تأسيس دانشگاه، مراكز تحقيقاتي، رشد، دانش‌بنيان و...</t>
  </si>
  <si>
    <t>5-4-مدیر مسئولي،سردبیری،عضویت در هیات تحریریه نشریه علمی و ...</t>
  </si>
  <si>
    <t>6-4-عضویت در هسته‌ قطب‌علمی رسمی/هیات مدیره و بازرسی انجمن‌ علمی</t>
  </si>
  <si>
    <t>2-4- برپایی نمایشگاه ها،اردوها یا سایر فعالیت های فوق برنامه پژوهشی</t>
  </si>
  <si>
    <t>7-4- عضویت در شوراهای پارک ها/مراکز رشد</t>
  </si>
  <si>
    <t>9-4- ایفای مسئولیت در قوای سه گانه</t>
  </si>
  <si>
    <t>8-4- دبیری همایش‌ هاي علمی در سطوح ملی، منطقه‌ای و بین‌اللملی ...</t>
  </si>
  <si>
    <t>10-4- شرکت در شوراها، کارگروه‌ها، کمیته ها، هیات ها و کمیسون ها...</t>
  </si>
  <si>
    <t>11-4-ایجاد رشته جدید و میان رشته ای با رویکرد رفع نیاز اساسی کشور</t>
  </si>
  <si>
    <t>12-4- راهبری پروژهای بین رشته ای با تایید شورای پژوهشی موسسه</t>
  </si>
  <si>
    <t>14-4-طراحی سوال آزمون سراسری با تایید سازمان سنجش آموزش</t>
  </si>
  <si>
    <t>15-4-طراحی سوال آزمون جامع منطقه ای و درون دانشگاهی و نظایر آن</t>
  </si>
  <si>
    <t>17-4- تدوین مجموعه مقاله های همایش های علمی معتبر</t>
  </si>
  <si>
    <t>د ر صورتي كه مؤلف هر فصل يا بخش كتاب تعيين شده باشد، امتياز آن براي عضو هيات علمي به صورت مستقل در نظر گرفته مي شود. در غير اين صورت امتياز عضو هيات علمي براساس جدول ذيل بند «3-1» فرم شماره «3» محاسبه مي گردد.
در صورتي كه سهم همكاران در انجام ساير فعاليت هاي اين بند (مقاله، اثر و...) مشخص نشده باشد، امتياز عضو هيات علمي براساس جدول ذيل بند «3-1» فرم شماره «3» محاسبه مي گردد.</t>
  </si>
  <si>
    <r>
      <t xml:space="preserve">1-9-3 گزارش علمی طرح های پژوهشی و فناوری در </t>
    </r>
    <r>
      <rPr>
        <b/>
        <sz val="10"/>
        <color theme="1"/>
        <rFont val="B Mitra"/>
        <charset val="178"/>
      </rPr>
      <t>داخــــل موسسه</t>
    </r>
  </si>
  <si>
    <r>
      <t xml:space="preserve">2-9-3 گزارش علمی طرح های پژوهشی و فناوری در </t>
    </r>
    <r>
      <rPr>
        <b/>
        <sz val="10"/>
        <color theme="1"/>
        <rFont val="B Mitra"/>
        <charset val="178"/>
      </rPr>
      <t>خــارج از موسسه</t>
    </r>
  </si>
  <si>
    <t>خلاصه پرونده ارتقاء</t>
  </si>
  <si>
    <t>تاریـخ تـولـد :</t>
  </si>
  <si>
    <t>موسسه و شهر/کشور محل اخذ مدرک:</t>
  </si>
  <si>
    <t>ماده 1: فرهنگي، تربيتي و اجتماعي</t>
  </si>
  <si>
    <t>ماده 2: آموزشي</t>
  </si>
  <si>
    <t>4-2- راهنمایی و مدیریت پروژه کارشناسی</t>
  </si>
  <si>
    <t>6-1-  استمرار در تقید و پایبندی به ارزش‌های دینی، فرهنگی، ملی، انقلابی و ...</t>
  </si>
  <si>
    <t>اسامی نویسندگان</t>
  </si>
  <si>
    <t xml:space="preserve">تاریخ انتشار </t>
  </si>
  <si>
    <t>ضریب تاثیر (IF)</t>
  </si>
  <si>
    <t>نمایه علمی معتبر</t>
  </si>
  <si>
    <t>جایگاه متقاضی</t>
  </si>
  <si>
    <t>تعداد کل</t>
  </si>
  <si>
    <t>موقعیت</t>
  </si>
  <si>
    <t>نشریه</t>
  </si>
  <si>
    <t>نهایی</t>
  </si>
  <si>
    <t>جمع کل</t>
  </si>
  <si>
    <t>متقاضی</t>
  </si>
  <si>
    <t xml:space="preserve">عنوان همایش علمی </t>
  </si>
  <si>
    <t>همایش</t>
  </si>
  <si>
    <t>تاریخ انجام</t>
  </si>
  <si>
    <t>مرجع تایید کننده</t>
  </si>
  <si>
    <t>ماهیت اعتبار</t>
  </si>
  <si>
    <t>کشور یا سازمان تامین کننده اعتبار</t>
  </si>
  <si>
    <t xml:space="preserve">تاریخ انتشار یا پذيرش برای چاپ </t>
  </si>
  <si>
    <t>مرجع داوری</t>
  </si>
  <si>
    <t>سطح کرسی 
نظریه پردازی</t>
  </si>
  <si>
    <t>2-1-  تهیه و تدوین پیوست فرهنگی براي فعاليت ها و همكاري هاي موثر در ...</t>
  </si>
  <si>
    <t xml:space="preserve">5-1-  مسئولیت پذیری در اصلاح و هدایت نگرش های مطلوب فرهنگی </t>
  </si>
  <si>
    <t>5-1-  مسئولیت پذیری در اصلاح و هدایت نگرش های مطلوب فرهنگی</t>
  </si>
  <si>
    <t>7-1-  کسب جوایز فرهنگی (در زمینه ترویج فرهنگ ایثار و شهادت و ...)</t>
  </si>
  <si>
    <t>8-1-  طراحی و مشارکت فعالانه در برگزاری کرسی آزاد انديشي و نظریه پردازی</t>
  </si>
  <si>
    <t>9-1-  شرکت در کارگاه فرهنگي دانش افزایی و توانمندسازی اعضاي هيات علمي</t>
  </si>
  <si>
    <t>10-1- برگزاری نمایشگاه آثار و کارگاه هنری با رویکرد فرهنگی- اسلامی- ايراني</t>
  </si>
  <si>
    <t>ضریب تأثیر متوسط</t>
  </si>
  <si>
    <t>متقاضي حداقل امتياز لازم را از اين ماده كسب نكرده است!</t>
  </si>
  <si>
    <t xml:space="preserve">4-2- راهنمایی و سرپرستی پروژه کارشناسی در پایان دوره تحصیل                                        </t>
  </si>
  <si>
    <t>مرتـبه فـعلی :</t>
  </si>
  <si>
    <t>حوزه تـخـصـصی پـژوهـشـی:</t>
  </si>
  <si>
    <t>رشته تحصیلی مقطع دکـتـری:</t>
  </si>
  <si>
    <t>تاریـخ آخریـن ارتـقـا:</t>
  </si>
  <si>
    <t>مـحل خدمت :</t>
  </si>
  <si>
    <t>نـــام و نام خانوادگی :</t>
  </si>
  <si>
    <t>عـنوان پـایـان نـامـه :</t>
  </si>
  <si>
    <r>
      <t xml:space="preserve">تاریخ </t>
    </r>
    <r>
      <rPr>
        <sz val="9"/>
        <color theme="1"/>
        <rFont val="B Titr"/>
        <charset val="178"/>
      </rPr>
      <t xml:space="preserve">پذيرش </t>
    </r>
  </si>
  <si>
    <t>مقـاله متقاضی دارای</t>
  </si>
  <si>
    <t xml:space="preserve">3-2 و 3-3)  مقاله علمی– مروری چاپ شده در نشريه هاي معتبر و مقاله هاي علمي چاپ شده در نشريات علمي-ترويجي داخلي معتبر </t>
  </si>
  <si>
    <t>امتياز قـابل قبــول مقالات علــمي-مـــروري با رعايت سقف بند</t>
  </si>
  <si>
    <t>امتياز قـابل قبـــول مقالات علــمي-تــرويجي با رعايت سقف بند</t>
  </si>
  <si>
    <t>6-3،5-3) مقاله علمی کامل داوري شده و خلاصه مقاله علمي در مجموعه مقالات یا مجلات همایش‌های علمی معتبر</t>
  </si>
  <si>
    <t>امتیاز همايش:</t>
  </si>
  <si>
    <t>تعداد نویسندگان:</t>
  </si>
  <si>
    <t>میزان مشارکت:</t>
  </si>
  <si>
    <t>درصد همپوشانی:</t>
  </si>
  <si>
    <t>7-3)  مقاله علمی– پژوهشی  مستخرج از رساله متقاضی</t>
  </si>
  <si>
    <t>امتیاز قابل قبول خلاصه مقالات علمی داوری شده در همایش های علمی معتبر با رعايت سقف بند</t>
  </si>
  <si>
    <t>امتیاز قابل قبول مقالات علمی کامل داوری شده در همایش های علمی معتبر با رعايت سقف بند</t>
  </si>
  <si>
    <t>امتیاز قابل قبول با رعايت سقف بند</t>
  </si>
  <si>
    <r>
      <t>ضریب تاثیر (</t>
    </r>
    <r>
      <rPr>
        <sz val="11"/>
        <color theme="1"/>
        <rFont val="Arial Black"/>
        <family val="2"/>
      </rPr>
      <t>IF</t>
    </r>
    <r>
      <rPr>
        <sz val="10"/>
        <color theme="1"/>
        <rFont val="B Titr"/>
        <charset val="178"/>
      </rPr>
      <t>)</t>
    </r>
  </si>
  <si>
    <t>اسامی همكاران به ترتیب
(شامل نام متقاضی)</t>
  </si>
  <si>
    <t>محل ثبت</t>
  </si>
  <si>
    <t>8-3) تولید دانش فنی/ اختراع یا اکتشاف منجر به تولید و تجاری سازی محصول یا فرآیند و هر نوآوری که برای حل مشکلات و معضلات کشور موثر باشد و یا منجر به تولید خدمت یا محصول جدیدی شود</t>
  </si>
  <si>
    <t>1-9-3 ) گزارش های علمی طرح های پژوهشی و فناوری خاتمه یافته در داخل موسسه با تایید معاون پژوهش و فناوری موسسه
2-9-3 ) گزارش های علمی طرح های پژوهشی و فناوری با طرف قرارداد خـــــارج از موسسه تایید شده نهاد سفارش دهنده</t>
  </si>
  <si>
    <t>شماره و تاريخ خاتمه طرح</t>
  </si>
  <si>
    <r>
      <t xml:space="preserve">اسامی همكاران
</t>
    </r>
    <r>
      <rPr>
        <sz val="8"/>
        <color theme="1"/>
        <rFont val="B Titr"/>
        <charset val="178"/>
      </rPr>
      <t>(شامل نام متقاضی)</t>
    </r>
  </si>
  <si>
    <t>امتياز قابل قبول با رعايت سقف بند3-9-1 گزارش های علمی طرح های پژوهشی و فناوری خاتمه یافته در داخل موسسه</t>
  </si>
  <si>
    <t>جـمـع کـل امتیاز بند 3-9-2 گزارش های علمی طرح های پژوهشی و فناوری با طرف قرارداد خــــارج از موسسه</t>
  </si>
  <si>
    <t>3-11) ایجاد ظرفیت فعال در جذب اعتبار پژوهشی (گرنت) داخلی یا بین المللی</t>
  </si>
  <si>
    <r>
      <t>میزان اعتبار جذب شده</t>
    </r>
    <r>
      <rPr>
        <sz val="8"/>
        <color theme="1"/>
        <rFont val="B Titr"/>
        <charset val="178"/>
      </rPr>
      <t>(میلیون تومان يا دلار)</t>
    </r>
  </si>
  <si>
    <t>12-3) تصنیف، تالیف، تصحيح انتقادی، ترجمه کتاب و دانشنامه</t>
  </si>
  <si>
    <t>14-3) کرسی‌های نظریه‌پردازی</t>
  </si>
  <si>
    <t>16-3) داوری و نظارت بر فعالیت های پژوهشی</t>
  </si>
  <si>
    <t>7-4-عضویت در شوراهای پارک ها/ مراکز رشد</t>
  </si>
  <si>
    <t>ماده 4: علمي - اجرايي
8-4) دبیری همایش‌های علمی در سطوح ملی، منطقه‌ای و بین‌اللملی با تایید شورای پژوهشی موسسه و یا نهاد ذی‌ربط</t>
  </si>
  <si>
    <t>و امتياز قـابـل قبــول با رعايت سقف بند</t>
  </si>
  <si>
    <t>عنوان كتاب / عنوان فعاليت</t>
  </si>
  <si>
    <t>تعداد صفحات
يا فعاليت</t>
  </si>
  <si>
    <t>تدوين كتاب</t>
  </si>
  <si>
    <t>ساير فعاليت ها</t>
  </si>
  <si>
    <t>16-4</t>
  </si>
  <si>
    <t>جـمـع کـل امتیاز مکتـــــسبه از بند 4-16-الف)</t>
  </si>
  <si>
    <t>جـمـع کـل امتیاز مکتـــــسبه از بند 4-16-ب)</t>
  </si>
  <si>
    <t>16-4-الف) تدوین کتاب به شیوه گردآوری
16-4-ب) ارزیابی یا داوری مقالات همایش ها، اثر بدیع هنری، اختراع، طرح پژوهشی، پایان نامه کارشناسی ارشد، رساله دکتری و کتاب تالیفی</t>
  </si>
  <si>
    <t>امتیاز قابل قبول با رعايت سقف بند 16-4-الف) تدوین کتاب به شیوه گردآوری</t>
  </si>
  <si>
    <t>امتیاز قابل قبول با رعايت سقف بند 16-4-ب) ارزیابی یا داوری مقالات همایش ها، اثر بدیع هنری، اختراع، طرح پژوهشی، پایان نامه کارشناسی ارشد، رساله دکتری و کتاب تالیفی</t>
  </si>
  <si>
    <t xml:space="preserve"> امتیاز این بند در کمیته ای مرکب از هیات رئیسه دانشکده متقاضی و مدیر گروه علمی ذی ریط با توجه به مواردی مانند تخصیص اوقات موظف تدریس در امور آموزشی، رعایت تقویم مصوب آموزشی، برنامه ریزی درسی و کاربرگ های ارزیابی دانشجویان از کیفیت تدریس و ... تعیین می شود.
در زمان ارتقای مرتبه عضو هیات علمی امتیاز این بند به تفکیک نیم سال های مورد تقاضا در کمیته مذکور تعیین و توسط رئیس دانشکده به دبیرخانه کمیته منتخب اعلام می شود. </t>
  </si>
  <si>
    <t>متقاضی حداقل امتیاز لازم را از مقاله های با نمایه برتر کسب نکرده است!</t>
  </si>
  <si>
    <t>جـمـع کـل امتیاز مکتـــــسبه از بند 3-2</t>
  </si>
  <si>
    <t>جـمـع کـل امتیاز مکتـــــسبه از بند 3-3</t>
  </si>
  <si>
    <t>10-3-اثر بدیع و ارزنده هنری یا ادبی و فلسفی چاپ شده</t>
  </si>
  <si>
    <t>و امـتـياز قـابل قبــول با رعايت سـقـف بـنـد</t>
  </si>
  <si>
    <t>و امـتـيـاز قـابـل قبــول با رعايت سـقـف بند</t>
  </si>
  <si>
    <t>و امتياز قـابـل قـبــول با رعايت سـقـف بـنـد</t>
  </si>
  <si>
    <t>و امـتيـاز قـابـل قبــول با رعايت سـقـف بـنـد</t>
  </si>
  <si>
    <t>و امتيـاز قـابل قبــول با رعـايت سـقـف بـنـد</t>
  </si>
  <si>
    <t>و امتياز قـابل قبــول با رعايت سـقـف بـند</t>
  </si>
  <si>
    <t>و امتياز قـابل قبــول با رعايت سـقـف بنـد</t>
  </si>
  <si>
    <t>و امـتـياز قـابـل قبــول با رعـايـت سـقـف بـنـد</t>
  </si>
  <si>
    <t>و امتياز قـابل قـبـول  از بند 7 الي 10 با رعايت سقف بنـد</t>
  </si>
  <si>
    <t>و امتياز قـابل قـبـول بند 1 الي 6  با رعايت سـقـف بنـد</t>
  </si>
  <si>
    <t>12-3-الف) تصنیف، تالیف كتاب يا دانشنامه</t>
  </si>
  <si>
    <t>12-3- ب) ترجمه انتقادی، ترجمه کتاب يا دانشنامه</t>
  </si>
  <si>
    <t>3- پژوهش ي، فناوري</t>
  </si>
  <si>
    <t>و امتياز قـابل قبــول با رعايت سـقـف بـنـد</t>
  </si>
  <si>
    <t>16-4- الف) تدوین کتاب به شیوه گردآوری</t>
  </si>
  <si>
    <t>متقاضی حداقل امتیاز کل از مجموع مواد 1 تا 4 را کسب نکرده است!</t>
  </si>
  <si>
    <t>متقاضي حداقل امتياز لازم را از بند 3-1 كسب نكرده است!</t>
  </si>
  <si>
    <t>متقاضي حداقل امتياز لازم را از بند 3-13 كسب نكرده است!</t>
  </si>
  <si>
    <t>متقاضی حداقل امتیاز لازم از مجموع بند هاي 1 و 8 و 9 و 10 و 12 و 14 ماده 3 را کسب نکرده است!</t>
  </si>
  <si>
    <t>متقاضی شرایط ارتقا را از این ماده دارا می باشد.</t>
  </si>
  <si>
    <t>متقاضی حداقل امتیاز لازم از بند 3-1 و بند 3-13 و مجموع بندهای 1 و 8 و 9 و 10 و 12 و 14 ماده 3 را کسب نکرده است!</t>
  </si>
  <si>
    <t>متقاضی حداقل امتیاز لازم از بند 3-1 و بند 3-13 و همچنین جمع کل بندهای ماده 3 را کسب نکرده است!</t>
  </si>
  <si>
    <t>متقاضي حداقل امتياز لازم را از جمع کل بندهای ماده 3 كسب نكرده است!</t>
  </si>
  <si>
    <t>متقاضی حداقل امتیاز لازم از بند 3-1 و بند 3-13 را کسب نکرده است!</t>
  </si>
  <si>
    <t>متقاضی حداقل امتیاز لازم از بند 3-13 و جمع کل بندهای ماده 3 را کسب نکرده است!</t>
  </si>
  <si>
    <t>متقاضی حداقل امتیاز لازم از بند 3-1 و جمع کل بندهای ماده 3 را کسب نکرده است!</t>
  </si>
  <si>
    <t>متقاضی حداقل امتیاز لازم از مجموع بندهاي 1 و 8 و 9 و 10 و 12 و 14 و همچنین جمع کل بندهای ماده 3 را کسب نکرده است!</t>
  </si>
  <si>
    <t>متقاضی حداقل امتیاز لازم از بند 3-1 و بند 3-13 و مجموع بندهاي 1 و 8 و 9 و 10 و 12 و 14 و همچنین جمع کل بندهای ماده 3 را کسب نکرده است!</t>
  </si>
  <si>
    <t>متقاضی حداقل امتیاز لازم از بند 3-1 و مجموع بندهاي 1 و 8 و 9 و 10 و 12 و 14 و همچنین جمع کل بندهای ماده 3 را کسب نکرده است!</t>
  </si>
  <si>
    <t>متقاضی حداقل امتیاز لازم از بند 3-13 و مجموع بندهاي 1 و 8 و 9 و 10 و 12 و 14 و همچنین جمع کل بندهای ماده 3 را کسب نکرده است!</t>
  </si>
  <si>
    <t>متقاضی حداقل امتیاز لازم از بند 3-1 و مجموع بندهاي 1 و 8 و 9 و 10 و 12 و 14 را کسب نکرده است!</t>
  </si>
  <si>
    <t>متقاضی حداقل امتیاز لازم از بند 3-13 و مجموع بندهاي 1 و 8 و 9 و 10 و 12 و 14 را کسب نکرده است!</t>
  </si>
  <si>
    <t>فرم ج</t>
  </si>
  <si>
    <t>فرم ب</t>
  </si>
  <si>
    <t>حقیقی</t>
  </si>
  <si>
    <t>حقوقی</t>
  </si>
  <si>
    <t>عضو هیات علمی دانشکده</t>
  </si>
  <si>
    <t>از مرتـبـه</t>
  </si>
  <si>
    <t>به مـرتبــه</t>
  </si>
  <si>
    <t>نام و نام خانوادگی</t>
  </si>
  <si>
    <t>سمت</t>
  </si>
  <si>
    <t>مرتبه علمی</t>
  </si>
  <si>
    <t>رشته تخصصی</t>
  </si>
  <si>
    <t>نوع وضعیت</t>
  </si>
  <si>
    <t>می باشد و بنابراین در صورت احراز شرایط مربوط به ماده (( 1 )) آئین نامه ارتقاء از سوی کمیسیون تخصصی موضوع ماده (( 1 )) ، پرونده نامبرده واجد شرایط لازم جهت طرح در کمیسیون تخصصی ذیربط تشخیص داده شد .</t>
  </si>
  <si>
    <t>نمی باشد و بنابراین پرونده نامبرده واجد شرایط لازم جهت طرح در کمیسیون تخصصی ذیربط تشخیص داده نشد.</t>
  </si>
  <si>
    <t xml:space="preserve">  توضیحات لازم در صورت عدم موافقت:</t>
  </si>
  <si>
    <t>تقاضای ذینفع در جلسه مورخ</t>
  </si>
  <si>
    <t>عضو کمیتـه منـتـخـب</t>
  </si>
  <si>
    <t>امتـيــاز مـــاده «2»</t>
  </si>
  <si>
    <t>امتـيــاز مـــاده «3»</t>
  </si>
  <si>
    <t>امتـيــاز مـــاده «4»</t>
  </si>
  <si>
    <t>مجموع مواد یاد شده</t>
  </si>
  <si>
    <t xml:space="preserve">حداقـــل امـتياز لازم از مواد مذكور را براي ارتـقا دارا: </t>
  </si>
  <si>
    <t>ب - 2</t>
  </si>
  <si>
    <t>صورت جلسه کمیته منتخب در خصوص ارتقای دکتــر</t>
  </si>
  <si>
    <t>تاریخ تبــدیل وضــعیت به رســــــمی</t>
  </si>
  <si>
    <t>پــایــه فـــعلـــی:</t>
  </si>
  <si>
    <t>آزمایشی:</t>
  </si>
  <si>
    <t>قطــعی:</t>
  </si>
  <si>
    <t>عضو</t>
  </si>
  <si>
    <t>دکتر علیرضا سهیلی</t>
  </si>
  <si>
    <t>دکتر محمد باقر حبیبی نجفی</t>
  </si>
  <si>
    <t>دکتر ابوالفضل مساعدی</t>
  </si>
  <si>
    <t xml:space="preserve">عضو </t>
  </si>
  <si>
    <t>دبير کميته</t>
  </si>
  <si>
    <t>دبير کميسیون</t>
  </si>
  <si>
    <t>دکتر غلامرضامحمدی</t>
  </si>
  <si>
    <t>دکتر امیر فتوت</t>
  </si>
  <si>
    <t>رئیس</t>
  </si>
  <si>
    <t>دکتر غلامرضا هاشمی تبار</t>
  </si>
  <si>
    <t>توضیحات لازم در صورت عدم موافقت:</t>
  </si>
  <si>
    <r>
      <t>گروه علوم انسانی (ب</t>
    </r>
    <r>
      <rPr>
        <b/>
        <sz val="9"/>
        <color rgb="FF000000"/>
        <rFont val="Franklin Gothic Book"/>
        <family val="2"/>
      </rPr>
      <t>)</t>
    </r>
  </si>
  <si>
    <r>
      <t>گروه علوم انسانی (الف</t>
    </r>
    <r>
      <rPr>
        <b/>
        <sz val="9"/>
        <color rgb="FF000000"/>
        <rFont val="Franklin Gothic Book"/>
        <family val="2"/>
      </rPr>
      <t>)</t>
    </r>
  </si>
  <si>
    <t>عضو کمیسیون تخصصی</t>
  </si>
  <si>
    <t>دبیر کمیسیون تخصصی</t>
  </si>
  <si>
    <t>می باشد و بنابراین پرونده نامبرده واجد شرایط لازم جهت طرح در هیات ممیزه تشخیص داده شد.</t>
  </si>
  <si>
    <t>به مرتبه</t>
  </si>
  <si>
    <t>از مــرتبـه</t>
  </si>
  <si>
    <t>در خصوص ارتقای دکتر</t>
  </si>
  <si>
    <t>شـماره ثبت اوليه در دبیرخانه کمیته منتخب:</t>
  </si>
  <si>
    <t>ب-3</t>
  </si>
  <si>
    <t>مجـمـوع مواد یاد شده</t>
  </si>
  <si>
    <t>امتـيــاز مــــــاده «4»</t>
  </si>
  <si>
    <t>امتـيــاز مــــــاده «3»</t>
  </si>
  <si>
    <t>امتـيــاز مــــــاده «2»</t>
  </si>
  <si>
    <t xml:space="preserve">حداقل امتياز لازم از مواد مذكور را براي ارتقا دارا: </t>
  </si>
  <si>
    <t>استاد</t>
  </si>
  <si>
    <t>فرهنگی</t>
  </si>
  <si>
    <t>تربیتی</t>
  </si>
  <si>
    <t>اجتماعی</t>
  </si>
  <si>
    <t>تلفیقی</t>
  </si>
  <si>
    <t>فرم هاي
ماده 3</t>
  </si>
  <si>
    <r>
      <t xml:space="preserve">اسامی همكاران
</t>
    </r>
    <r>
      <rPr>
        <b/>
        <sz val="8"/>
        <color theme="1"/>
        <rFont val="B Nazanin"/>
        <charset val="178"/>
      </rPr>
      <t>به ترتیب
شامل نام متقاضی</t>
    </r>
  </si>
  <si>
    <t>متقاضی حداقل امتیاز لازم از بند 4-1 و جمع کل بندهای ماده 4 را کسب نکرده است!</t>
  </si>
  <si>
    <t>متقاضي حداقل امتياز لازم را از بند 4-1 كسب نكرده است!</t>
  </si>
  <si>
    <t>متقاضي حداقل امتياز لازم را از جمع کل بندهای ماده 4 كسب نكرده است!</t>
  </si>
  <si>
    <t xml:space="preserve">مــتــقــاضـي ارتـقـاء بـه مـــرتـبـه </t>
  </si>
  <si>
    <t>را براي ارتقاء بـه</t>
  </si>
  <si>
    <t>شــايـستـگـي دکتـــــر</t>
  </si>
  <si>
    <t>كميسیون تـخصـصـي با توجه به مـجموع امتيـاز قابـل قبول از مواد آیین نامه و نيز</t>
  </si>
  <si>
    <t>متقاضی در مرتبــــة</t>
  </si>
  <si>
    <t>مـــاه تــوقــف</t>
  </si>
  <si>
    <t>تـصــويـب نـمــــود.</t>
  </si>
  <si>
    <t>تـصــويـب نـــکــــرد.</t>
  </si>
  <si>
    <t xml:space="preserve">تا تاریخ ثبت پرونده ایشان در دبیرخانه کمــیته منتخـب جمعا </t>
  </si>
  <si>
    <t>استخدام پیمانی متقاضی</t>
  </si>
  <si>
    <r>
      <t>10-4-شرکت در شوراها، کارگروه‌ها، کمیته ها، هیات ها و کمیسون های رسمی</t>
    </r>
    <r>
      <rPr>
        <b/>
        <sz val="10"/>
        <color theme="1"/>
        <rFont val="B Nazanin"/>
        <charset val="178"/>
      </rPr>
      <t xml:space="preserve"> اعم از شورای عالی انقلاب فرهنگی، شورای عتف، معاونت علمی و فناوری ریاست جمهوری، ستاد وزارتین، حوزه علمیه و فرهنگستان‌ها و شرکت در شوراها، کارگروه ها، کمیته ها، هیات ها و کمیسیون های رسمی .......</t>
    </r>
  </si>
  <si>
    <t>طراحي سوال آزمون مقطع ........................... رشته ............................</t>
  </si>
  <si>
    <r>
      <t>15-4-طراحی سوال آزمون های جامع منطقه ای و درون دانشگاهی</t>
    </r>
    <r>
      <rPr>
        <b/>
        <sz val="8"/>
        <color theme="1"/>
        <rFont val="B Nazanin"/>
        <charset val="178"/>
      </rPr>
      <t>(جامع علوم پایه و پیش کاروزی)</t>
    </r>
    <r>
      <rPr>
        <b/>
        <sz val="12"/>
        <color theme="1"/>
        <rFont val="B Nazanin"/>
        <charset val="178"/>
      </rPr>
      <t xml:space="preserve">، </t>
    </r>
    <r>
      <rPr>
        <b/>
        <sz val="9"/>
        <color theme="1"/>
        <rFont val="B Nazanin"/>
        <charset val="178"/>
      </rPr>
      <t>ارتقای دستیاران، امتحان های جامع دکتری تخصصی و نظایر آن</t>
    </r>
  </si>
  <si>
    <r>
      <t xml:space="preserve">نوع آزمون
</t>
    </r>
    <r>
      <rPr>
        <b/>
        <sz val="9"/>
        <color theme="1"/>
        <rFont val="B Nazanin"/>
        <charset val="178"/>
      </rPr>
      <t>(جامع منطقه اي، درون دانشگاهي و ...)</t>
    </r>
  </si>
  <si>
    <t>تاریخ استخدام پیـمانی</t>
  </si>
  <si>
    <t>یا اتمام طرح سربـازی:</t>
  </si>
  <si>
    <t>تـاریخ آخرین تـرفیع:</t>
  </si>
  <si>
    <r>
      <t xml:space="preserve">اسامی همكاران به ترتیب
</t>
    </r>
    <r>
      <rPr>
        <sz val="10"/>
        <color theme="1"/>
        <rFont val="B Nazanin"/>
        <charset val="178"/>
      </rPr>
      <t>شامل نام متقاضی</t>
    </r>
  </si>
  <si>
    <r>
      <t>2-3 و 3-3- مقاله علمی– مروری چاپ شده در نشريه هاي معتبر و مقاله هاي علمي چاپ شده</t>
    </r>
    <r>
      <rPr>
        <b/>
        <sz val="11"/>
        <color theme="1"/>
        <rFont val="B Nazanin"/>
        <charset val="178"/>
      </rPr>
      <t xml:space="preserve"> در نشريات علمي-ترويجي داخلي معتبر </t>
    </r>
    <r>
      <rPr>
        <b/>
        <sz val="12"/>
        <color theme="1"/>
        <rFont val="B Nazanin"/>
        <charset val="178"/>
      </rPr>
      <t xml:space="preserve"> </t>
    </r>
  </si>
  <si>
    <r>
      <t xml:space="preserve">اسامی همکاران به ترتیب
</t>
    </r>
    <r>
      <rPr>
        <sz val="8"/>
        <color theme="1"/>
        <rFont val="B Nazanin"/>
        <charset val="178"/>
      </rPr>
      <t>(شامل نام متقاضی)</t>
    </r>
  </si>
  <si>
    <t>4-2- راهنمایی پروژه کارشناسی در پايان دوره تحصيلي</t>
  </si>
  <si>
    <t xml:space="preserve">13-4-طراحی،تدوین و اجرای برنامه هاي اثربخشی نظام آموزش عالی </t>
  </si>
  <si>
    <t>16-17</t>
  </si>
  <si>
    <t>25-40</t>
  </si>
  <si>
    <t>8-18</t>
  </si>
  <si>
    <t>120-130</t>
  </si>
  <si>
    <t>امضای رئيس</t>
  </si>
  <si>
    <t>و جـمع کـل امتیاز مقالات کــامــل با رعایت سقف بند</t>
  </si>
  <si>
    <t>و جـمع کـل امتیاز خـــلاصـه مقالات با رعایت سقف بند</t>
  </si>
  <si>
    <r>
      <t xml:space="preserve">میزان اعتبار جذب شده
</t>
    </r>
    <r>
      <rPr>
        <b/>
        <sz val="9"/>
        <color theme="1"/>
        <rFont val="B Nazanin"/>
        <charset val="178"/>
      </rPr>
      <t>(ميليون ریال گرنت داخلی یا دلار گرنت خارجی)</t>
    </r>
  </si>
  <si>
    <t>1. امتیاز موضوع این بند برای کتاب تالیفی یا تصنیفی به زبان خارجی که توسط ناشران معتبر بین المللی چاپ شده باشد تا 1/5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</si>
  <si>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r>
      <t xml:space="preserve">تعداد واحد حق التدریس
</t>
    </r>
    <r>
      <rPr>
        <b/>
        <sz val="8"/>
        <color theme="1"/>
        <rFont val="B Nazanin"/>
        <charset val="178"/>
      </rPr>
      <t>(مازاد بر موظف)</t>
    </r>
  </si>
  <si>
    <t xml:space="preserve">      پیشنهاد کمیته منتخب با عنايت به تأييد كـسب حداقل امتيازهاي لازم از ماده«1» آئين‌نامه ارتقا توسط كميسيون تخصصي موضوع ماده«1»، در جلسه مورخ</t>
  </si>
  <si>
    <t>كميسيون تخصصي مطرح و با توجه به</t>
  </si>
  <si>
    <t>استادياري</t>
  </si>
  <si>
    <t>در این قسمت تصویر فرم تکمیل شده ب-2 مربوط به کمیته منتخب توسط كارشناس محترم مربوطه درج می گردد.</t>
  </si>
  <si>
    <t>شناسنامه علمي</t>
  </si>
  <si>
    <t>(فرهنگی- تربيتي- اجتماعي، آموزشی، پژوهشی – فناوري و علمي - اجرایی)</t>
  </si>
  <si>
    <r>
      <t xml:space="preserve">** تذکر:
</t>
    </r>
    <r>
      <rPr>
        <b/>
        <sz val="11"/>
        <color rgb="FFFF0000"/>
        <rFont val="Wingdings"/>
        <charset val="2"/>
      </rPr>
      <t>ü</t>
    </r>
    <r>
      <rPr>
        <b/>
        <sz val="11"/>
        <color rgb="FFFF0000"/>
        <rFont val="B Yagut"/>
        <charset val="178"/>
      </rPr>
      <t xml:space="preserve">         سـامانه موجود تحت نرم افزار Excel2013 می باشد و می بایست با فرمت xlsx ذخیره گردد، در غیر این صورت سامانه دچار اشـکـال شـده، کارآیی خود را از دست داده و یا اطلاعات تخریب خواهد شد.
</t>
    </r>
    <r>
      <rPr>
        <b/>
        <sz val="11"/>
        <color rgb="FFFF0000"/>
        <rFont val="Wingdings"/>
        <charset val="2"/>
      </rPr>
      <t>ü</t>
    </r>
    <r>
      <rPr>
        <b/>
        <sz val="11"/>
        <color rgb="FFFF0000"/>
        <rFont val="B Yagut"/>
        <charset val="178"/>
      </rPr>
      <t xml:space="preserve">         پیشنهاد می شود حتی الامکان اطلاعات فعالیت های مواد چهارگانه آيين نامه ارتقاء در سلول ها تایپ گردد، در صورت نیاز به انتقال اطلاعات از فایل تحت نرم افزار Word، می بایست مقادیر داخل سلول ها انتخاب شده، و از کپی کردن چند سلول همزمان پرهیز شود.
</t>
    </r>
    <r>
      <rPr>
        <b/>
        <sz val="11"/>
        <color rgb="FFFF0000"/>
        <rFont val="Wingdings"/>
        <charset val="2"/>
      </rPr>
      <t>ü</t>
    </r>
    <r>
      <rPr>
        <b/>
        <sz val="11"/>
        <color rgb="FFFF0000"/>
        <rFont val="B Yagut"/>
        <charset val="178"/>
      </rPr>
      <t xml:space="preserve">         از حذف و یا اضافه نمودن سلول، ردیف، ستون و کاربرگ ها جداً خودداری فرمایید.</t>
    </r>
  </si>
  <si>
    <t>پديد آورنده: محمد حميدي</t>
  </si>
  <si>
    <t>7-3- مقاله علمي مستخرج از رساله متقاضي</t>
  </si>
  <si>
    <t>12-3- تصنیف، تالیف، تصحيح انتقادی، ترجمه کتاب و دانشنامه</t>
  </si>
  <si>
    <t>11-3- ایجاد ظرفیت فعال در جذب اعتبار پژوهشی (گرنت) داخلی یا بین المللی</t>
  </si>
  <si>
    <t>13-3- راهنمایی و مشاوره پایان نامه کارشناسی ارشد/دکتری حرفه ای/سطح 3 حوزه یا رساله دکتری تخصصی یا سطح 4 حوزه</t>
  </si>
  <si>
    <t>امتياز قـابل قـبـول بند 1 الي 6  با رعايت سـقـف بنـد</t>
  </si>
  <si>
    <t>امتياز قـابل قـبـول  از بند 7 الي 10 با رعايت سقف بنـد</t>
  </si>
  <si>
    <r>
      <t xml:space="preserve">ماده 3: پژوهشي و فناوري
1-3) مقاله علمی– پژوهشی  منتشر شده در مجلات معتبر داخلي و خارجي (شامل </t>
    </r>
    <r>
      <rPr>
        <sz val="12"/>
        <color theme="1"/>
        <rFont val="Aharoni"/>
        <charset val="177"/>
      </rPr>
      <t>JCR</t>
    </r>
    <r>
      <rPr>
        <sz val="10"/>
        <color theme="1"/>
        <rFont val="B Titr"/>
        <charset val="178"/>
      </rPr>
      <t xml:space="preserve"> )</t>
    </r>
  </si>
  <si>
    <t>8-3-2طراحی سیستم ها، روش ها و خدمات ویژه به منظور حل مشکلات آموزشی، پژوهشی، بهداشتی و درمانی در سطح منطقه با گواهی مراجع ذیصلاح در منطقه آمایشی</t>
  </si>
  <si>
    <t>8-3-9ثبت مالکیت فکری (پتنت) دستاوردهای پژوهشی وفناوری به نام موسسه محل خدمت متقاضی، به شرط این که به فروش رسیده و یا به صورت تحت لیسانی از آن استفاه شده باشد</t>
  </si>
  <si>
    <t>8-3-7اختراع، اکتشاف و تولید محصولات پژوهشی کاربردی ثبت شده در مرجع قانونی داخل کشور با تایید معاونت پژوهش و فناوری ...</t>
  </si>
  <si>
    <t>8-3-8اختراع، اکتشاف و تولید محصولات پژوهشی کاربردی ثبت شده در مرجع بین المللی با تایید معاونت پژوهش و فناوری ...</t>
  </si>
  <si>
    <t>متقاضي 80% حداقل امتياز لازم را از مقاله های با نمایه برتر و با جايگاه نويسنده اصلي كسب نکرده است!</t>
  </si>
  <si>
    <t>متقاضي 80% حداقل امتياز لازم را از اين بند با جايگاه نويسنده اصلي كسب نکرده است!</t>
  </si>
  <si>
    <t>متقاضي ارتقاء به مرتبه</t>
  </si>
  <si>
    <t>16-4-تدوين كتاب، داوري مقاله همايشي، پايان نامه، رساله:</t>
  </si>
  <si>
    <r>
      <t xml:space="preserve">مقالات با نمایه های
</t>
    </r>
    <r>
      <rPr>
        <b/>
        <sz val="10"/>
        <color theme="1"/>
        <rFont val="B Titr"/>
        <charset val="178"/>
      </rPr>
      <t>JCR،WOS،Scopus</t>
    </r>
  </si>
  <si>
    <r>
      <t xml:space="preserve">مقالات با نمایه های
</t>
    </r>
    <r>
      <rPr>
        <b/>
        <sz val="10"/>
        <color theme="1"/>
        <rFont val="B Titr"/>
        <charset val="178"/>
      </rPr>
      <t>JCR و WOS</t>
    </r>
  </si>
  <si>
    <r>
      <t xml:space="preserve">مقالات با 
نمایه های </t>
    </r>
    <r>
      <rPr>
        <b/>
        <sz val="10"/>
        <color theme="1"/>
        <rFont val="B Titr"/>
        <charset val="178"/>
      </rPr>
      <t>JCR</t>
    </r>
  </si>
  <si>
    <t>امـتيـاز مـــــاده 2 آمــوزشــي :</t>
  </si>
  <si>
    <t>1-2-رعایت نظم،انضباط و شئونات آموزشي:</t>
  </si>
  <si>
    <r>
      <t xml:space="preserve">مدت </t>
    </r>
    <r>
      <rPr>
        <b/>
        <sz val="10"/>
        <color theme="1"/>
        <rFont val="B Nazanin"/>
        <charset val="178"/>
      </rPr>
      <t>همكاري</t>
    </r>
    <r>
      <rPr>
        <b/>
        <sz val="11"/>
        <color theme="1"/>
        <rFont val="B Nazanin"/>
        <charset val="178"/>
      </rPr>
      <t xml:space="preserve"> </t>
    </r>
    <r>
      <rPr>
        <b/>
        <sz val="8"/>
        <color theme="1"/>
        <rFont val="B Nazanin"/>
        <charset val="178"/>
      </rPr>
      <t>بر حسب ساعت</t>
    </r>
  </si>
  <si>
    <t>عبدالله رادمرد</t>
  </si>
  <si>
    <t>عليرضا سهيلي</t>
  </si>
  <si>
    <r>
      <rPr>
        <b/>
        <sz val="10"/>
        <color theme="1"/>
        <rFont val="B Nazanin"/>
        <charset val="178"/>
      </rPr>
      <t>تاريخ انتشار</t>
    </r>
    <r>
      <rPr>
        <b/>
        <sz val="11"/>
        <color theme="1"/>
        <rFont val="B Nazanin"/>
        <charset val="178"/>
      </rPr>
      <t xml:space="preserve">
</t>
    </r>
    <r>
      <rPr>
        <b/>
        <sz val="9"/>
        <color theme="1"/>
        <rFont val="B Nazanin"/>
        <charset val="178"/>
      </rPr>
      <t>(ماه-سال)</t>
    </r>
  </si>
  <si>
    <t>امتیاز نشریه:</t>
  </si>
  <si>
    <t>جايگاه متقاضي:</t>
  </si>
  <si>
    <t>همپوشانی:</t>
  </si>
  <si>
    <t>کیفیت مقاله:</t>
  </si>
  <si>
    <t>رئیس کمیته منتخـب</t>
  </si>
  <si>
    <t>کمـیـتـــه</t>
  </si>
  <si>
    <t>منتخب مطرح وبا عنایت به امتیازات اخذشده از مواد ذیل:</t>
  </si>
  <si>
    <r>
      <t xml:space="preserve">سامانه </t>
    </r>
    <r>
      <rPr>
        <b/>
        <sz val="11"/>
        <color rgb="FFFB5F19"/>
        <rFont val="B Nazanin"/>
        <charset val="178"/>
      </rPr>
      <t>سامع</t>
    </r>
    <r>
      <rPr>
        <b/>
        <sz val="11"/>
        <color theme="0"/>
        <rFont val="B Nazanin"/>
        <charset val="178"/>
      </rPr>
      <t xml:space="preserve"> حاصل تلاش وافر و همفکری صاحب نظران و دست اندکاران از جمله اعضای محترم کمیسیون تخصصی گروه مهندسی هیات ممیزه دانشگاه می باشد که به همت دبیرخانه کمیسیون مذکور بر اساس آخرین مصوبات پدید آمده است. خواهشمنداست در صورت بروز هرگونه اشکال در برنامه و همچنین ارائه پیشنهادات با کارشناس کمیسیون ذیربط و یا جناب آقای حمیدی پشتيبان سامانه (38806002) تماس حاصل فرمایید.</t>
    </r>
  </si>
  <si>
    <r>
      <t xml:space="preserve">درصد مقالات
</t>
    </r>
    <r>
      <rPr>
        <sz val="8.5"/>
        <rFont val="B Titr"/>
        <charset val="178"/>
      </rPr>
      <t xml:space="preserve">نویسنده اصلی </t>
    </r>
  </si>
  <si>
    <t>تعداد كل مقالات بالاي صفر كميسيون</t>
  </si>
  <si>
    <t>مقاله با امتياز بالاي صفر مي باشد.</t>
  </si>
  <si>
    <t>مقاله بالاي صفر امتياز :</t>
  </si>
  <si>
    <t>مقاله بالاي يك امتياز :</t>
  </si>
  <si>
    <t xml:space="preserve"> از مجموع تعداد مقاله هاي مشروح در جدول فوق متقاضي داراي</t>
  </si>
  <si>
    <t>کل مقاله ها</t>
  </si>
  <si>
    <r>
      <t xml:space="preserve">تعداد مقاله ها
</t>
    </r>
    <r>
      <rPr>
        <sz val="8.5"/>
        <color theme="1"/>
        <rFont val="B Titr"/>
        <charset val="178"/>
      </rPr>
      <t>نویسنده اصلی (مسئول)</t>
    </r>
  </si>
  <si>
    <r>
      <t xml:space="preserve">امتیاز مقاله ها با عنوان
</t>
    </r>
    <r>
      <rPr>
        <sz val="8.5"/>
        <color theme="1"/>
        <rFont val="B Titr"/>
        <charset val="178"/>
      </rPr>
      <t>نویسنده اصلی (مسئول)</t>
    </r>
  </si>
  <si>
    <t>مي باشد.</t>
  </si>
  <si>
    <r>
      <t xml:space="preserve">از مجموع مقاله هاي مشروح در جدول فـوق با نمـايه علـمي </t>
    </r>
    <r>
      <rPr>
        <b/>
        <sz val="10"/>
        <color theme="1"/>
        <rFont val="B Titr"/>
        <charset val="178"/>
      </rPr>
      <t>JCR</t>
    </r>
    <r>
      <rPr>
        <sz val="10"/>
        <color theme="1"/>
        <rFont val="B Titr"/>
        <charset val="178"/>
      </rPr>
      <t xml:space="preserve"> به تعداد</t>
    </r>
  </si>
  <si>
    <t>مـقـاله، متقـاضي داراي</t>
  </si>
  <si>
    <t>مقـالـه بـالاي يـك امتـياز با مجموع امتـياز</t>
  </si>
  <si>
    <t>مـي باشد كـه تعداد</t>
  </si>
  <si>
    <t xml:space="preserve">( مسـئول ) است و سهـم امتيـاز آن جمعـا معـادل </t>
  </si>
  <si>
    <t>تعداد كل مقالات بالاي يك و JCR كميسيون</t>
  </si>
  <si>
    <t>مجموع بالاي يك و JCR كميسيون</t>
  </si>
  <si>
    <t>تعداد مقالات بالاي يك و JCR و نفر اول كميسيون</t>
  </si>
  <si>
    <t>مجموع مقالات بالاي يك و JCR و نفر اول كميسيون</t>
  </si>
  <si>
    <t>احمد نظامي</t>
  </si>
  <si>
    <t>امضا دبير كميته منتخب</t>
  </si>
  <si>
    <t>رضا توكل افشاري</t>
  </si>
  <si>
    <t>تربیت بدنی و علوم ورزشی</t>
  </si>
  <si>
    <t>محمود شريعتي</t>
  </si>
  <si>
    <t>عباس قائمي بافقي</t>
  </si>
  <si>
    <t>16-4-ب)داوری مقاله همایش ها، پایان نامه کارشناسی ارشد،رساله دکتری</t>
  </si>
  <si>
    <t>16-4-الف) تدوین کتاب به شیوه گردآوری
16-4-ب) ارزیابی یا داوری مقالات همایش ها،پایان نامه کارشناسی ارشد، رساله دکتری(اثر مثبت، غير وتويي)</t>
  </si>
  <si>
    <r>
      <t>16-3-داوری و نظارت بر فعالیت پژوهشی</t>
    </r>
    <r>
      <rPr>
        <b/>
        <sz val="10"/>
        <color theme="1"/>
        <rFont val="B Nazanin"/>
        <charset val="178"/>
      </rPr>
      <t>(داوري مقاله علمي-پژوهشي و آثار بديع و ارزنده هنري، كتاب، طرح پژوهشي يا فناوري، ويراستاري علمي، اختراع)</t>
    </r>
  </si>
  <si>
    <r>
      <t xml:space="preserve">مقالات با نمایه های
</t>
    </r>
    <r>
      <rPr>
        <b/>
        <sz val="10"/>
        <color theme="1"/>
        <rFont val="Arial"/>
        <family val="2"/>
      </rPr>
      <t>Q1 &amp; Q2</t>
    </r>
  </si>
  <si>
    <r>
      <t xml:space="preserve">مقالات با نمایه های
</t>
    </r>
    <r>
      <rPr>
        <b/>
        <sz val="10"/>
        <color theme="1"/>
        <rFont val="Arial"/>
        <family val="2"/>
      </rPr>
      <t>Q1 &amp; Q2 &amp; Q3</t>
    </r>
  </si>
  <si>
    <t>رضا پيش قدم</t>
  </si>
  <si>
    <t>حميدرضا طاهري تربتي</t>
  </si>
  <si>
    <t>بند 3-1-مقاله علمی– پژوهشی(Scopus, JCR و ساير نمايه هاي معتبر) منتشر شده در مجلات معتبر داخلي و خارجي</t>
  </si>
  <si>
    <t>سـال و</t>
  </si>
  <si>
    <t>مـــاه</t>
  </si>
  <si>
    <t>ميانگين سالانه امتياز مقاله هاي علمي پژوهشي</t>
  </si>
  <si>
    <t>ميانگين امتياز هر مقاله علمي پژوهشي</t>
  </si>
  <si>
    <t>رئیـس کمیسیون تخـصـصـی</t>
  </si>
  <si>
    <t>مقـاله آن با جايـگاه نويسنده اصلي</t>
  </si>
  <si>
    <t>مقاله زير يك امتياز :</t>
  </si>
  <si>
    <t>مقاله با امتياز كمتر از يك مي باشد.</t>
  </si>
  <si>
    <t>تعداد كل مقالات زير يك امتيازكميسيون</t>
  </si>
  <si>
    <t>هیات ممیزه دانشـگاه</t>
  </si>
  <si>
    <t>حميدرضا پوررضا</t>
  </si>
  <si>
    <t>مهران كدخدايان</t>
  </si>
  <si>
    <t>دانشكده علوم ورزشي</t>
  </si>
  <si>
    <t>شهرام عباسي</t>
  </si>
  <si>
    <t>كاظم خشيارمنش</t>
  </si>
  <si>
    <t>اگروتكنولوژي</t>
  </si>
  <si>
    <t>مهدي حسن زاده</t>
  </si>
  <si>
    <t>حسين كارشكي</t>
  </si>
  <si>
    <t>علي مشهدي</t>
  </si>
  <si>
    <t>دکتر محمدتقی ایمانپور</t>
  </si>
  <si>
    <t>دکتر ایمان الله بیگدلی</t>
  </si>
  <si>
    <t>دکتر علی مشهدی</t>
  </si>
  <si>
    <t>دکتر محسن نوغانی</t>
  </si>
  <si>
    <t>دکتر محمدعلی فلاحی</t>
  </si>
  <si>
    <t>دکتر محمدکشتی دار</t>
  </si>
  <si>
    <t>دکتر علیرضا صابری</t>
  </si>
  <si>
    <t>دکترعبدالرضا جوان جعفری</t>
  </si>
  <si>
    <t>دکتر محمدحسن حائری</t>
  </si>
  <si>
    <t>دکتر محمدتقی قبولی درافشان</t>
  </si>
  <si>
    <t>دبير كميسيون</t>
  </si>
  <si>
    <t xml:space="preserve">دکتر شهرام عباسی </t>
  </si>
  <si>
    <r>
      <t>دکتر محمدحسن انتظاری</t>
    </r>
    <r>
      <rPr>
        <b/>
        <sz val="14"/>
        <color rgb="FF000000"/>
        <rFont val="B Zar"/>
        <charset val="178"/>
      </rPr>
      <t xml:space="preserve"> </t>
    </r>
  </si>
  <si>
    <t xml:space="preserve">دکتر علی مقیمی </t>
  </si>
  <si>
    <t>دکتر مصطفی رزمخواه</t>
  </si>
  <si>
    <t>دکترکاظم خشیارمنش</t>
  </si>
  <si>
    <t>دکتر حسین عشقي</t>
  </si>
  <si>
    <t>دکترجواد ساده</t>
  </si>
  <si>
    <r>
      <t> </t>
    </r>
    <r>
      <rPr>
        <b/>
        <sz val="14"/>
        <color rgb="FF000000"/>
        <rFont val="B Titr"/>
        <charset val="178"/>
      </rPr>
      <t>دکترمحمدهادی موید</t>
    </r>
  </si>
  <si>
    <t>دکتر مهران کدخدایان</t>
  </si>
  <si>
    <r>
      <t>دکتر</t>
    </r>
    <r>
      <rPr>
        <b/>
        <sz val="14"/>
        <color rgb="FF000000"/>
        <rFont val="B Zar"/>
        <charset val="178"/>
      </rPr>
      <t xml:space="preserve"> حمیدرضا پوررضا</t>
    </r>
  </si>
  <si>
    <t xml:space="preserve">دکتر رضا توکل افشاری </t>
  </si>
  <si>
    <t>دکتر احمدنظامی</t>
  </si>
  <si>
    <t>دکتر محمدتقی دستورانی</t>
  </si>
  <si>
    <t>دکترناصر شاه نوشی</t>
  </si>
  <si>
    <r>
      <t> </t>
    </r>
    <r>
      <rPr>
        <b/>
        <sz val="14"/>
        <color rgb="FF000000"/>
        <rFont val="B Titr"/>
        <charset val="178"/>
      </rPr>
      <t>دکتر سعید ملک زاده</t>
    </r>
  </si>
  <si>
    <t>دکتر محمدمحسن زاده</t>
  </si>
  <si>
    <t>دکتر حسن برجی</t>
  </si>
  <si>
    <t>دکتر عباس پرهام</t>
  </si>
  <si>
    <t>8-3- تولید دانش فنی/ اختراع/ اکتشاف منجر به تجاری‌سازی محصول:</t>
  </si>
  <si>
    <t>1-3-ج- سـاير مقــالــه هــاي علمــی-پــژوهشـی‌:</t>
  </si>
  <si>
    <r>
      <t xml:space="preserve">1-9-3- گـزارش عـلمـی طـرح پژوهشی و فناوری در </t>
    </r>
    <r>
      <rPr>
        <b/>
        <sz val="10"/>
        <color theme="1"/>
        <rFont val="B Mitra"/>
        <charset val="178"/>
      </rPr>
      <t>داخـل موسسه:</t>
    </r>
  </si>
  <si>
    <t>10-3- اثــر بـــديع و ارزنـــده هنــــــري:</t>
  </si>
  <si>
    <t>3-4- طـراحی و راه انـدازی آزمایشگاه یا کارگاه فنـی و ... :</t>
  </si>
  <si>
    <t>5-4- ســر دبـيـري و عـضويـت در هيـات تـحـريـريـه:</t>
  </si>
  <si>
    <t>8-4- دبيري همايش علمـي در سطح ملي، منطقه اي و ... :</t>
  </si>
  <si>
    <t>9-4- ايـفـــاي مسئـوليـت در قــواي سـه گـانـه و ... :</t>
  </si>
  <si>
    <t>1-4- حضـور فعال و تمـام وقت در مؤسسه و مشاركت ... :</t>
  </si>
  <si>
    <r>
      <t xml:space="preserve">2-9-3-ب- مـبـلـغ طـرح هـاي </t>
    </r>
    <r>
      <rPr>
        <b/>
        <sz val="10"/>
        <color theme="1"/>
        <rFont val="B Mitra"/>
        <charset val="178"/>
      </rPr>
      <t>بـرون دانـشگـاهـي (ميـليـون تـومـان):</t>
    </r>
  </si>
  <si>
    <t>امـتياز ماده 1 فرهنگي، تربيتي و اجتماعي :</t>
  </si>
  <si>
    <t>امتـيـاز مـاده 3 پـژوهـش و فنــاوري :</t>
  </si>
  <si>
    <t>امـتـيـاز مـاده 4 عـلمـي - اجـرايي :</t>
  </si>
  <si>
    <t>3-2- کــــــــمـیــت تـــــدریــس :</t>
  </si>
  <si>
    <t>12-3- تـصــنـيـف و تــــالـيـف كـتــــاب:</t>
  </si>
  <si>
    <r>
      <t>1-13-3- راهنـمـايـي پـايـان نـامـه ارشـــد</t>
    </r>
    <r>
      <rPr>
        <b/>
        <sz val="10"/>
        <color theme="1"/>
        <rFont val="B Mitra"/>
        <charset val="178"/>
      </rPr>
      <t>:</t>
    </r>
  </si>
  <si>
    <r>
      <t>2-13-3- راهـنمـايـي رســـالــه دكـتـــري</t>
    </r>
    <r>
      <rPr>
        <b/>
        <sz val="10"/>
        <color theme="1"/>
        <rFont val="B Mitra"/>
        <charset val="178"/>
      </rPr>
      <t>:</t>
    </r>
  </si>
  <si>
    <t>14-3- كـرسـي هــاي نـظـريــه پـــردازي:</t>
  </si>
  <si>
    <t xml:space="preserve">  16-3- داوري و نظارت بر فعاليت هاي پژوهشي (مقاله، طرح ...):</t>
  </si>
  <si>
    <t xml:space="preserve"> از مجموع تعداد مقاله هاي آورده شده در جدول فوق، متقاضي داراي</t>
  </si>
  <si>
    <t>2-2- کــــــیـفـیــت تـــــدریـــس :</t>
  </si>
  <si>
    <t>مــدت خــدمت :</t>
  </si>
  <si>
    <t>مدت ماندگاري در مرتبه فعلي :</t>
  </si>
  <si>
    <t>H-index (Scopus) :</t>
  </si>
  <si>
    <t>Citation no. :</t>
  </si>
  <si>
    <r>
      <t xml:space="preserve">2-9-3-الف-گزارش علمی طرح پژوهشی و فناوری </t>
    </r>
    <r>
      <rPr>
        <b/>
        <sz val="10"/>
        <color theme="1"/>
        <rFont val="B Mitra"/>
        <charset val="178"/>
      </rPr>
      <t>خارج موسسه (برون دانشگاهي):</t>
    </r>
  </si>
  <si>
    <t>17-3- تعداد سخنراني كليدي در همـايـش هـا:</t>
  </si>
  <si>
    <t>جــمـع كــل امتياز مـواد چـهارگـــانه:</t>
  </si>
  <si>
    <t>محمد تقي دستوراني</t>
  </si>
  <si>
    <t>محمد فرزام</t>
  </si>
  <si>
    <t>دکتر حمیدرضا ابراهیمی وشكي</t>
  </si>
  <si>
    <t>خلاصه جدول امتيازات مواد چهارگانه</t>
  </si>
  <si>
    <t>محمد رضا عباس زاده</t>
  </si>
  <si>
    <t>1-3- مقاله علمی-پژوهشی‌چاپ شده درمجلات‌ علمي پژوهشي معتبر</t>
  </si>
  <si>
    <t>1-3-ب- مقاله هاي علمـی-پژوهشی‌ با نمايه برتر (Scopus):</t>
  </si>
  <si>
    <t>1-3- الف- مقـاله هاي علمـی-پـژوهشی‌ با نمايه برتر (JCR):</t>
  </si>
  <si>
    <r>
      <t xml:space="preserve">1-3-د- </t>
    </r>
    <r>
      <rPr>
        <b/>
        <sz val="10"/>
        <color theme="1"/>
        <rFont val="B Mitra"/>
        <charset val="178"/>
      </rPr>
      <t>تعداد</t>
    </r>
    <r>
      <rPr>
        <b/>
        <sz val="9"/>
        <color theme="1"/>
        <rFont val="B Mitra"/>
        <charset val="178"/>
      </rPr>
      <t xml:space="preserve"> مقـالــه ژورنـالـي مشترك با خــارج از كشور:</t>
    </r>
  </si>
  <si>
    <r>
      <t xml:space="preserve">5-3- </t>
    </r>
    <r>
      <rPr>
        <b/>
        <sz val="10"/>
        <color theme="1"/>
        <rFont val="B Mitra"/>
        <charset val="178"/>
      </rPr>
      <t>تعداد</t>
    </r>
    <r>
      <rPr>
        <b/>
        <sz val="9"/>
        <color theme="1"/>
        <rFont val="B Mitra"/>
        <charset val="178"/>
      </rPr>
      <t xml:space="preserve"> مقاله ارئه شده با حضور در همايش خارج از كشور:</t>
    </r>
  </si>
  <si>
    <r>
      <t xml:space="preserve">15-3- </t>
    </r>
    <r>
      <rPr>
        <b/>
        <sz val="10"/>
        <color theme="1"/>
        <rFont val="B Mitra"/>
        <charset val="178"/>
      </rPr>
      <t>تعداد</t>
    </r>
    <r>
      <rPr>
        <b/>
        <sz val="9"/>
        <color theme="1"/>
        <rFont val="B Mitra"/>
        <charset val="178"/>
      </rPr>
      <t xml:space="preserve"> جوائز ملـي/ بـين المـللي اخذ شده:</t>
    </r>
  </si>
  <si>
    <t>دکتر محسن خليلي</t>
  </si>
  <si>
    <t>غلامرضا محمدی</t>
  </si>
  <si>
    <t>فرزاد دهقانیان</t>
  </si>
  <si>
    <t>ابوالفضل باباخانی</t>
  </si>
  <si>
    <t>صورت جلسه کمیته فرهنگی در خصوص ارتقای دکتــر</t>
  </si>
  <si>
    <t>ب-1-1</t>
  </si>
  <si>
    <t>رئیس کمیته فرهنگی</t>
  </si>
  <si>
    <t xml:space="preserve">نمي‌باشد و بنابراين پرونده نامبرده واجد شرايط لازم جهت طرح در هيات مميزه تشخيص داده نشد. </t>
  </si>
  <si>
    <t xml:space="preserve">مي‌باشد و بنابراين در صورت احراز ساير شرايط مربوط به ماده «1» آئين نامه ارتقا از سوي كميسيون تخصصي موضوع ماده یک، پرونده نامبرده  واجد شرايط لازم جهت طرح در هيات مميزه تشخيص داده شد. </t>
  </si>
  <si>
    <t>دبیر کمیته فرهنگی</t>
  </si>
  <si>
    <t>عضو کمیته فرهنگی</t>
  </si>
  <si>
    <t>شماره ثبت اوليه در دبیرخانه کمیسیون فرهنگی:</t>
  </si>
  <si>
    <t>شماره ثبت مجدد در دبیرخانه کمیسیون فرهنگی:</t>
  </si>
  <si>
    <t>شماره ثبت اوليه در دبیرخانه کمیته فرهنگی :</t>
  </si>
  <si>
    <t>شماره ثبت مجدد در دبیرخانه کمیته فرهنگی :</t>
  </si>
  <si>
    <t xml:space="preserve">مي‌باشد و بنابراين در صورت احراز ساير شرايط مربوط به مواد «2»، «3» و «4» آئين نامه ارتقا از سوي كميسيون تخصصي ذي‌ربط، پرونده نامبرده واجد شرايط لازم جهت طرح در هيات مميزه تشخيص داده شد. </t>
  </si>
  <si>
    <t>ب-1</t>
  </si>
  <si>
    <t>صورتجلسه کمیسیون فرهنگی در خصوص ارتقای دکتر</t>
  </si>
  <si>
    <t>فرهـنگی موضـوع ماده ( 1 ) مطرح و با عنایت به اخــذ امتیاز ذیل از ماده یاد شده؛</t>
  </si>
  <si>
    <t>دبیر کمیسیون فرهنگی</t>
  </si>
  <si>
    <t>عضو کمیسیون فرهنگی</t>
  </si>
  <si>
    <t>دکتر محمد کافی</t>
  </si>
  <si>
    <t>زراعت و اصلاح نباتات</t>
  </si>
  <si>
    <t>حجت الاسلام و مسلمین سید مهدی حسینی مطلق</t>
  </si>
  <si>
    <t>رئیس دفتر نهاد نمایندگی مقام معظم رهبری</t>
  </si>
  <si>
    <t>رئیس دانشگاه</t>
  </si>
  <si>
    <t>دکتر رضا پیش قدم</t>
  </si>
  <si>
    <t>دکتر منصور معتمدی</t>
  </si>
  <si>
    <t>نماینده هیات اجرایی جذب</t>
  </si>
  <si>
    <t>ادیان و عرفان تحقیقی</t>
  </si>
  <si>
    <t>دکتر حمیدرضا طاهری</t>
  </si>
  <si>
    <t>معاون فرهنگی-اجتماعی</t>
  </si>
  <si>
    <t xml:space="preserve">حـــداقـــل امتياز لازم از مـــواد مــذكــور را براي ارتقــــا دارا: </t>
  </si>
  <si>
    <t>کمیـسیون تـخصصــی مــوضوع مــاده ( 1 ) مطرح و با عنایت به اخــــذ امتیاز ذیل از ماده یاد شده؛</t>
  </si>
  <si>
    <t>کمیته منتخب فرهنگی</t>
  </si>
  <si>
    <t>1-3</t>
  </si>
  <si>
    <t>2-1</t>
  </si>
  <si>
    <t>5-1</t>
  </si>
  <si>
    <t>9-1</t>
  </si>
  <si>
    <t xml:space="preserve">اثر بدیع و ارزنده هنری منتشر شده </t>
  </si>
  <si>
    <t>تالیف کتاب با مضامین فرهنگی تربیتی و اجتماعی و با ناشر معتبر فرهنگی</t>
  </si>
  <si>
    <t>مقاله علمی پژوهشی با مضامین فرهنگی تربیتی و اجتماعی و رویکرد اسلامی</t>
  </si>
  <si>
    <t>چکیده مقاله ارائه شده به همایش‌های معتبر</t>
  </si>
  <si>
    <t>متن کامل مقاله ارائه شده به همایش‌های معتبر</t>
  </si>
  <si>
    <t>مقاله فرهنگی، تربیتی، اجتماعی با رویکرد اسلامی در جراید کثیر الانتشار</t>
  </si>
  <si>
    <t>کمیسیون تخصصي ماده 1</t>
  </si>
  <si>
    <t>این فعالیت در این بند امتیاز نمی گیرد</t>
  </si>
  <si>
    <t>سطح فعالیت</t>
  </si>
  <si>
    <t>همکاری مؤثر در راستای اجرایی شدن مصوبات سند دانشگاه اسلامی</t>
  </si>
  <si>
    <t>دانشگاهی</t>
  </si>
  <si>
    <t>تهیه و تدوین پیوست فرهنگی فعالیت های مؤثر در امور فرهنگی</t>
  </si>
  <si>
    <r>
      <t xml:space="preserve">میزان فعالیت </t>
    </r>
    <r>
      <rPr>
        <b/>
        <sz val="9"/>
        <color theme="1"/>
        <rFont val="B Nazanin"/>
        <charset val="178"/>
      </rPr>
      <t>(ساعت)</t>
    </r>
  </si>
  <si>
    <t>همکاری مؤثر در توسعه و ترویج فرهنگ و تمدن اسلامی</t>
  </si>
  <si>
    <t>مشارکت در جلسات اتاق فکر</t>
  </si>
  <si>
    <t>مسئولیت در جشنواره‌ فرهنگی،تربیتی و اجتماعی</t>
  </si>
  <si>
    <t>همکاری در راه اندازی نشریه فرهنگی تربیتی و اجتماعی</t>
  </si>
  <si>
    <t>ارائه مشاوره به تشکل های اسلامی استادی و دانشجویی، بسیج</t>
  </si>
  <si>
    <t xml:space="preserve">همکاری موثر با معاونت فرهنگی، دفتر نهاد، دفتر هم اندیشی اساتید و ... </t>
  </si>
  <si>
    <t>عضویت در سازمان‌های مردم نهاد مصوب و رسمی داخل و خارج دانشگاه</t>
  </si>
  <si>
    <t>مشارکت و همکاری در اجرای برنامه‌های شبکه‌های صدا و سیما</t>
  </si>
  <si>
    <r>
      <t>همکاری موثر با تشکل های اسلامی،کانون‌ فرهنگی</t>
    </r>
    <r>
      <rPr>
        <b/>
        <sz val="9"/>
        <color theme="1"/>
        <rFont val="Times New Roman"/>
        <family val="1"/>
      </rPr>
      <t>–</t>
    </r>
    <r>
      <rPr>
        <b/>
        <sz val="9"/>
        <color theme="1"/>
        <rFont val="B Nazanin"/>
        <charset val="178"/>
      </rPr>
      <t xml:space="preserve">هنری،انجمن‌ علمی و سایر تشکل‌های قانونمند دانشجویی و هیئت‌های مذهبی </t>
    </r>
  </si>
  <si>
    <t>جـمـع کـل امتیاز مکتــــسبه از اين بند</t>
  </si>
  <si>
    <t>و امتياز قـابل قبول با رعايت سقف بـند</t>
  </si>
  <si>
    <t xml:space="preserve">ارائه طرح های خلاقانه و یا مشارکت در برنامه ریزی و تدوین فعالیت های فرهنگی اجتماعی دانشگاه </t>
  </si>
  <si>
    <t xml:space="preserve">نقش موثر در تاسیس و فعال سازی تشکل های مردم نهاد فرهنگی اجتماعی برای دانشگاهیان </t>
  </si>
  <si>
    <t>عضویت در کمیته های اخلاق، انضباطی، انتظامی و کارگروهای مشورتی فرهنگی اجتماعی دانشگاه و برون دانشگاه</t>
  </si>
  <si>
    <t xml:space="preserve">مشارکت فعالانه در جلسات هم اندیشی تشکل‏های قانونی </t>
  </si>
  <si>
    <r>
      <t>شرکت در دوره‌ها و کارگاه‌های آموزشی با مضامین علمی، آموزشی فرهنگی و دینی و تربیتی</t>
    </r>
    <r>
      <rPr>
        <b/>
        <sz val="9"/>
        <color theme="1"/>
        <rFont val="B Titr"/>
        <charset val="178"/>
      </rPr>
      <t xml:space="preserve"> (بجز طرح ضیافت)</t>
    </r>
  </si>
  <si>
    <t xml:space="preserve">ایراد سخنرانی و تدریس موضوعات فرهنگی و اجتماعی در کارگاه و کلاس </t>
  </si>
  <si>
    <r>
      <t>فعالیت در برگزاری کارگاه‌ها و دوره‌های توانمندسازی و معرفت افزایی</t>
    </r>
    <r>
      <rPr>
        <b/>
        <sz val="9"/>
        <color theme="1"/>
        <rFont val="B Nazanin"/>
        <charset val="178"/>
      </rPr>
      <t xml:space="preserve"> (طرح ضیافت)</t>
    </r>
  </si>
  <si>
    <t xml:space="preserve">همکاری اجرایی با نهادهای خیریه و عام المنفعه دانشگاه </t>
  </si>
  <si>
    <t xml:space="preserve">ارائه خدمات مشاوره علمی آموزشی تربیتی و ورزشی به دانشجویان شاهد و ایثارگر </t>
  </si>
  <si>
    <t>سایر  فعالیت های مرتبط (ارائه خدمات مشاوره ای علمی، فرهنگی– تربیتی– اجتماعی و آموزشی به دانشجویان و طلاب – حضور مستمر و تأثیر گذار در مراکز دانشجویی اعم از کانون ها، مساجد، خوابگاه ها و...)</t>
  </si>
  <si>
    <t>حضور فعال در  اردوها و سرپرستی و مربی گری تیم‌ها و انجمن‎های ورزشی با تأیید کمیسیون</t>
  </si>
  <si>
    <t>حضور موثر فرهنگی در خوابگاه‌های دانشجویی، مساجد، کانون‌ها و …</t>
  </si>
  <si>
    <t>رتبه 2 مسابقات و جشنواره های فرهنگی، ورزشی، قرآن، نهج البلاغه، معارف دینی درون دانشگاهی</t>
  </si>
  <si>
    <t>رتبه 3 مسابقات و جشنواره های فرهنگی، ورزشی، قرآن، نهج البلاغه، معارف دینی درون دانشگاهی</t>
  </si>
  <si>
    <t>رتبه 1 مسابقات و جشنواره های فرهنگی، ورزشی، قرآن، نهج البلاغه، معارف دینی درون دانشگاهی</t>
  </si>
  <si>
    <t>رتبه 1 مسابقات و جشنواره‎های استانی</t>
  </si>
  <si>
    <t>رتبه 2 مسابقات و جشنواره‎های استانی</t>
  </si>
  <si>
    <t>رتبه 3 مسابقات و جشنواره‎های استانی</t>
  </si>
  <si>
    <t>رتبه 1 مسابقات و جشنواره‎های منطقه ای</t>
  </si>
  <si>
    <t>رتبه 2 مسابقات و جشنواره‎های منطقه ای</t>
  </si>
  <si>
    <t>رتبه 3 مسابقات و جشنواره‎های منطقه ای</t>
  </si>
  <si>
    <t>رتبه 1 مسابقات و جشنواره‎های ملی</t>
  </si>
  <si>
    <t>رتبه 2 مسابقات و جشنواره‎های ملی</t>
  </si>
  <si>
    <t>رتبه 3 مسابقات و جشنواره‎های ملی</t>
  </si>
  <si>
    <t>رتبه 1 مسابقات و جشنواره‎های بین المللی</t>
  </si>
  <si>
    <t>رتبه 2 مسابقات و جشنواره‎های بین المللی</t>
  </si>
  <si>
    <t>رتبه 3 مسابقات و جشنواره‎های بین المللی</t>
  </si>
  <si>
    <t>و امتـياز قـابل قبول با رعايت سـقـف بند</t>
  </si>
  <si>
    <r>
      <t>طراحی و مشارکت در برگزاری کرسی</t>
    </r>
    <r>
      <rPr>
        <b/>
        <sz val="9"/>
        <color theme="1"/>
        <rFont val="Calibri"/>
        <family val="2"/>
        <scheme val="minor"/>
      </rPr>
      <t>‎</t>
    </r>
    <r>
      <rPr>
        <b/>
        <sz val="9"/>
        <color theme="1"/>
        <rFont val="B Nazanin"/>
        <charset val="178"/>
      </rPr>
      <t>ها</t>
    </r>
  </si>
  <si>
    <t>داوری در کرسی‌های نظریه پردازی، نقد و نظر و آزاد اندیشی</t>
  </si>
  <si>
    <t>ارائه کرسی آزاد اندیشی</t>
  </si>
  <si>
    <t>تدریس در کارگاه‌/دوره‌توانمند سازی و معرفت افزایی اعضای هیات علمی</t>
  </si>
  <si>
    <t>شرکت در دوره ضیافت اندیشه</t>
  </si>
  <si>
    <t>و امتـياز قـابل قبـول با رعـايت سـقف بـند</t>
  </si>
  <si>
    <t>احمد آفتابی ثانی</t>
  </si>
  <si>
    <t xml:space="preserve">محمدرضا عباس زاده </t>
  </si>
  <si>
    <t>سید محمد مهدی قبولی</t>
  </si>
  <si>
    <t xml:space="preserve"> مرتضی منشادی</t>
  </si>
  <si>
    <t>محمدعلی باقرپور</t>
  </si>
  <si>
    <t>مهدی حسن زاده</t>
  </si>
  <si>
    <t>عباس علی سلطانی</t>
  </si>
  <si>
    <t>اکبر احمدپور</t>
  </si>
  <si>
    <t>منصور معتمدی</t>
  </si>
  <si>
    <t>عباس پرهام</t>
  </si>
  <si>
    <t>غلامرضا هاشمی تبار</t>
  </si>
  <si>
    <t xml:space="preserve"> محمدایزدیار</t>
  </si>
  <si>
    <t xml:space="preserve">راضیه جلال </t>
  </si>
  <si>
    <t>حسین محمدزاده</t>
  </si>
  <si>
    <t xml:space="preserve">کوروش جاویدان </t>
  </si>
  <si>
    <t>مرتضی گچ پزان</t>
  </si>
  <si>
    <t>احمد عرفانیان</t>
  </si>
  <si>
    <t>سهراب عفتی</t>
  </si>
  <si>
    <t>عبدالحمید رضائی رکن آبادی</t>
  </si>
  <si>
    <t xml:space="preserve">رضا توکل افشاری </t>
  </si>
  <si>
    <t>سعید خداشناس</t>
  </si>
  <si>
    <t>فرج الله شهریاری</t>
  </si>
  <si>
    <t>مهدی پارسا</t>
  </si>
  <si>
    <t>علی گلکاریان</t>
  </si>
  <si>
    <t>کمال الدین ناصری</t>
  </si>
  <si>
    <t>عادل سپهر</t>
  </si>
  <si>
    <t>سید هادی زرقانی</t>
  </si>
  <si>
    <t>محمد جواد مهدوی</t>
  </si>
  <si>
    <t>حسین ناظری</t>
  </si>
  <si>
    <t xml:space="preserve"> مریم قاسمی</t>
  </si>
  <si>
    <t>حسن بهزادی</t>
  </si>
  <si>
    <t>علی مشهدی</t>
  </si>
  <si>
    <t>محمد سعید عبدخدایی</t>
  </si>
  <si>
    <t>ابوالفضل غفاری</t>
  </si>
  <si>
    <t>حسین معروفی</t>
  </si>
  <si>
    <t>اکرم حسینی</t>
  </si>
  <si>
    <t>علی اکبر اکبری</t>
  </si>
  <si>
    <t>محمد علی فنائی شیخ الاسلامی</t>
  </si>
  <si>
    <t>متقاضي حداقل امتياز لازم را از ماده 1 كسب نكرده است!</t>
  </si>
  <si>
    <t>در این قسمت تصویر فرم تکمیل شده ب-1 مربوط به کمیسیون تخصصی موضوع ماده 1 توسط كارشناس محترم مربوطه درج می گردد.</t>
  </si>
  <si>
    <t>در این قسمت تصویر صورتجلسه امضا شده کمیته منتخب فرهنگی دانشکده كارشناس محترم مربوطه درج می گردد.</t>
  </si>
  <si>
    <t>مقالات علمی ترویجی و تخصصی با مضامین فرهنگی تربیتی و رویکرد اسلامی</t>
  </si>
  <si>
    <t>مکتسبه</t>
  </si>
  <si>
    <t>فعالیت مورد تایید نیست</t>
  </si>
  <si>
    <t>تعداد نویسنده</t>
  </si>
  <si>
    <r>
      <rPr>
        <b/>
        <sz val="10"/>
        <color theme="1"/>
        <rFont val="B Nazanin"/>
        <charset val="178"/>
      </rPr>
      <t>تاریخ انتشار</t>
    </r>
    <r>
      <rPr>
        <b/>
        <sz val="11"/>
        <color theme="1"/>
        <rFont val="B Nazanin"/>
        <charset val="178"/>
      </rPr>
      <t xml:space="preserve">
 </t>
    </r>
    <r>
      <rPr>
        <b/>
        <sz val="8"/>
        <color theme="1"/>
        <rFont val="B Nazanin"/>
        <charset val="178"/>
      </rPr>
      <t>(ماه – سال) 
و یا گواهی پذیرش چاپ</t>
    </r>
  </si>
  <si>
    <r>
      <t xml:space="preserve">اسامی همکاران 
به ترتیب
</t>
    </r>
    <r>
      <rPr>
        <b/>
        <sz val="8"/>
        <color theme="1"/>
        <rFont val="B Nazanin"/>
        <charset val="178"/>
      </rPr>
      <t>(شامل نام متقاضی)</t>
    </r>
  </si>
  <si>
    <t>فعالیت مورد تایید است</t>
  </si>
  <si>
    <r>
      <t xml:space="preserve">عنوان اثر
</t>
    </r>
    <r>
      <rPr>
        <b/>
        <sz val="9"/>
        <color theme="1"/>
        <rFont val="B Nazanin"/>
        <charset val="178"/>
      </rPr>
      <t xml:space="preserve">(کتاب، مقاله و اثر بدیع و ارزنده هنری) </t>
    </r>
  </si>
  <si>
    <t>تعداد صفحات</t>
  </si>
  <si>
    <t>ترجمه مقاله با مضامین فرهنگی تربیتی و اجتماعی و با ناشر معتبر فرهنگی</t>
  </si>
  <si>
    <t>ترجمه کتاب با مضامین فرهنگی تربیتی و اجتماعی و با ناشر معتبر فرهنگی</t>
  </si>
  <si>
    <t>مبنای تعداد صفحات کتاب</t>
  </si>
  <si>
    <t>گزارش ارزیابی تأیید شده توسط معاونت فرهنگی یا  دفتر نهاد</t>
  </si>
  <si>
    <t>تأیید معاونت فرهنگی</t>
  </si>
  <si>
    <t>تأیید دبیرخانه مربوط</t>
  </si>
  <si>
    <t xml:space="preserve">تأیید معاونت فرهنگی </t>
  </si>
  <si>
    <t>تأیید معاونت فرهنگی یا  دفتر نهاد</t>
  </si>
  <si>
    <t>تأیید نهاد برگزار کننده و معاونت فرهنگی</t>
  </si>
  <si>
    <t>تعداد نیم سال</t>
  </si>
  <si>
    <t>گواهی پخش برنامه</t>
  </si>
  <si>
    <t>تأیید معاونت فرهنگی دانشگاه</t>
  </si>
  <si>
    <t>گواهی دبیر یا مسئول  تشکل مربوط و تأیید معاونت فرهنگی دانشگاه یا دفتر نهاد</t>
  </si>
  <si>
    <t>گواهی معاونت دانشگاه،  مسئول نهاد و یا دفتر مربوط</t>
  </si>
  <si>
    <t>تعداد نيمسال‌</t>
  </si>
  <si>
    <r>
      <t xml:space="preserve">میزان فعالیت
</t>
    </r>
    <r>
      <rPr>
        <b/>
        <sz val="9"/>
        <color theme="1"/>
        <rFont val="B Nazanin"/>
        <charset val="178"/>
      </rPr>
      <t>(ساعت/ترم)</t>
    </r>
  </si>
  <si>
    <t>تایید معاونت فرهنگی</t>
  </si>
  <si>
    <t>مجوز دانشگاه و تایید معاونت فرهنگی  یا نهاد</t>
  </si>
  <si>
    <t>گواهی نهاد برگزار کننده و تأیید معاونت فرهنگی یا دفتر نهاد</t>
  </si>
  <si>
    <t>تایید معاونت فرهنگی یا نهاد</t>
  </si>
  <si>
    <t>تایید دبیر هم اندیشی</t>
  </si>
  <si>
    <t>تایید معاونت فرهنگی دانشگاه یا  دفتر نهاد</t>
  </si>
  <si>
    <t>تأیید معاونت فرهنگی دانشگاه یا دفتر نهاد</t>
  </si>
  <si>
    <t>گزارش اردو تایید شده از سوی معاونت فرهنگی دانشگاه یا دفتر نهاد</t>
  </si>
  <si>
    <t xml:space="preserve">تایید معاونت فرهنگی دانشگاه یا دفتر نهاد  </t>
  </si>
  <si>
    <t>تایید معاونت فرهنگی دانشگاه</t>
  </si>
  <si>
    <t xml:space="preserve">شهرت یافتن به عنوان چهره موثر فرهنگی، ملی، اجتماعی </t>
  </si>
  <si>
    <t>سوابق انقلابی و ایثارگری</t>
  </si>
  <si>
    <t>پای بندی به دیانت و لوازم و مقتضیات آن و حسن شهرت به فضائل اخلاقی: صداقت، نوع‌دوستی، مسئولیت پذیری، امانت‌داری و  …</t>
  </si>
  <si>
    <t>تأیید نهاد برگزارکننده</t>
  </si>
  <si>
    <r>
      <t>تأیید عالی</t>
    </r>
    <r>
      <rPr>
        <b/>
        <sz val="9"/>
        <color theme="1"/>
        <rFont val="Calibri"/>
        <family val="2"/>
        <scheme val="minor"/>
      </rPr>
      <t>‎</t>
    </r>
    <r>
      <rPr>
        <b/>
        <sz val="9"/>
        <color theme="1"/>
        <rFont val="B Nazanin"/>
        <charset val="178"/>
      </rPr>
      <t>ترین مقام ذی ربط</t>
    </r>
  </si>
  <si>
    <t>جوایز و تقدیرنامه‎ مربوط به نقش‎ ویژه فرهنگی، ایثارگری و ...در سطوح ملی</t>
  </si>
  <si>
    <t>جوایز و تقدیرنامه‎ مربوط به نقش‎ ویژه فرهنگی، ایثارگری و ...در سطوح وزارتی</t>
  </si>
  <si>
    <t>جوایز و تقدیرنامه‎های مربوط به نقش‎ ویژه فرهنگی، ایثارگری و ...در سطوح دانشگاهی</t>
  </si>
  <si>
    <t>معاونت طرح  برنامه و دفتر نهاد</t>
  </si>
  <si>
    <t xml:space="preserve">تأیید معاونت ذی‌ربط یا  دفتر نهاد   </t>
  </si>
  <si>
    <t xml:space="preserve">تأیید معاونت ذی‌ربط یا دفتر نهاد   </t>
  </si>
  <si>
    <r>
      <t xml:space="preserve">اسامی همکاران 
به ترتیب
</t>
    </r>
    <r>
      <rPr>
        <b/>
        <sz val="9"/>
        <color theme="1"/>
        <rFont val="B Nazanin"/>
        <charset val="178"/>
      </rPr>
      <t>(شامل نام متقاضی)</t>
    </r>
  </si>
  <si>
    <t>مقالات علمی پژوهشی (ساير)</t>
  </si>
  <si>
    <t>کیفیت مقاله</t>
  </si>
  <si>
    <t>همپوشانی</t>
  </si>
  <si>
    <t>تاریخ ثبت نهایی:</t>
  </si>
  <si>
    <t>Google Scholar</t>
  </si>
  <si>
    <t>H-index:</t>
  </si>
  <si>
    <t>دکترمحمدرضا مه پیکر</t>
  </si>
  <si>
    <t>دکترمحمدحسین محمودی قرائی</t>
  </si>
  <si>
    <t>دکتر امید میر شمسی</t>
  </si>
  <si>
    <t xml:space="preserve">جدول وضعيت کمی و کیفی مقاله های علمي پژوهشي </t>
  </si>
  <si>
    <t>Scopus:</t>
  </si>
  <si>
    <t>Google Scholar:</t>
  </si>
  <si>
    <t>غلام رضا محمدی</t>
  </si>
  <si>
    <t>مسعود خوش سلیقه</t>
  </si>
  <si>
    <t>دانشکده حقوق و علوم سیاسی</t>
  </si>
  <si>
    <t>محسن خلیلی</t>
  </si>
  <si>
    <t>دکتر حسین کارشکی</t>
  </si>
  <si>
    <t>دکتر مسعود خوش سلیقه</t>
  </si>
  <si>
    <t>دکتر محسن نوکاریزی</t>
  </si>
  <si>
    <t>دکتر سید مهدی زرقانی</t>
  </si>
  <si>
    <t>بهار 1400</t>
  </si>
  <si>
    <t>مـاه می گزرد.</t>
  </si>
  <si>
    <t>قسمت بالا حتما تکمیل شود و برای متقاضیان مرتبه استادی تعداد ارجاعات از زمان دانشیاری به بعد محاسبه گردد.</t>
  </si>
  <si>
    <t>شماره ثبت نهایی دردبیرخانه کمیته منتخب:</t>
  </si>
  <si>
    <t>60-75</t>
  </si>
  <si>
    <t>Citation:</t>
  </si>
  <si>
    <t>i 10 index:</t>
  </si>
  <si>
    <r>
      <t>H-index</t>
    </r>
    <r>
      <rPr>
        <b/>
        <sz val="8"/>
        <color theme="1"/>
        <rFont val="B Nazanin"/>
        <charset val="178"/>
      </rPr>
      <t xml:space="preserve"> ( امتیاز ):</t>
    </r>
  </si>
  <si>
    <r>
      <t>Citation No</t>
    </r>
    <r>
      <rPr>
        <b/>
        <sz val="8"/>
        <color theme="1"/>
        <rFont val="B Nazanin"/>
        <charset val="178"/>
      </rPr>
      <t xml:space="preserve"> ( امتیاز ):</t>
    </r>
  </si>
  <si>
    <t>H-index No =</t>
  </si>
  <si>
    <t>Citation No =</t>
  </si>
  <si>
    <t>i 10 index No =</t>
  </si>
  <si>
    <t>مقدار</t>
  </si>
  <si>
    <t xml:space="preserve">        (H-index (Scopus       </t>
  </si>
  <si>
    <t xml:space="preserve">Citation (Scopus)    </t>
  </si>
  <si>
    <t>ویرایش : 11.2</t>
  </si>
  <si>
    <t>علي اكبر هاشمي جواهري</t>
  </si>
  <si>
    <t>محمد مسافري ضياءالديني</t>
  </si>
  <si>
    <t>امير رشيدلمير</t>
  </si>
  <si>
    <t>شهناز بمبئي چي</t>
  </si>
  <si>
    <t>مهتاب معظمي</t>
  </si>
  <si>
    <t>محمد كشتي دار</t>
  </si>
  <si>
    <t xml:space="preserve">   (H-index (Google Scholar - All        </t>
  </si>
  <si>
    <t xml:space="preserve">Citation (Google Scholar - All)     </t>
  </si>
  <si>
    <t>امید میرشمسی کاخکی</t>
  </si>
  <si>
    <r>
      <t xml:space="preserve">برای کلیه رشته ها می تواند استفاده شود.
</t>
    </r>
    <r>
      <rPr>
        <sz val="8"/>
        <rFont val="B Lotus"/>
        <charset val="178"/>
      </rPr>
      <t>(به شرط اینکه از متوسط "رشته/گروه" بیشتر باشد)</t>
    </r>
  </si>
  <si>
    <r>
      <t xml:space="preserve">فقط برای رشته های علوم انسانی می باشد. </t>
    </r>
    <r>
      <rPr>
        <sz val="8"/>
        <rFont val="B Lotus"/>
        <charset val="178"/>
      </rPr>
      <t>(به شرط اینکه از متوسط "رشته/گروه" بیشتر باشد)</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</si>
</sst>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
  </numFmts>
  <fonts count="98">
    <font>
      <sz val="11"/>
      <color theme="1"/>
      <name val="Calibri"/>
      <family val="2"/>
      <scheme val="minor"/>
    </font>
    <font>
      <sz val="11"/>
      <color theme="1"/>
      <name val="Calibri"/>
      <family val="2"/>
      <charset val="178"/>
      <scheme val="minor"/>
    </font>
    <font>
      <b/>
      <sz val="10"/>
      <color theme="1"/>
      <name val="B Nazanin"/>
      <charset val="178"/>
    </font>
    <font>
      <sz val="14"/>
      <name val="B Nazanin"/>
      <charset val="178"/>
    </font>
    <font>
      <sz val="11"/>
      <name val="B Nazanin"/>
      <charset val="178"/>
    </font>
    <font>
      <sz val="11"/>
      <color theme="1"/>
      <name val="B Nazanin"/>
      <charset val="178"/>
    </font>
    <font>
      <b/>
      <sz val="12"/>
      <color theme="1"/>
      <name val="B Nazanin"/>
      <charset val="178"/>
    </font>
    <font>
      <b/>
      <sz val="13"/>
      <color theme="1"/>
      <name val="B Nazanin"/>
      <charset val="178"/>
    </font>
    <font>
      <sz val="14"/>
      <color theme="1"/>
      <name val="B Nazanin"/>
      <charset val="178"/>
    </font>
    <font>
      <b/>
      <sz val="9"/>
      <color theme="1"/>
      <name val="B Nazanin"/>
      <charset val="178"/>
    </font>
    <font>
      <sz val="10"/>
      <color theme="1"/>
      <name val="B Titr"/>
      <charset val="178"/>
    </font>
    <font>
      <sz val="12"/>
      <name val="B Nazanin"/>
      <charset val="178"/>
    </font>
    <font>
      <sz val="12"/>
      <color theme="1"/>
      <name val="B Nazanin"/>
      <charset val="178"/>
    </font>
    <font>
      <sz val="11"/>
      <color theme="1"/>
      <name val="B Titr"/>
      <charset val="178"/>
    </font>
    <font>
      <b/>
      <sz val="12"/>
      <color theme="1"/>
      <name val="B Titr"/>
      <charset val="178"/>
    </font>
    <font>
      <b/>
      <sz val="11"/>
      <color theme="1"/>
      <name val="B Nazanin"/>
      <charset val="178"/>
    </font>
    <font>
      <b/>
      <sz val="10"/>
      <name val="B Mitra"/>
      <charset val="178"/>
    </font>
    <font>
      <b/>
      <sz val="11"/>
      <color theme="1"/>
      <name val="B Mitra"/>
      <charset val="178"/>
    </font>
    <font>
      <b/>
      <sz val="11"/>
      <name val="B Mitra"/>
      <charset val="178"/>
    </font>
    <font>
      <b/>
      <sz val="10"/>
      <color theme="1"/>
      <name val="B Zar"/>
      <charset val="178"/>
    </font>
    <font>
      <sz val="10"/>
      <color theme="1"/>
      <name val="B Nazanin"/>
      <charset val="178"/>
    </font>
    <font>
      <b/>
      <sz val="11"/>
      <color theme="1"/>
      <name val="B Zar"/>
      <charset val="178"/>
    </font>
    <font>
      <sz val="10"/>
      <name val="B Nazanin"/>
      <charset val="178"/>
    </font>
    <font>
      <b/>
      <sz val="11"/>
      <color theme="1"/>
      <name val="B Titr"/>
      <charset val="178"/>
    </font>
    <font>
      <sz val="8"/>
      <color theme="1"/>
      <name val="B Titr"/>
      <charset val="178"/>
    </font>
    <font>
      <sz val="14"/>
      <color theme="1"/>
      <name val="B Zar"/>
      <charset val="178"/>
    </font>
    <font>
      <sz val="10"/>
      <color theme="1"/>
      <name val="Times New Roman"/>
      <family val="1"/>
    </font>
    <font>
      <sz val="11"/>
      <color theme="1"/>
      <name val="B Mitra"/>
      <charset val="178"/>
    </font>
    <font>
      <sz val="11"/>
      <color theme="0"/>
      <name val="B Nazanin"/>
      <charset val="178"/>
    </font>
    <font>
      <b/>
      <sz val="8"/>
      <color theme="1"/>
      <name val="B Nazanin"/>
      <charset val="178"/>
    </font>
    <font>
      <b/>
      <sz val="10"/>
      <color theme="1"/>
      <name val="B Titr"/>
      <charset val="178"/>
    </font>
    <font>
      <sz val="10"/>
      <color theme="1"/>
      <name val="B Zar"/>
      <charset val="178"/>
    </font>
    <font>
      <b/>
      <u/>
      <sz val="11"/>
      <color theme="1"/>
      <name val="B Titr"/>
      <charset val="178"/>
    </font>
    <font>
      <sz val="11"/>
      <color theme="1"/>
      <name val="B Zar"/>
      <charset val="178"/>
    </font>
    <font>
      <b/>
      <sz val="9"/>
      <color indexed="81"/>
      <name val="Tahoma"/>
      <family val="2"/>
    </font>
    <font>
      <b/>
      <sz val="10"/>
      <color theme="1"/>
      <name val="B Mitra"/>
      <charset val="178"/>
    </font>
    <font>
      <sz val="9"/>
      <color theme="1"/>
      <name val="B Nazanin"/>
      <charset val="178"/>
    </font>
    <font>
      <b/>
      <sz val="10"/>
      <color theme="1"/>
      <name val="B Yagut"/>
      <charset val="178"/>
    </font>
    <font>
      <b/>
      <sz val="7"/>
      <color theme="1"/>
      <name val="B Yagut"/>
      <charset val="178"/>
    </font>
    <font>
      <sz val="9"/>
      <color theme="1"/>
      <name val="B Titr"/>
      <charset val="178"/>
    </font>
    <font>
      <b/>
      <sz val="11"/>
      <color theme="1"/>
      <name val="B Yagut"/>
      <charset val="178"/>
    </font>
    <font>
      <b/>
      <sz val="8"/>
      <color theme="1"/>
      <name val="B Yagut"/>
      <charset val="178"/>
    </font>
    <font>
      <sz val="11"/>
      <name val="Calibri"/>
      <family val="2"/>
    </font>
    <font>
      <sz val="11"/>
      <color theme="1"/>
      <name val="B Yagut"/>
      <charset val="178"/>
    </font>
    <font>
      <sz val="12"/>
      <name val="Times New Roman"/>
      <family val="1"/>
    </font>
    <font>
      <sz val="12"/>
      <color theme="1"/>
      <name val="B Titr"/>
      <charset val="178"/>
    </font>
    <font>
      <b/>
      <sz val="7"/>
      <color theme="1"/>
      <name val="B Nazanin"/>
      <charset val="178"/>
    </font>
    <font>
      <b/>
      <sz val="9"/>
      <color theme="1"/>
      <name val="B Titr"/>
      <charset val="178"/>
    </font>
    <font>
      <b/>
      <sz val="8"/>
      <color theme="1"/>
      <name val="B Titr"/>
      <charset val="178"/>
    </font>
    <font>
      <sz val="11"/>
      <name val="Calibri"/>
      <family val="2"/>
      <charset val="178"/>
      <scheme val="minor"/>
    </font>
    <font>
      <sz val="9"/>
      <name val="B Titr"/>
      <charset val="178"/>
    </font>
    <font>
      <b/>
      <sz val="9"/>
      <color theme="1"/>
      <name val="B Mitra"/>
      <charset val="178"/>
    </font>
    <font>
      <sz val="9"/>
      <color theme="1"/>
      <name val="B Lotus"/>
      <charset val="178"/>
    </font>
    <font>
      <sz val="9"/>
      <name val="B Lotus"/>
      <charset val="178"/>
    </font>
    <font>
      <b/>
      <sz val="9"/>
      <color theme="1"/>
      <name val="B Lotus"/>
      <charset val="178"/>
    </font>
    <font>
      <b/>
      <sz val="9"/>
      <name val="B Lotus"/>
      <charset val="178"/>
    </font>
    <font>
      <sz val="11"/>
      <color rgb="FF9C0006"/>
      <name val="Calibri"/>
      <family val="2"/>
      <charset val="178"/>
      <scheme val="minor"/>
    </font>
    <font>
      <b/>
      <sz val="11"/>
      <color rgb="FF9C0006"/>
      <name val="B Nazanin"/>
      <charset val="178"/>
    </font>
    <font>
      <b/>
      <sz val="14"/>
      <color theme="1"/>
      <name val="B Nazanin"/>
      <charset val="178"/>
    </font>
    <font>
      <b/>
      <sz val="11"/>
      <name val="B Nazanin"/>
      <charset val="178"/>
    </font>
    <font>
      <sz val="8.5"/>
      <color theme="1"/>
      <name val="B Titr"/>
      <charset val="178"/>
    </font>
    <font>
      <sz val="8.5"/>
      <name val="B Titr"/>
      <charset val="178"/>
    </font>
    <font>
      <sz val="11"/>
      <name val="B Titr"/>
      <charset val="178"/>
    </font>
    <font>
      <b/>
      <sz val="7"/>
      <color theme="1"/>
      <name val="B Mitra"/>
      <charset val="178"/>
    </font>
    <font>
      <sz val="16"/>
      <color theme="1"/>
      <name val="IranNastaliq"/>
      <family val="1"/>
    </font>
    <font>
      <sz val="8"/>
      <color theme="1"/>
      <name val="B Nazanin"/>
      <charset val="178"/>
    </font>
    <font>
      <sz val="26"/>
      <color theme="1"/>
      <name val="IranNastaliq"/>
      <family val="1"/>
    </font>
    <font>
      <sz val="26"/>
      <color theme="1"/>
      <name val="Calibri"/>
      <family val="2"/>
      <charset val="178"/>
      <scheme val="minor"/>
    </font>
    <font>
      <sz val="13"/>
      <color theme="1"/>
      <name val="B Titr"/>
      <charset val="178"/>
    </font>
    <font>
      <sz val="11"/>
      <color theme="1"/>
      <name val="Arial Black"/>
      <family val="2"/>
    </font>
    <font>
      <b/>
      <sz val="9"/>
      <color rgb="FF000000"/>
      <name val="B Zar"/>
      <charset val="178"/>
    </font>
    <font>
      <b/>
      <sz val="9"/>
      <color rgb="FF000000"/>
      <name val="Franklin Gothic Book"/>
      <family val="2"/>
    </font>
    <font>
      <b/>
      <sz val="10"/>
      <color rgb="FF9C0006"/>
      <name val="B Nazanin"/>
      <charset val="178"/>
    </font>
    <font>
      <b/>
      <sz val="16"/>
      <color theme="1"/>
      <name val="B Titr"/>
      <charset val="178"/>
    </font>
    <font>
      <sz val="11"/>
      <color theme="0"/>
      <name val="B Titr"/>
      <charset val="178"/>
    </font>
    <font>
      <sz val="16"/>
      <color theme="0"/>
      <name val="B Titr"/>
      <charset val="178"/>
    </font>
    <font>
      <sz val="16"/>
      <color theme="0"/>
      <name val="B Yagut"/>
      <charset val="178"/>
    </font>
    <font>
      <b/>
      <sz val="11"/>
      <color theme="0"/>
      <name val="B Nazanin"/>
      <charset val="178"/>
    </font>
    <font>
      <b/>
      <sz val="11"/>
      <color rgb="FFFF0000"/>
      <name val="B Yagut"/>
      <charset val="178"/>
    </font>
    <font>
      <b/>
      <sz val="11"/>
      <color rgb="FFFF0000"/>
      <name val="Wingdings"/>
      <charset val="2"/>
    </font>
    <font>
      <sz val="10"/>
      <color theme="0"/>
      <name val="B Titr"/>
      <charset val="178"/>
    </font>
    <font>
      <sz val="12"/>
      <color theme="1"/>
      <name val="Aharoni"/>
      <charset val="177"/>
    </font>
    <font>
      <b/>
      <sz val="11"/>
      <color rgb="FFFB5F19"/>
      <name val="B Nazanin"/>
      <charset val="178"/>
    </font>
    <font>
      <b/>
      <sz val="10"/>
      <color theme="1"/>
      <name val="Arial"/>
      <family val="2"/>
    </font>
    <font>
      <sz val="10"/>
      <name val="B Titr"/>
      <charset val="178"/>
    </font>
    <font>
      <sz val="16"/>
      <color theme="1"/>
      <name val="B Titr"/>
      <charset val="178"/>
    </font>
    <font>
      <b/>
      <sz val="14"/>
      <color rgb="FF000000"/>
      <name val="B Titr"/>
      <charset val="178"/>
    </font>
    <font>
      <b/>
      <sz val="14"/>
      <color rgb="FF000000"/>
      <name val="B Zar"/>
      <charset val="178"/>
    </font>
    <font>
      <sz val="14"/>
      <color theme="1"/>
      <name val="B Titr"/>
      <charset val="178"/>
    </font>
    <font>
      <b/>
      <sz val="9"/>
      <color theme="1"/>
      <name val="Times New Roman"/>
      <family val="1"/>
    </font>
    <font>
      <b/>
      <sz val="9"/>
      <color theme="1"/>
      <name val="Calibri"/>
      <family val="2"/>
      <scheme val="minor"/>
    </font>
    <font>
      <sz val="9"/>
      <color theme="1"/>
      <name val="B Zar"/>
      <charset val="178"/>
    </font>
    <font>
      <sz val="8"/>
      <color theme="1"/>
      <name val="B Zar"/>
      <charset val="178"/>
    </font>
    <font>
      <sz val="8"/>
      <color theme="1"/>
      <name val="Calibri"/>
      <family val="2"/>
      <scheme val="minor"/>
    </font>
    <font>
      <b/>
      <sz val="9"/>
      <color theme="1"/>
      <name val="B Zar"/>
      <charset val="178"/>
    </font>
    <font>
      <b/>
      <sz val="11"/>
      <color theme="1"/>
      <name val="Calibri"/>
      <family val="2"/>
      <scheme val="minor"/>
    </font>
    <font>
      <sz val="10"/>
      <name val="B Lotus"/>
      <charset val="178"/>
    </font>
    <font>
      <sz val="8"/>
      <name val="B Lotus"/>
      <charset val="178"/>
    </font>
  </fonts>
  <fills count="32">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EC6D3"/>
        <bgColor indexed="64"/>
      </patternFill>
    </fill>
    <fill>
      <patternFill patternType="solid">
        <fgColor rgb="FFFFC7CE"/>
      </patternFill>
    </fill>
    <fill>
      <patternFill patternType="solid">
        <fgColor theme="0" tint="-0.249977111117893"/>
        <bgColor indexed="64"/>
      </patternFill>
    </fill>
    <fill>
      <patternFill patternType="solid">
        <fgColor rgb="FFECECEC"/>
        <bgColor indexed="64"/>
      </patternFill>
    </fill>
    <fill>
      <patternFill patternType="solid">
        <fgColor theme="3" tint="-0.249977111117893"/>
        <bgColor indexed="64"/>
      </patternFill>
    </fill>
    <fill>
      <patternFill patternType="solid">
        <fgColor rgb="FF05C7A7"/>
        <bgColor indexed="64"/>
      </patternFill>
    </fill>
    <fill>
      <gradientFill degree="315">
        <stop position="0">
          <color rgb="FF275C9D"/>
        </stop>
        <stop position="1">
          <color theme="3" tint="-0.25098422193060094"/>
        </stop>
      </gradientFill>
    </fill>
    <fill>
      <gradientFill degree="270">
        <stop position="0">
          <color theme="3" tint="-0.25098422193060094"/>
        </stop>
        <stop position="1">
          <color theme="3" tint="0.59999389629810485"/>
        </stop>
      </gradient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9AEDF8"/>
        <bgColor indexed="64"/>
      </patternFill>
    </fill>
    <fill>
      <patternFill patternType="solid">
        <fgColor rgb="FFF2C554"/>
        <bgColor indexed="64"/>
      </patternFill>
    </fill>
  </fills>
  <borders count="103">
    <border>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
      <left/>
      <right/>
      <top/>
      <bottom style="medium">
        <color theme="0" tint="-0.499984740745262"/>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medium">
        <color rgb="FF000000"/>
      </bottom>
      <diagonal/>
    </border>
    <border>
      <left style="thick">
        <color indexed="64"/>
      </left>
      <right style="thick">
        <color indexed="64"/>
      </right>
      <top/>
      <bottom style="medium">
        <color rgb="FF000000"/>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style="medium">
        <color indexed="64"/>
      </left>
      <right style="medium">
        <color indexed="64"/>
      </right>
      <top/>
      <bottom style="medium">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
    <xf numFmtId="0" fontId="0" fillId="0" borderId="0"/>
    <xf numFmtId="0" fontId="1" fillId="0" borderId="0"/>
    <xf numFmtId="9" fontId="1" fillId="0" borderId="0" applyFont="0" applyFill="0" applyBorder="0" applyAlignment="0" applyProtection="0"/>
    <xf numFmtId="0" fontId="56" fillId="20" borderId="0" applyNumberFormat="0" applyBorder="0" applyAlignment="0" applyProtection="0"/>
  </cellStyleXfs>
  <cellXfs count="2461">
    <xf numFmtId="0" fontId="0" fillId="0" borderId="0" xfId="0"/>
    <xf numFmtId="0" fontId="5" fillId="0" borderId="0" xfId="1" applyFont="1" applyAlignment="1" applyProtection="1">
      <alignment horizontal="center" vertical="center" wrapText="1" shrinkToFit="1"/>
    </xf>
    <xf numFmtId="0" fontId="11" fillId="0" borderId="0" xfId="1" applyFont="1" applyFill="1" applyAlignment="1" applyProtection="1">
      <alignment horizontal="center" vertical="center" wrapText="1" shrinkToFit="1"/>
    </xf>
    <xf numFmtId="0" fontId="3" fillId="0" borderId="0" xfId="1" applyFont="1" applyFill="1" applyBorder="1" applyAlignment="1" applyProtection="1">
      <alignment horizontal="center" vertical="center" shrinkToFit="1"/>
    </xf>
    <xf numFmtId="0" fontId="5" fillId="0" borderId="7" xfId="1" applyFont="1" applyBorder="1" applyAlignment="1" applyProtection="1">
      <alignment horizontal="center" vertical="center" shrinkToFit="1"/>
      <protection locked="0"/>
    </xf>
    <xf numFmtId="0" fontId="16" fillId="0" borderId="7" xfId="1" applyFont="1" applyBorder="1" applyAlignment="1" applyProtection="1">
      <alignment horizontal="center" vertical="center" shrinkToFit="1" readingOrder="2"/>
    </xf>
    <xf numFmtId="2" fontId="16" fillId="0" borderId="7" xfId="1" applyNumberFormat="1" applyFont="1" applyBorder="1" applyAlignment="1" applyProtection="1">
      <alignment horizontal="center" vertical="center" shrinkToFit="1" readingOrder="2"/>
    </xf>
    <xf numFmtId="164" fontId="18" fillId="0" borderId="7" xfId="1" applyNumberFormat="1" applyFont="1" applyBorder="1" applyAlignment="1" applyProtection="1">
      <alignment horizontal="right" vertical="center" shrinkToFit="1" readingOrder="2"/>
    </xf>
    <xf numFmtId="164" fontId="18" fillId="0" borderId="7" xfId="1" applyNumberFormat="1" applyFont="1" applyBorder="1" applyAlignment="1" applyProtection="1">
      <alignment readingOrder="2"/>
    </xf>
    <xf numFmtId="0" fontId="4" fillId="0" borderId="7" xfId="1" applyFont="1" applyBorder="1" applyAlignment="1" applyProtection="1">
      <alignment horizontal="center" vertical="center" shrinkToFit="1"/>
    </xf>
    <xf numFmtId="0" fontId="7" fillId="0" borderId="0" xfId="1" applyFont="1" applyFill="1" applyBorder="1" applyAlignment="1" applyProtection="1">
      <alignment horizontal="center" vertical="center" textRotation="90" shrinkToFit="1" readingOrder="2"/>
    </xf>
    <xf numFmtId="0" fontId="0" fillId="0" borderId="0" xfId="0" applyProtection="1"/>
    <xf numFmtId="1" fontId="2" fillId="0" borderId="6" xfId="1" applyNumberFormat="1" applyFont="1" applyBorder="1" applyAlignment="1" applyProtection="1">
      <alignment horizontal="center" vertical="center" shrinkToFit="1" readingOrder="2"/>
    </xf>
    <xf numFmtId="2" fontId="10" fillId="0" borderId="27" xfId="1" applyNumberFormat="1" applyFont="1" applyFill="1" applyBorder="1" applyAlignment="1" applyProtection="1">
      <alignment horizontal="center" vertical="center" shrinkToFit="1" readingOrder="2"/>
      <protection locked="0"/>
    </xf>
    <xf numFmtId="1" fontId="2" fillId="0" borderId="28" xfId="1" applyNumberFormat="1" applyFont="1" applyBorder="1" applyAlignment="1" applyProtection="1">
      <alignment horizontal="center" vertical="center" shrinkToFit="1" readingOrder="2"/>
    </xf>
    <xf numFmtId="0" fontId="15" fillId="0" borderId="10" xfId="1" applyFont="1" applyBorder="1" applyAlignment="1" applyProtection="1">
      <alignment horizontal="center" vertical="center" textRotation="90" shrinkToFit="1" readingOrder="2"/>
    </xf>
    <xf numFmtId="0" fontId="3" fillId="0" borderId="0" xfId="1" applyFont="1" applyFill="1" applyAlignment="1" applyProtection="1">
      <alignment horizontal="center" vertical="center" shrinkToFit="1"/>
    </xf>
    <xf numFmtId="0" fontId="8" fillId="0" borderId="0" xfId="1" applyFont="1" applyFill="1" applyAlignment="1" applyProtection="1">
      <alignment horizontal="center" vertical="center" shrinkToFit="1"/>
    </xf>
    <xf numFmtId="0" fontId="22" fillId="0" borderId="0" xfId="1" applyFont="1" applyFill="1" applyAlignment="1" applyProtection="1">
      <alignment horizontal="center" vertical="center" wrapText="1" shrinkToFit="1"/>
    </xf>
    <xf numFmtId="0" fontId="0" fillId="0" borderId="0" xfId="0" applyProtection="1">
      <protection hidden="1"/>
    </xf>
    <xf numFmtId="0" fontId="15" fillId="0" borderId="0" xfId="0" applyFont="1" applyAlignment="1" applyProtection="1">
      <alignment vertical="center" shrinkToFit="1" readingOrder="2"/>
      <protection hidden="1"/>
    </xf>
    <xf numFmtId="0" fontId="5" fillId="0" borderId="0" xfId="0" applyFont="1" applyAlignment="1" applyProtection="1">
      <alignment horizontal="center" shrinkToFit="1" readingOrder="2"/>
      <protection hidden="1"/>
    </xf>
    <xf numFmtId="0" fontId="4" fillId="0" borderId="2" xfId="0" applyFont="1" applyBorder="1" applyAlignment="1" applyProtection="1">
      <alignment horizontal="center" vertical="center" shrinkToFit="1" readingOrder="2"/>
    </xf>
    <xf numFmtId="0" fontId="4" fillId="0" borderId="3" xfId="0" applyFont="1" applyBorder="1" applyAlignment="1" applyProtection="1">
      <alignment horizontal="center" vertical="center" shrinkToFit="1" readingOrder="2"/>
    </xf>
    <xf numFmtId="0" fontId="4" fillId="0" borderId="5" xfId="0" applyFont="1" applyBorder="1" applyAlignment="1" applyProtection="1">
      <alignment horizontal="center" vertical="center" shrinkToFit="1" readingOrder="2"/>
    </xf>
    <xf numFmtId="0" fontId="4" fillId="0" borderId="49" xfId="0" applyFont="1" applyBorder="1" applyAlignment="1" applyProtection="1">
      <alignment horizontal="center" vertical="center" shrinkToFit="1" readingOrder="2"/>
    </xf>
    <xf numFmtId="0" fontId="5" fillId="0" borderId="5" xfId="0" applyFont="1" applyBorder="1" applyAlignment="1" applyProtection="1">
      <alignment horizontal="center" vertical="center" shrinkToFit="1" readingOrder="2"/>
    </xf>
    <xf numFmtId="0" fontId="5" fillId="0" borderId="2" xfId="0" applyFont="1" applyBorder="1" applyAlignment="1" applyProtection="1">
      <alignment horizontal="center" vertical="center" shrinkToFit="1" readingOrder="2"/>
    </xf>
    <xf numFmtId="0" fontId="5" fillId="0" borderId="21" xfId="0" applyFont="1" applyBorder="1" applyAlignment="1" applyProtection="1">
      <alignment horizontal="center" vertical="center" shrinkToFit="1" readingOrder="2"/>
    </xf>
    <xf numFmtId="0" fontId="5" fillId="0" borderId="22" xfId="0" applyFont="1" applyBorder="1" applyAlignment="1" applyProtection="1">
      <alignment horizontal="center" vertical="center" shrinkToFit="1" readingOrder="2"/>
    </xf>
    <xf numFmtId="0" fontId="4" fillId="0" borderId="7" xfId="0" applyFont="1" applyBorder="1" applyAlignment="1" applyProtection="1">
      <alignment horizontal="center" vertical="center" shrinkToFit="1" readingOrder="2"/>
    </xf>
    <xf numFmtId="0" fontId="5" fillId="0" borderId="7" xfId="1" applyFont="1" applyBorder="1" applyAlignment="1" applyProtection="1">
      <alignment horizontal="center" vertical="center" shrinkToFit="1" readingOrder="2"/>
    </xf>
    <xf numFmtId="0" fontId="5" fillId="17" borderId="7" xfId="0" applyFont="1" applyFill="1" applyBorder="1" applyAlignment="1" applyProtection="1">
      <alignment horizontal="center" vertical="center" shrinkToFit="1" readingOrder="2"/>
    </xf>
    <xf numFmtId="0" fontId="5" fillId="0" borderId="7" xfId="1" applyNumberFormat="1" applyFont="1" applyBorder="1" applyAlignment="1" applyProtection="1">
      <alignment horizontal="center" vertical="center" shrinkToFit="1"/>
    </xf>
    <xf numFmtId="2" fontId="10" fillId="7" borderId="7" xfId="1" applyNumberFormat="1" applyFont="1" applyFill="1" applyBorder="1" applyAlignment="1" applyProtection="1">
      <alignment horizontal="center" vertical="center" shrinkToFit="1" readingOrder="2"/>
      <protection locked="0"/>
    </xf>
    <xf numFmtId="0" fontId="4" fillId="0" borderId="0" xfId="1" applyFont="1" applyBorder="1" applyAlignment="1" applyProtection="1">
      <alignment horizontal="center" vertical="center" shrinkToFit="1"/>
    </xf>
    <xf numFmtId="0" fontId="4" fillId="0" borderId="0" xfId="1" quotePrefix="1" applyFont="1" applyBorder="1" applyAlignment="1" applyProtection="1">
      <alignment horizontal="center" vertical="center" shrinkToFit="1"/>
    </xf>
    <xf numFmtId="0" fontId="0" fillId="0" borderId="0" xfId="0" applyFill="1" applyProtection="1"/>
    <xf numFmtId="0" fontId="5" fillId="0" borderId="0" xfId="1" applyFont="1" applyFill="1" applyAlignment="1" applyProtection="1">
      <alignment horizontal="center" vertical="center" shrinkToFit="1"/>
      <protection locked="0"/>
    </xf>
    <xf numFmtId="0" fontId="5" fillId="0" borderId="0" xfId="1" applyFont="1" applyFill="1" applyAlignment="1" applyProtection="1">
      <alignment horizontal="center" vertical="center" wrapText="1" shrinkToFit="1"/>
    </xf>
    <xf numFmtId="0" fontId="12" fillId="0" borderId="0" xfId="1" applyFont="1" applyFill="1" applyAlignment="1" applyProtection="1">
      <alignment horizontal="center" vertical="center" wrapText="1" shrinkToFit="1"/>
    </xf>
    <xf numFmtId="0" fontId="20" fillId="0" borderId="0" xfId="1" applyFont="1" applyFill="1" applyAlignment="1" applyProtection="1">
      <alignment horizontal="center" vertical="center" wrapText="1" shrinkToFit="1"/>
    </xf>
    <xf numFmtId="49" fontId="31" fillId="0" borderId="7" xfId="1" applyNumberFormat="1" applyFont="1" applyBorder="1" applyAlignment="1" applyProtection="1">
      <alignment horizontal="center" vertical="center" wrapText="1" shrinkToFit="1" readingOrder="2"/>
      <protection locked="0"/>
    </xf>
    <xf numFmtId="49" fontId="31" fillId="0" borderId="7" xfId="1" applyNumberFormat="1" applyFont="1" applyBorder="1" applyAlignment="1" applyProtection="1">
      <alignment horizontal="center" vertical="center" textRotation="90" wrapText="1" readingOrder="2"/>
      <protection locked="0"/>
    </xf>
    <xf numFmtId="0" fontId="15" fillId="0" borderId="0" xfId="1" applyFont="1" applyFill="1" applyBorder="1" applyAlignment="1" applyProtection="1">
      <alignment vertical="center" shrinkToFit="1" readingOrder="2"/>
      <protection locked="0"/>
    </xf>
    <xf numFmtId="1" fontId="2" fillId="0" borderId="56" xfId="1" applyNumberFormat="1" applyFont="1" applyBorder="1" applyAlignment="1" applyProtection="1">
      <alignment horizontal="center" vertical="center" shrinkToFit="1" readingOrder="2"/>
    </xf>
    <xf numFmtId="2" fontId="23" fillId="13" borderId="1" xfId="0" applyNumberFormat="1" applyFont="1" applyFill="1" applyBorder="1" applyAlignment="1" applyProtection="1">
      <alignment horizontal="center" vertical="center" shrinkToFit="1" readingOrder="2"/>
    </xf>
    <xf numFmtId="2" fontId="14" fillId="11" borderId="62" xfId="0" applyNumberFormat="1" applyFont="1" applyFill="1" applyBorder="1" applyAlignment="1" applyProtection="1">
      <alignment horizontal="center" vertical="center" shrinkToFit="1" readingOrder="2"/>
    </xf>
    <xf numFmtId="0" fontId="15" fillId="0" borderId="62" xfId="0" applyFont="1" applyFill="1" applyBorder="1" applyAlignment="1" applyProtection="1">
      <alignment vertical="center" shrinkToFit="1" readingOrder="2"/>
      <protection locked="0"/>
    </xf>
    <xf numFmtId="2" fontId="14" fillId="8" borderId="3" xfId="1" applyNumberFormat="1" applyFont="1" applyFill="1" applyBorder="1" applyAlignment="1" applyProtection="1">
      <alignment horizontal="center" vertical="center" shrinkToFit="1" readingOrder="2"/>
    </xf>
    <xf numFmtId="2" fontId="14" fillId="11" borderId="3" xfId="1" applyNumberFormat="1" applyFont="1" applyFill="1" applyBorder="1" applyAlignment="1" applyProtection="1">
      <alignment horizontal="center" vertical="center" shrinkToFit="1" readingOrder="2"/>
    </xf>
    <xf numFmtId="2" fontId="14" fillId="0" borderId="3" xfId="1" applyNumberFormat="1" applyFont="1" applyFill="1" applyBorder="1" applyAlignment="1" applyProtection="1">
      <alignment horizontal="center" vertical="center" shrinkToFit="1" readingOrder="2"/>
      <protection locked="0"/>
    </xf>
    <xf numFmtId="2" fontId="23" fillId="13" borderId="48" xfId="1" applyNumberFormat="1" applyFont="1" applyFill="1" applyBorder="1" applyAlignment="1" applyProtection="1">
      <alignment horizontal="center" vertical="center" shrinkToFit="1" readingOrder="2"/>
    </xf>
    <xf numFmtId="49" fontId="31" fillId="0" borderId="57" xfId="1" applyNumberFormat="1" applyFont="1" applyBorder="1" applyAlignment="1" applyProtection="1">
      <alignment horizontal="center" vertical="center" textRotation="90" wrapText="1" readingOrder="2"/>
      <protection locked="0"/>
    </xf>
    <xf numFmtId="49" fontId="31" fillId="0" borderId="57" xfId="1" applyNumberFormat="1" applyFont="1" applyBorder="1" applyAlignment="1" applyProtection="1">
      <alignment horizontal="center" vertical="center" wrapText="1" shrinkToFit="1" readingOrder="2"/>
      <protection locked="0"/>
    </xf>
    <xf numFmtId="0" fontId="15" fillId="0" borderId="5" xfId="1" applyFont="1" applyFill="1" applyBorder="1" applyAlignment="1" applyProtection="1">
      <alignment vertical="center" shrinkToFit="1" readingOrder="2"/>
      <protection locked="0"/>
    </xf>
    <xf numFmtId="49" fontId="19" fillId="0" borderId="7" xfId="1" applyNumberFormat="1" applyFont="1" applyBorder="1" applyAlignment="1" applyProtection="1">
      <alignment vertical="center" wrapText="1" readingOrder="2"/>
      <protection locked="0"/>
    </xf>
    <xf numFmtId="49" fontId="19" fillId="0" borderId="7" xfId="1" applyNumberFormat="1" applyFont="1" applyBorder="1" applyAlignment="1" applyProtection="1">
      <alignment vertical="center" wrapText="1" shrinkToFit="1" readingOrder="2"/>
      <protection locked="0"/>
    </xf>
    <xf numFmtId="0" fontId="2" fillId="0" borderId="0" xfId="1" applyFont="1" applyBorder="1" applyAlignment="1" applyProtection="1">
      <alignment vertical="center" shrinkToFit="1" readingOrder="2"/>
    </xf>
    <xf numFmtId="49" fontId="19" fillId="0" borderId="43" xfId="1" applyNumberFormat="1" applyFont="1" applyBorder="1" applyAlignment="1" applyProtection="1">
      <alignment vertical="center" wrapText="1" shrinkToFit="1" readingOrder="2"/>
      <protection locked="0"/>
    </xf>
    <xf numFmtId="1" fontId="19" fillId="0" borderId="7" xfId="1" applyNumberFormat="1" applyFont="1" applyBorder="1" applyAlignment="1" applyProtection="1">
      <alignment horizontal="center" vertical="center" wrapText="1" shrinkToFit="1" readingOrder="2"/>
      <protection locked="0"/>
    </xf>
    <xf numFmtId="0" fontId="5" fillId="0" borderId="0" xfId="1" applyFont="1" applyBorder="1" applyAlignment="1" applyProtection="1">
      <alignment vertical="center" shrinkToFit="1" readingOrder="2"/>
    </xf>
    <xf numFmtId="0" fontId="5" fillId="0" borderId="0" xfId="1" applyFont="1" applyBorder="1" applyAlignment="1" applyProtection="1">
      <alignment horizontal="center" vertical="center" shrinkToFit="1" readingOrder="2"/>
    </xf>
    <xf numFmtId="0" fontId="20" fillId="0" borderId="0" xfId="1" applyFont="1" applyBorder="1" applyAlignment="1" applyProtection="1">
      <alignment vertical="center" shrinkToFit="1" readingOrder="2"/>
    </xf>
    <xf numFmtId="2" fontId="39" fillId="0" borderId="57" xfId="1" applyNumberFormat="1" applyFont="1" applyBorder="1" applyAlignment="1" applyProtection="1">
      <alignment horizontal="center" vertical="center" wrapText="1" readingOrder="1"/>
      <protection locked="0"/>
    </xf>
    <xf numFmtId="0" fontId="2" fillId="0" borderId="0" xfId="1" applyFont="1" applyBorder="1" applyAlignment="1" applyProtection="1">
      <alignment vertical="center" wrapText="1" readingOrder="2"/>
    </xf>
    <xf numFmtId="0" fontId="6" fillId="0" borderId="0" xfId="1" applyFont="1" applyBorder="1" applyAlignment="1" applyProtection="1">
      <alignment vertical="center" wrapText="1" shrinkToFit="1" readingOrder="2"/>
    </xf>
    <xf numFmtId="0" fontId="37" fillId="0" borderId="7" xfId="1" applyNumberFormat="1" applyFont="1" applyBorder="1" applyAlignment="1" applyProtection="1">
      <alignment horizontal="center" vertical="center" wrapText="1" readingOrder="1"/>
    </xf>
    <xf numFmtId="0" fontId="4" fillId="0" borderId="0" xfId="1" applyFont="1" applyBorder="1" applyAlignment="1" applyProtection="1">
      <alignment horizontal="center" vertical="center" shrinkToFit="1" readingOrder="2"/>
    </xf>
    <xf numFmtId="2" fontId="4" fillId="0" borderId="0" xfId="1" applyNumberFormat="1" applyFont="1" applyBorder="1" applyAlignment="1" applyProtection="1">
      <alignment vertical="center" shrinkToFit="1" readingOrder="2"/>
    </xf>
    <xf numFmtId="0" fontId="4" fillId="0" borderId="0" xfId="1" applyFont="1" applyAlignment="1" applyProtection="1">
      <alignment horizontal="center" vertical="center" shrinkToFit="1" readingOrder="1"/>
    </xf>
    <xf numFmtId="0" fontId="4" fillId="0" borderId="0" xfId="1" applyFont="1" applyAlignment="1" applyProtection="1">
      <alignment horizontal="center" vertical="center" shrinkToFit="1" readingOrder="2"/>
    </xf>
    <xf numFmtId="0" fontId="42" fillId="0" borderId="0" xfId="1" applyFont="1" applyAlignment="1" applyProtection="1">
      <alignment wrapText="1"/>
    </xf>
    <xf numFmtId="2" fontId="4" fillId="0" borderId="0" xfId="1" applyNumberFormat="1" applyFont="1" applyFill="1" applyBorder="1" applyAlignment="1" applyProtection="1">
      <alignment horizontal="center" vertical="center" shrinkToFit="1" readingOrder="2"/>
    </xf>
    <xf numFmtId="0" fontId="4" fillId="0" borderId="0" xfId="1" applyFont="1" applyFill="1" applyBorder="1" applyAlignment="1" applyProtection="1">
      <alignment horizontal="center" vertical="center" shrinkToFit="1" readingOrder="2"/>
    </xf>
    <xf numFmtId="2" fontId="4" fillId="0" borderId="0" xfId="1" applyNumberFormat="1" applyFont="1" applyAlignment="1" applyProtection="1">
      <alignment horizontal="center" vertical="center" shrinkToFit="1" readingOrder="2"/>
    </xf>
    <xf numFmtId="0" fontId="41" fillId="0" borderId="10" xfId="1" applyFont="1" applyBorder="1" applyAlignment="1" applyProtection="1">
      <alignment horizontal="center" vertical="center" wrapText="1" readingOrder="2"/>
    </xf>
    <xf numFmtId="0" fontId="43" fillId="0" borderId="28" xfId="1" applyFont="1" applyBorder="1" applyAlignment="1" applyProtection="1">
      <alignment horizontal="center" vertical="center" wrapText="1" readingOrder="2"/>
    </xf>
    <xf numFmtId="2" fontId="39" fillId="16" borderId="27" xfId="1" applyNumberFormat="1" applyFont="1" applyFill="1" applyBorder="1" applyAlignment="1" applyProtection="1">
      <alignment horizontal="center" vertical="center" wrapText="1" readingOrder="2"/>
      <protection locked="0"/>
    </xf>
    <xf numFmtId="0" fontId="43" fillId="13" borderId="27" xfId="1" applyFont="1" applyFill="1" applyBorder="1" applyAlignment="1" applyProtection="1">
      <alignment horizontal="center" vertical="center" wrapText="1" readingOrder="2"/>
    </xf>
    <xf numFmtId="2" fontId="4" fillId="0" borderId="0" xfId="1" applyNumberFormat="1" applyFont="1" applyFill="1" applyBorder="1" applyAlignment="1" applyProtection="1">
      <alignment vertical="top" shrinkToFit="1" readingOrder="2"/>
    </xf>
    <xf numFmtId="0" fontId="4" fillId="0" borderId="0" xfId="1" applyFont="1" applyFill="1" applyBorder="1" applyAlignment="1" applyProtection="1">
      <alignment vertical="top" shrinkToFit="1" readingOrder="2"/>
    </xf>
    <xf numFmtId="0" fontId="43" fillId="0" borderId="6" xfId="1" applyFont="1" applyBorder="1" applyAlignment="1" applyProtection="1">
      <alignment horizontal="center" vertical="center" wrapText="1" readingOrder="2"/>
    </xf>
    <xf numFmtId="0" fontId="43" fillId="13" borderId="7" xfId="1" applyFont="1" applyFill="1" applyBorder="1" applyAlignment="1" applyProtection="1">
      <alignment horizontal="center" vertical="center" wrapText="1" readingOrder="2"/>
    </xf>
    <xf numFmtId="2" fontId="39" fillId="16" borderId="7" xfId="1" applyNumberFormat="1" applyFont="1" applyFill="1" applyBorder="1" applyAlignment="1" applyProtection="1">
      <alignment horizontal="center" vertical="center" wrapText="1" readingOrder="2"/>
      <protection locked="0"/>
    </xf>
    <xf numFmtId="0" fontId="43" fillId="0" borderId="56" xfId="1" applyFont="1" applyBorder="1" applyAlignment="1" applyProtection="1">
      <alignment horizontal="center" vertical="center" wrapText="1" readingOrder="2"/>
    </xf>
    <xf numFmtId="0" fontId="43" fillId="13" borderId="57" xfId="1" applyFont="1" applyFill="1" applyBorder="1" applyAlignment="1" applyProtection="1">
      <alignment horizontal="center" vertical="center" wrapText="1" readingOrder="2"/>
    </xf>
    <xf numFmtId="2" fontId="39" fillId="16" borderId="57" xfId="1" applyNumberFormat="1" applyFont="1" applyFill="1" applyBorder="1" applyAlignment="1" applyProtection="1">
      <alignment horizontal="center" vertical="center" wrapText="1" readingOrder="2"/>
      <protection locked="0"/>
    </xf>
    <xf numFmtId="166" fontId="4" fillId="0" borderId="0" xfId="1" applyNumberFormat="1" applyFont="1" applyBorder="1" applyAlignment="1" applyProtection="1">
      <alignment vertical="center" shrinkToFit="1" readingOrder="2"/>
    </xf>
    <xf numFmtId="0" fontId="44" fillId="0" borderId="0" xfId="1" applyFont="1" applyAlignment="1" applyProtection="1">
      <alignment horizontal="right" wrapText="1" readingOrder="2"/>
    </xf>
    <xf numFmtId="0" fontId="4" fillId="0" borderId="10" xfId="1" applyFont="1" applyFill="1" applyBorder="1" applyAlignment="1" applyProtection="1">
      <alignment horizontal="center" vertical="center" textRotation="90" shrinkToFit="1" readingOrder="2"/>
    </xf>
    <xf numFmtId="0" fontId="4" fillId="0" borderId="10" xfId="1" applyFont="1" applyBorder="1" applyAlignment="1" applyProtection="1">
      <alignment horizontal="center" vertical="center" textRotation="90" shrinkToFit="1" readingOrder="2"/>
    </xf>
    <xf numFmtId="0" fontId="2" fillId="0" borderId="0" xfId="1" applyFont="1" applyAlignment="1" applyProtection="1">
      <alignment horizontal="center" vertical="center" shrinkToFit="1"/>
    </xf>
    <xf numFmtId="0" fontId="2" fillId="0" borderId="0" xfId="1" quotePrefix="1" applyFont="1" applyAlignment="1" applyProtection="1">
      <alignment horizontal="center" vertical="center" shrinkToFit="1"/>
    </xf>
    <xf numFmtId="0" fontId="2" fillId="0" borderId="0" xfId="1" applyFont="1" applyBorder="1" applyAlignment="1" applyProtection="1">
      <alignment horizontal="center" vertical="center" shrinkToFit="1"/>
    </xf>
    <xf numFmtId="0" fontId="2" fillId="0" borderId="0" xfId="1" applyFont="1" applyAlignment="1" applyProtection="1">
      <alignment vertical="center" shrinkToFit="1"/>
    </xf>
    <xf numFmtId="0" fontId="2" fillId="0" borderId="0" xfId="1" applyFont="1" applyFill="1" applyBorder="1" applyAlignment="1" applyProtection="1">
      <alignment horizontal="center" vertical="center" shrinkToFit="1"/>
    </xf>
    <xf numFmtId="0" fontId="2" fillId="0" borderId="64" xfId="1" applyFont="1" applyBorder="1" applyAlignment="1" applyProtection="1">
      <alignment horizontal="center" vertical="center" shrinkToFit="1"/>
      <protection locked="0"/>
    </xf>
    <xf numFmtId="0" fontId="5" fillId="0" borderId="55" xfId="1" applyFont="1" applyBorder="1" applyAlignment="1" applyProtection="1">
      <alignment horizontal="center" vertical="center" shrinkToFit="1"/>
      <protection locked="0"/>
    </xf>
    <xf numFmtId="0" fontId="2" fillId="0" borderId="6" xfId="1" applyFont="1" applyBorder="1" applyAlignment="1" applyProtection="1">
      <alignment horizontal="center" vertical="center" shrinkToFit="1"/>
      <protection locked="0"/>
    </xf>
    <xf numFmtId="0" fontId="9" fillId="0" borderId="0" xfId="1" applyFont="1" applyAlignment="1" applyProtection="1">
      <alignment vertical="center" shrinkToFit="1" readingOrder="2"/>
    </xf>
    <xf numFmtId="0" fontId="9" fillId="0" borderId="0" xfId="1" applyFont="1" applyFill="1" applyAlignment="1" applyProtection="1">
      <alignment vertical="center" shrinkToFit="1" readingOrder="2"/>
    </xf>
    <xf numFmtId="0" fontId="2" fillId="0" borderId="0" xfId="1" applyFont="1" applyFill="1" applyAlignment="1" applyProtection="1">
      <alignment horizontal="center" vertical="center" shrinkToFit="1"/>
    </xf>
    <xf numFmtId="0" fontId="2" fillId="0" borderId="0" xfId="1" applyFont="1" applyBorder="1" applyAlignment="1" applyProtection="1">
      <alignment horizontal="center" vertical="center"/>
    </xf>
    <xf numFmtId="0" fontId="15" fillId="0" borderId="55" xfId="1" applyFont="1" applyBorder="1" applyAlignment="1" applyProtection="1">
      <alignment horizontal="center" vertical="center" shrinkToFit="1"/>
      <protection locked="0"/>
    </xf>
    <xf numFmtId="0" fontId="5" fillId="0" borderId="57" xfId="1" applyFont="1" applyBorder="1" applyAlignment="1" applyProtection="1">
      <alignment horizontal="center" vertical="center" shrinkToFit="1"/>
      <protection locked="0"/>
    </xf>
    <xf numFmtId="0" fontId="2" fillId="0" borderId="56" xfId="1" applyFont="1" applyBorder="1" applyAlignment="1" applyProtection="1">
      <alignment horizontal="center" vertical="center" shrinkToFit="1"/>
      <protection locked="0"/>
    </xf>
    <xf numFmtId="0" fontId="15" fillId="0" borderId="57" xfId="1" applyFont="1" applyBorder="1" applyAlignment="1" applyProtection="1">
      <alignment horizontal="center" vertical="center" shrinkToFit="1"/>
    </xf>
    <xf numFmtId="0" fontId="15" fillId="0" borderId="57" xfId="1" applyFont="1" applyBorder="1" applyAlignment="1" applyProtection="1">
      <alignment horizontal="center" vertical="center" shrinkToFit="1"/>
      <protection locked="0"/>
    </xf>
    <xf numFmtId="0" fontId="30" fillId="14" borderId="1" xfId="1" applyFont="1" applyFill="1" applyBorder="1" applyAlignment="1" applyProtection="1">
      <alignment horizontal="center" vertical="center" shrinkToFit="1"/>
    </xf>
    <xf numFmtId="2" fontId="30" fillId="0" borderId="63" xfId="1" applyNumberFormat="1" applyFont="1" applyBorder="1" applyAlignment="1" applyProtection="1">
      <alignment horizontal="center" vertical="center" shrinkToFit="1"/>
    </xf>
    <xf numFmtId="0" fontId="30" fillId="14" borderId="19" xfId="1" applyFont="1" applyFill="1" applyBorder="1" applyAlignment="1" applyProtection="1">
      <alignment horizontal="center" vertical="center" shrinkToFit="1"/>
    </xf>
    <xf numFmtId="2" fontId="30" fillId="0" borderId="71" xfId="1" applyNumberFormat="1" applyFont="1" applyBorder="1" applyAlignment="1" applyProtection="1">
      <alignment horizontal="center" vertical="center" shrinkToFit="1"/>
    </xf>
    <xf numFmtId="2" fontId="23" fillId="13" borderId="1" xfId="1" applyNumberFormat="1" applyFont="1" applyFill="1" applyBorder="1" applyAlignment="1" applyProtection="1">
      <alignment horizontal="center" vertical="center" shrinkToFit="1" readingOrder="2"/>
    </xf>
    <xf numFmtId="2" fontId="45" fillId="13" borderId="63" xfId="1" applyNumberFormat="1" applyFont="1" applyFill="1" applyBorder="1" applyAlignment="1" applyProtection="1">
      <alignment horizontal="center" vertical="center" shrinkToFit="1" readingOrder="2"/>
    </xf>
    <xf numFmtId="0" fontId="46" fillId="0" borderId="0" xfId="1" applyFont="1" applyAlignment="1" applyProtection="1">
      <alignment vertical="center" wrapText="1" shrinkToFit="1" readingOrder="2"/>
    </xf>
    <xf numFmtId="0" fontId="5" fillId="0" borderId="0" xfId="1" applyFont="1" applyFill="1" applyAlignment="1" applyProtection="1">
      <alignment horizontal="center" vertical="center" shrinkToFit="1"/>
    </xf>
    <xf numFmtId="49" fontId="31" fillId="0" borderId="2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protection locked="0"/>
    </xf>
    <xf numFmtId="49" fontId="19" fillId="0" borderId="27" xfId="1" applyNumberFormat="1" applyFont="1" applyBorder="1" applyAlignment="1" applyProtection="1">
      <alignment vertical="center" wrapText="1" readingOrder="2"/>
      <protection locked="0"/>
    </xf>
    <xf numFmtId="49" fontId="31" fillId="0" borderId="27"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0" fontId="4" fillId="0" borderId="0" xfId="1" applyFont="1" applyAlignment="1" applyProtection="1">
      <alignment horizontal="right" vertical="center" readingOrder="2"/>
    </xf>
    <xf numFmtId="0" fontId="5" fillId="0" borderId="0" xfId="0" applyFont="1" applyAlignment="1" applyProtection="1">
      <alignment vertical="center" shrinkToFit="1" readingOrder="2"/>
      <protection hidden="1"/>
    </xf>
    <xf numFmtId="0" fontId="5" fillId="0" borderId="19" xfId="0" applyFont="1" applyBorder="1" applyAlignment="1" applyProtection="1">
      <alignment vertical="center" shrinkToFit="1" readingOrder="2"/>
      <protection hidden="1"/>
    </xf>
    <xf numFmtId="0" fontId="5" fillId="0" borderId="13" xfId="0" applyFont="1" applyBorder="1" applyAlignment="1" applyProtection="1">
      <alignment vertical="center" shrinkToFit="1" readingOrder="2"/>
      <protection hidden="1"/>
    </xf>
    <xf numFmtId="0" fontId="5" fillId="0" borderId="0" xfId="1" applyFont="1" applyAlignment="1" applyProtection="1">
      <alignment horizontal="right" vertical="center" readingOrder="2"/>
    </xf>
    <xf numFmtId="0" fontId="2" fillId="0" borderId="19" xfId="1" applyFont="1" applyBorder="1" applyAlignment="1" applyProtection="1">
      <alignment shrinkToFit="1"/>
    </xf>
    <xf numFmtId="0" fontId="0" fillId="0" borderId="0" xfId="0" applyAlignment="1" applyProtection="1">
      <alignment horizontal="center" vertical="center" readingOrder="2"/>
    </xf>
    <xf numFmtId="0" fontId="0" fillId="0" borderId="0" xfId="0" applyAlignment="1" applyProtection="1">
      <protection hidden="1"/>
    </xf>
    <xf numFmtId="49" fontId="19" fillId="0" borderId="38" xfId="1" applyNumberFormat="1" applyFont="1" applyBorder="1" applyAlignment="1" applyProtection="1">
      <alignment horizontal="center" vertical="center" wrapText="1" shrinkToFit="1" readingOrder="2"/>
      <protection locked="0"/>
    </xf>
    <xf numFmtId="2" fontId="14" fillId="8" borderId="30" xfId="0" applyNumberFormat="1" applyFont="1" applyFill="1" applyBorder="1" applyAlignment="1" applyProtection="1">
      <alignment horizontal="center" vertical="center" shrinkToFit="1" readingOrder="2"/>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49" fontId="19" fillId="0" borderId="7"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0" fontId="15" fillId="0" borderId="7" xfId="1" applyFont="1" applyBorder="1" applyAlignment="1" applyProtection="1">
      <alignment horizontal="center" vertical="center" shrinkToFit="1"/>
      <protection locked="0"/>
    </xf>
    <xf numFmtId="0" fontId="5" fillId="0" borderId="0" xfId="1" applyFont="1" applyAlignment="1" applyProtection="1">
      <alignment horizontal="center" vertical="center" shrinkToFit="1" readingOrder="2"/>
    </xf>
    <xf numFmtId="0" fontId="15" fillId="0" borderId="10" xfId="1" applyFont="1" applyBorder="1" applyAlignment="1" applyProtection="1">
      <alignment horizontal="center" vertical="center" wrapText="1" shrinkToFit="1" readingOrder="2"/>
    </xf>
    <xf numFmtId="49" fontId="9" fillId="0" borderId="29" xfId="1" applyNumberFormat="1" applyFont="1" applyBorder="1" applyAlignment="1" applyProtection="1">
      <alignment horizontal="center" vertical="center" wrapText="1" shrinkToFit="1" readingOrder="2"/>
      <protection locked="0"/>
    </xf>
    <xf numFmtId="49" fontId="9" fillId="0" borderId="8" xfId="1" applyNumberFormat="1" applyFont="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49" fontId="9" fillId="0" borderId="58" xfId="1" applyNumberFormat="1" applyFont="1" applyBorder="1" applyAlignment="1" applyProtection="1">
      <alignment horizontal="center" vertical="center" wrapText="1" shrinkToFit="1" readingOrder="2"/>
      <protection locked="0"/>
    </xf>
    <xf numFmtId="2" fontId="10" fillId="0" borderId="57" xfId="1" applyNumberFormat="1" applyFont="1" applyFill="1" applyBorder="1" applyAlignment="1" applyProtection="1">
      <alignment horizontal="center" vertical="center" shrinkToFit="1" readingOrder="2"/>
      <protection locked="0"/>
    </xf>
    <xf numFmtId="0" fontId="15" fillId="0" borderId="7" xfId="1" applyFont="1" applyBorder="1" applyAlignment="1" applyProtection="1">
      <alignment horizontal="center" vertical="center" shrinkToFit="1"/>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1" fontId="2" fillId="0" borderId="28" xfId="1" applyNumberFormat="1" applyFont="1" applyBorder="1" applyAlignment="1" applyProtection="1">
      <alignment horizontal="center" vertical="center" shrinkToFit="1" readingOrder="2"/>
      <protection locked="0"/>
    </xf>
    <xf numFmtId="1" fontId="2" fillId="0" borderId="6" xfId="1" applyNumberFormat="1" applyFont="1" applyBorder="1" applyAlignment="1" applyProtection="1">
      <alignment horizontal="center" vertical="center" shrinkToFit="1" readingOrder="2"/>
      <protection locked="0"/>
    </xf>
    <xf numFmtId="1" fontId="2" fillId="0" borderId="9" xfId="1" applyNumberFormat="1" applyFont="1" applyBorder="1" applyAlignment="1" applyProtection="1">
      <alignment horizontal="center" vertical="center" shrinkToFit="1" readingOrder="2"/>
      <protection locked="0"/>
    </xf>
    <xf numFmtId="1" fontId="2" fillId="0" borderId="2" xfId="1" applyNumberFormat="1" applyFont="1" applyBorder="1" applyAlignment="1" applyProtection="1">
      <alignment horizontal="center" vertical="center" shrinkToFit="1" readingOrder="2"/>
      <protection locked="0"/>
    </xf>
    <xf numFmtId="0" fontId="37" fillId="0" borderId="27" xfId="1" applyNumberFormat="1" applyFont="1" applyBorder="1" applyAlignment="1" applyProtection="1">
      <alignment horizontal="center" vertical="center" wrapText="1" readingOrder="1"/>
    </xf>
    <xf numFmtId="0" fontId="2" fillId="0" borderId="27" xfId="1" applyFont="1" applyBorder="1" applyAlignment="1" applyProtection="1">
      <alignment horizontal="center" vertical="center" shrinkToFit="1"/>
      <protection locked="0"/>
    </xf>
    <xf numFmtId="0" fontId="15" fillId="0" borderId="27" xfId="1" applyFont="1" applyBorder="1" applyAlignment="1" applyProtection="1">
      <alignment horizontal="center" vertical="center" shrinkToFit="1"/>
      <protection locked="0"/>
    </xf>
    <xf numFmtId="0" fontId="5" fillId="0" borderId="27" xfId="1" applyFont="1" applyBorder="1" applyAlignment="1" applyProtection="1">
      <alignment horizontal="center" vertical="center" shrinkToFit="1"/>
      <protection locked="0"/>
    </xf>
    <xf numFmtId="0" fontId="2" fillId="0" borderId="69" xfId="1" applyFont="1" applyBorder="1" applyAlignment="1" applyProtection="1">
      <alignment horizontal="center" vertical="center" textRotation="90" shrinkToFit="1"/>
    </xf>
    <xf numFmtId="0" fontId="2" fillId="0" borderId="62" xfId="1" applyFont="1" applyBorder="1" applyAlignment="1" applyProtection="1">
      <alignment horizontal="center" vertical="center" wrapText="1" shrinkToFit="1"/>
    </xf>
    <xf numFmtId="0" fontId="2" fillId="0" borderId="30" xfId="1" applyFont="1" applyBorder="1" applyAlignment="1" applyProtection="1">
      <alignment horizontal="center" vertical="center" shrinkToFit="1"/>
    </xf>
    <xf numFmtId="0" fontId="2" fillId="0" borderId="63" xfId="1" applyFont="1" applyBorder="1" applyAlignment="1" applyProtection="1">
      <alignment horizontal="center" vertical="center" wrapText="1" shrinkToFit="1"/>
    </xf>
    <xf numFmtId="0" fontId="15" fillId="0" borderId="27" xfId="1" applyFont="1" applyBorder="1" applyAlignment="1" applyProtection="1">
      <alignment vertical="center" shrinkToFit="1"/>
      <protection locked="0"/>
    </xf>
    <xf numFmtId="2" fontId="10" fillId="0" borderId="27" xfId="1" applyNumberFormat="1" applyFont="1" applyBorder="1" applyAlignment="1" applyProtection="1">
      <alignment horizontal="center" vertical="center" shrinkToFit="1"/>
    </xf>
    <xf numFmtId="0" fontId="15" fillId="0" borderId="43" xfId="1" applyFont="1" applyBorder="1" applyAlignment="1" applyProtection="1">
      <alignment vertical="center" shrinkToFit="1"/>
      <protection locked="0"/>
    </xf>
    <xf numFmtId="2" fontId="10" fillId="0" borderId="29" xfId="1" applyNumberFormat="1" applyFont="1" applyBorder="1" applyAlignment="1" applyProtection="1">
      <alignment horizontal="center" vertical="center" shrinkToFit="1"/>
    </xf>
    <xf numFmtId="0" fontId="15" fillId="0" borderId="33" xfId="1" applyFont="1" applyBorder="1" applyAlignment="1" applyProtection="1">
      <alignment vertical="center" shrinkToFit="1"/>
      <protection locked="0"/>
    </xf>
    <xf numFmtId="2" fontId="10" fillId="0" borderId="65" xfId="1" applyNumberFormat="1" applyFont="1" applyBorder="1" applyAlignment="1" applyProtection="1">
      <alignment horizontal="center" vertical="center" shrinkToFit="1"/>
    </xf>
    <xf numFmtId="0" fontId="15" fillId="0" borderId="38" xfId="1" applyFont="1" applyBorder="1" applyAlignment="1" applyProtection="1">
      <alignment vertical="center" shrinkToFit="1"/>
      <protection locked="0"/>
    </xf>
    <xf numFmtId="2" fontId="10" fillId="0" borderId="8" xfId="1" applyNumberFormat="1" applyFont="1" applyBorder="1" applyAlignment="1" applyProtection="1">
      <alignment horizontal="center" vertical="center" shrinkToFit="1"/>
    </xf>
    <xf numFmtId="1" fontId="19" fillId="0" borderId="27" xfId="1" applyNumberFormat="1" applyFont="1" applyBorder="1" applyAlignment="1" applyProtection="1">
      <alignment horizontal="center" vertical="center" wrapText="1" shrinkToFit="1" readingOrder="2"/>
      <protection locked="0"/>
    </xf>
    <xf numFmtId="0" fontId="2" fillId="0" borderId="10" xfId="1" applyFont="1" applyBorder="1" applyAlignment="1" applyProtection="1">
      <alignment horizontal="center" vertical="center" wrapText="1" shrinkToFit="1" readingOrder="2"/>
    </xf>
    <xf numFmtId="2" fontId="10" fillId="12" borderId="27" xfId="1" applyNumberFormat="1" applyFont="1" applyFill="1" applyBorder="1" applyAlignment="1" applyProtection="1">
      <alignment horizontal="center" vertical="center" shrinkToFit="1" readingOrder="2"/>
    </xf>
    <xf numFmtId="2" fontId="10" fillId="12" borderId="7" xfId="1" applyNumberFormat="1" applyFont="1" applyFill="1" applyBorder="1" applyAlignment="1" applyProtection="1">
      <alignment horizontal="center" vertical="center" shrinkToFit="1" readingOrder="2"/>
    </xf>
    <xf numFmtId="2" fontId="10" fillId="7" borderId="27" xfId="1" applyNumberFormat="1" applyFont="1" applyFill="1" applyBorder="1" applyAlignment="1" applyProtection="1">
      <alignment horizontal="center" vertical="center" shrinkToFit="1" readingOrder="2"/>
      <protection locked="0"/>
    </xf>
    <xf numFmtId="2" fontId="10" fillId="7" borderId="57" xfId="1" applyNumberFormat="1" applyFont="1" applyFill="1" applyBorder="1" applyAlignment="1" applyProtection="1">
      <alignment horizontal="center" vertical="center" shrinkToFit="1" readingOrder="2"/>
      <protection locked="0"/>
    </xf>
    <xf numFmtId="0" fontId="2" fillId="0" borderId="63" xfId="1" applyFont="1" applyBorder="1" applyAlignment="1" applyProtection="1">
      <alignment horizontal="right" vertical="center" shrinkToFit="1" readingOrder="2"/>
      <protection locked="0"/>
    </xf>
    <xf numFmtId="0" fontId="3" fillId="0" borderId="0" xfId="1" applyFont="1" applyFill="1" applyBorder="1" applyAlignment="1" applyProtection="1">
      <alignment horizontal="center" vertical="center" shrinkToFit="1"/>
      <protection hidden="1"/>
    </xf>
    <xf numFmtId="0" fontId="3" fillId="0" borderId="0" xfId="1" applyFont="1" applyFill="1" applyAlignment="1" applyProtection="1">
      <alignment horizontal="center" vertical="center" shrinkToFit="1"/>
      <protection hidden="1"/>
    </xf>
    <xf numFmtId="0" fontId="8" fillId="0" borderId="0" xfId="1" applyFont="1" applyFill="1" applyAlignment="1" applyProtection="1">
      <alignment horizontal="center" vertical="center" shrinkToFit="1"/>
      <protection hidden="1"/>
    </xf>
    <xf numFmtId="0" fontId="3" fillId="4" borderId="0" xfId="1" applyFont="1" applyFill="1" applyAlignment="1" applyProtection="1">
      <alignment horizontal="center" vertical="center" shrinkToFit="1"/>
      <protection hidden="1"/>
    </xf>
    <xf numFmtId="0" fontId="8" fillId="5" borderId="0" xfId="1" applyFont="1" applyFill="1" applyAlignment="1" applyProtection="1">
      <alignment horizontal="center" vertical="center" shrinkToFit="1"/>
      <protection hidden="1"/>
    </xf>
    <xf numFmtId="0" fontId="8" fillId="6" borderId="0" xfId="1" applyFont="1" applyFill="1" applyAlignment="1" applyProtection="1">
      <alignment horizontal="center" vertical="center" shrinkToFit="1"/>
      <protection hidden="1"/>
    </xf>
    <xf numFmtId="0" fontId="5" fillId="8" borderId="0" xfId="1" applyFont="1" applyFill="1" applyAlignment="1" applyProtection="1">
      <alignment horizontal="center" vertical="center" shrinkToFit="1"/>
      <protection hidden="1"/>
    </xf>
    <xf numFmtId="0" fontId="5" fillId="2" borderId="0" xfId="1" applyFont="1" applyFill="1" applyAlignment="1" applyProtection="1">
      <alignment horizontal="center" vertical="center" shrinkToFit="1"/>
      <protection hidden="1"/>
    </xf>
    <xf numFmtId="0" fontId="5" fillId="9" borderId="0" xfId="1" applyFont="1" applyFill="1" applyAlignment="1" applyProtection="1">
      <alignment horizontal="center" vertical="center" shrinkToFit="1"/>
      <protection hidden="1"/>
    </xf>
    <xf numFmtId="0" fontId="15" fillId="0" borderId="10"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textRotation="90" shrinkToFit="1" readingOrder="2"/>
      <protection hidden="1"/>
    </xf>
    <xf numFmtId="0" fontId="7" fillId="0" borderId="0" xfId="1" applyFont="1" applyFill="1" applyBorder="1" applyAlignment="1" applyProtection="1">
      <alignment horizontal="center" vertical="center" textRotation="90" shrinkToFit="1" readingOrder="2"/>
      <protection hidden="1"/>
    </xf>
    <xf numFmtId="0" fontId="5" fillId="0" borderId="0" xfId="1" applyFont="1" applyAlignment="1" applyProtection="1">
      <alignment horizontal="center" vertical="center" wrapText="1" shrinkToFit="1"/>
      <protection hidden="1"/>
    </xf>
    <xf numFmtId="0" fontId="11" fillId="0" borderId="0" xfId="1" applyFont="1" applyFill="1" applyAlignment="1" applyProtection="1">
      <alignment horizontal="center" vertical="center" wrapText="1" shrinkToFit="1"/>
      <protection hidden="1"/>
    </xf>
    <xf numFmtId="0" fontId="12" fillId="0" borderId="0" xfId="1" applyFont="1" applyAlignment="1" applyProtection="1">
      <alignment horizontal="center" vertical="center" wrapText="1" shrinkToFit="1"/>
      <protection hidden="1"/>
    </xf>
    <xf numFmtId="0" fontId="20" fillId="0" borderId="0" xfId="1" applyFont="1" applyAlignment="1" applyProtection="1">
      <alignment horizontal="center" vertical="center" wrapText="1" shrinkToFit="1"/>
      <protection hidden="1"/>
    </xf>
    <xf numFmtId="0" fontId="22" fillId="0" borderId="0" xfId="1" applyFont="1" applyFill="1" applyAlignment="1" applyProtection="1">
      <alignment horizontal="center" vertical="center" wrapText="1" shrinkToFit="1"/>
      <protection hidden="1"/>
    </xf>
    <xf numFmtId="0" fontId="23" fillId="13" borderId="1" xfId="1" applyFont="1" applyFill="1" applyBorder="1" applyAlignment="1" applyProtection="1">
      <alignment horizontal="center" vertical="center" shrinkToFit="1" readingOrder="2"/>
      <protection hidden="1"/>
    </xf>
    <xf numFmtId="0" fontId="13" fillId="13" borderId="1" xfId="1" applyFont="1" applyFill="1" applyBorder="1" applyAlignment="1" applyProtection="1">
      <alignment horizontal="center" vertical="center" shrinkToFit="1" readingOrder="2"/>
      <protection hidden="1"/>
    </xf>
    <xf numFmtId="1" fontId="13" fillId="13" borderId="1" xfId="1" applyNumberFormat="1" applyFont="1" applyFill="1" applyBorder="1" applyAlignment="1" applyProtection="1">
      <alignment horizontal="center" vertical="center" shrinkToFit="1" readingOrder="2"/>
      <protection hidden="1"/>
    </xf>
    <xf numFmtId="0" fontId="0" fillId="0" borderId="0" xfId="0" applyFill="1" applyProtection="1">
      <protection hidden="1"/>
    </xf>
    <xf numFmtId="0" fontId="5" fillId="0" borderId="0" xfId="1" applyFont="1" applyFill="1" applyAlignment="1" applyProtection="1">
      <alignment horizontal="center" vertical="center" shrinkToFit="1"/>
      <protection hidden="1"/>
    </xf>
    <xf numFmtId="0" fontId="5" fillId="0" borderId="0" xfId="1" applyFont="1" applyFill="1" applyAlignment="1" applyProtection="1">
      <alignment horizontal="center" vertical="center" wrapText="1" shrinkToFit="1"/>
      <protection hidden="1"/>
    </xf>
    <xf numFmtId="0" fontId="12" fillId="0" borderId="0" xfId="1" applyFont="1" applyFill="1" applyAlignment="1" applyProtection="1">
      <alignment horizontal="center" vertical="center" wrapText="1" shrinkToFit="1"/>
      <protection hidden="1"/>
    </xf>
    <xf numFmtId="0" fontId="20" fillId="0" borderId="0" xfId="1" applyFont="1" applyFill="1" applyAlignment="1" applyProtection="1">
      <alignment horizontal="center" vertical="center" wrapText="1" shrinkToFit="1"/>
      <protection hidden="1"/>
    </xf>
    <xf numFmtId="2" fontId="23" fillId="14" borderId="48" xfId="0" applyNumberFormat="1" applyFont="1" applyFill="1" applyBorder="1" applyAlignment="1" applyProtection="1">
      <alignment horizontal="center" vertical="center" shrinkToFit="1" readingOrder="2"/>
      <protection hidden="1"/>
    </xf>
    <xf numFmtId="2" fontId="14" fillId="11" borderId="22" xfId="0" applyNumberFormat="1" applyFont="1" applyFill="1" applyBorder="1" applyAlignment="1" applyProtection="1">
      <alignment horizontal="center" vertical="center" shrinkToFit="1" readingOrder="2"/>
      <protection hidden="1"/>
    </xf>
    <xf numFmtId="2" fontId="14" fillId="8" borderId="3" xfId="0" applyNumberFormat="1" applyFont="1" applyFill="1" applyBorder="1" applyAlignment="1" applyProtection="1">
      <alignment horizontal="center" vertical="center" shrinkToFit="1" readingOrder="2"/>
      <protection hidden="1"/>
    </xf>
    <xf numFmtId="2" fontId="23" fillId="14" borderId="53" xfId="0" applyNumberFormat="1" applyFont="1" applyFill="1" applyBorder="1" applyAlignment="1" applyProtection="1">
      <alignment horizontal="center" vertical="center" shrinkToFit="1" readingOrder="2"/>
      <protection hidden="1"/>
    </xf>
    <xf numFmtId="2" fontId="14" fillId="11" borderId="52" xfId="0" applyNumberFormat="1" applyFont="1" applyFill="1" applyBorder="1" applyAlignment="1" applyProtection="1">
      <alignment horizontal="center" vertical="center" shrinkToFit="1" readingOrder="2"/>
      <protection hidden="1"/>
    </xf>
    <xf numFmtId="2" fontId="14" fillId="8" borderId="10" xfId="0" applyNumberFormat="1" applyFont="1" applyFill="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shrinkToFit="1" readingOrder="2"/>
      <protection hidden="1"/>
    </xf>
    <xf numFmtId="2" fontId="23" fillId="13" borderId="1" xfId="0" applyNumberFormat="1" applyFont="1" applyFill="1" applyBorder="1" applyAlignment="1" applyProtection="1">
      <alignment horizontal="center" vertical="center" shrinkToFit="1" readingOrder="2"/>
      <protection hidden="1"/>
    </xf>
    <xf numFmtId="2" fontId="14" fillId="11" borderId="62" xfId="0" applyNumberFormat="1" applyFont="1" applyFill="1" applyBorder="1" applyAlignment="1" applyProtection="1">
      <alignment horizontal="center" vertical="center" shrinkToFit="1" readingOrder="2"/>
      <protection hidden="1"/>
    </xf>
    <xf numFmtId="2" fontId="14" fillId="8" borderId="30" xfId="0" applyNumberFormat="1" applyFont="1" applyFill="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locked="0" hidden="1"/>
    </xf>
    <xf numFmtId="1" fontId="2" fillId="0" borderId="56" xfId="1" applyNumberFormat="1" applyFont="1" applyBorder="1" applyAlignment="1" applyProtection="1">
      <alignment horizontal="center" vertical="center" shrinkToFit="1" readingOrder="2"/>
      <protection locked="0" hidden="1"/>
    </xf>
    <xf numFmtId="0" fontId="5" fillId="0" borderId="0" xfId="1" applyFont="1" applyAlignment="1" applyProtection="1">
      <alignment horizontal="center" vertical="center" shrinkToFit="1"/>
      <protection hidden="1"/>
    </xf>
    <xf numFmtId="0" fontId="15" fillId="0" borderId="25"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hidden="1"/>
    </xf>
    <xf numFmtId="1" fontId="2" fillId="0" borderId="56" xfId="1" applyNumberFormat="1" applyFont="1" applyBorder="1" applyAlignment="1" applyProtection="1">
      <alignment horizontal="center" vertical="center" shrinkToFit="1" readingOrder="2"/>
      <protection hidden="1"/>
    </xf>
    <xf numFmtId="2" fontId="23" fillId="13" borderId="48" xfId="1" applyNumberFormat="1" applyFont="1" applyFill="1" applyBorder="1" applyAlignment="1" applyProtection="1">
      <alignment horizontal="center" vertical="center" shrinkToFit="1" readingOrder="2"/>
      <protection hidden="1"/>
    </xf>
    <xf numFmtId="2" fontId="23" fillId="13" borderId="13" xfId="1" applyNumberFormat="1" applyFont="1" applyFill="1" applyBorder="1" applyAlignment="1" applyProtection="1">
      <alignment horizontal="center" vertical="center" shrinkToFit="1" readingOrder="2"/>
      <protection hidden="1"/>
    </xf>
    <xf numFmtId="2" fontId="14" fillId="8" borderId="14" xfId="1" applyNumberFormat="1" applyFont="1" applyFill="1" applyBorder="1" applyAlignment="1" applyProtection="1">
      <alignment horizontal="center" vertical="center" shrinkToFit="1" readingOrder="2"/>
      <protection hidden="1"/>
    </xf>
    <xf numFmtId="2" fontId="14" fillId="11" borderId="14" xfId="1" applyNumberFormat="1" applyFont="1" applyFill="1" applyBorder="1" applyAlignment="1" applyProtection="1">
      <alignment horizontal="center" vertical="center" shrinkToFit="1" readingOrder="2"/>
      <protection hidden="1"/>
    </xf>
    <xf numFmtId="0" fontId="4" fillId="0" borderId="0" xfId="1" applyFont="1" applyBorder="1" applyAlignment="1" applyProtection="1">
      <alignment vertical="center" shrinkToFit="1"/>
      <protection hidden="1"/>
    </xf>
    <xf numFmtId="0" fontId="4" fillId="0" borderId="0" xfId="1" applyFont="1" applyAlignment="1" applyProtection="1">
      <alignment horizontal="center" vertical="center" shrinkToFit="1"/>
      <protection hidden="1"/>
    </xf>
    <xf numFmtId="0" fontId="28" fillId="0" borderId="0" xfId="1" applyFont="1" applyAlignment="1" applyProtection="1">
      <alignment horizontal="center" vertical="center" shrinkToFit="1"/>
      <protection hidden="1"/>
    </xf>
    <xf numFmtId="0" fontId="4" fillId="0" borderId="0" xfId="1" applyFont="1" applyBorder="1" applyAlignment="1" applyProtection="1">
      <alignment horizontal="center" vertical="center" shrinkToFit="1"/>
      <protection hidden="1"/>
    </xf>
    <xf numFmtId="0" fontId="5" fillId="0" borderId="0" xfId="1" applyFont="1" applyBorder="1" applyAlignment="1" applyProtection="1">
      <alignment horizontal="center" vertical="center" shrinkToFit="1"/>
      <protection hidden="1"/>
    </xf>
    <xf numFmtId="0" fontId="9" fillId="0" borderId="0" xfId="1" applyFont="1" applyBorder="1" applyAlignment="1" applyProtection="1">
      <alignment horizontal="center" vertical="center" shrinkToFit="1" readingOrder="2"/>
      <protection hidden="1"/>
    </xf>
    <xf numFmtId="2" fontId="14" fillId="0" borderId="3" xfId="1" applyNumberFormat="1" applyFont="1" applyFill="1" applyBorder="1" applyAlignment="1" applyProtection="1">
      <alignment horizontal="center" vertical="center" shrinkToFit="1" readingOrder="2"/>
      <protection locked="0" hidden="1"/>
    </xf>
    <xf numFmtId="0" fontId="15" fillId="0" borderId="13" xfId="1" applyFont="1" applyBorder="1" applyAlignment="1" applyProtection="1">
      <alignment horizontal="center" vertical="center" wrapText="1" shrinkToFit="1" readingOrder="2"/>
      <protection hidden="1"/>
    </xf>
    <xf numFmtId="2" fontId="14" fillId="8" borderId="62" xfId="0" applyNumberFormat="1" applyFont="1" applyFill="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locked="0" hidden="1"/>
    </xf>
    <xf numFmtId="0" fontId="0" fillId="0" borderId="0" xfId="0" applyAlignment="1" applyProtection="1">
      <alignment horizontal="right"/>
      <protection hidden="1"/>
    </xf>
    <xf numFmtId="0" fontId="0" fillId="0" borderId="0" xfId="0" applyFill="1" applyAlignment="1" applyProtection="1">
      <alignment horizontal="right"/>
      <protection hidden="1"/>
    </xf>
    <xf numFmtId="0" fontId="5" fillId="0" borderId="0" xfId="1" applyFont="1" applyFill="1" applyAlignment="1" applyProtection="1">
      <alignment horizontal="right" vertical="center" shrinkToFit="1"/>
      <protection hidden="1"/>
    </xf>
    <xf numFmtId="0" fontId="15" fillId="0" borderId="11" xfId="1" applyFont="1" applyBorder="1" applyAlignment="1" applyProtection="1">
      <alignment horizontal="center" vertical="center" textRotation="90" shrinkToFit="1" readingOrder="2"/>
      <protection hidden="1"/>
    </xf>
    <xf numFmtId="0" fontId="13" fillId="0" borderId="0" xfId="0" applyFont="1" applyAlignment="1" applyProtection="1">
      <alignment horizontal="center"/>
      <protection hidden="1"/>
    </xf>
    <xf numFmtId="2" fontId="13" fillId="10" borderId="3" xfId="1" applyNumberFormat="1" applyFont="1" applyFill="1" applyBorder="1" applyAlignment="1" applyProtection="1">
      <alignment vertical="center" wrapText="1" shrinkToFit="1" readingOrder="2"/>
      <protection hidden="1"/>
    </xf>
    <xf numFmtId="2" fontId="13" fillId="2" borderId="3" xfId="1" applyNumberFormat="1" applyFont="1" applyFill="1" applyBorder="1" applyAlignment="1" applyProtection="1">
      <alignment horizontal="center" vertical="center" wrapText="1" shrinkToFit="1" readingOrder="2"/>
      <protection hidden="1"/>
    </xf>
    <xf numFmtId="2" fontId="13" fillId="10" borderId="10" xfId="1" applyNumberFormat="1" applyFont="1" applyFill="1" applyBorder="1" applyAlignment="1" applyProtection="1">
      <alignment vertical="center" wrapText="1" shrinkToFit="1" readingOrder="2"/>
      <protection hidden="1"/>
    </xf>
    <xf numFmtId="2" fontId="13" fillId="2" borderId="10" xfId="1" applyNumberFormat="1" applyFont="1" applyFill="1" applyBorder="1" applyAlignment="1" applyProtection="1">
      <alignment horizontal="center" vertical="center" wrapText="1" shrinkToFit="1" readingOrder="2"/>
      <protection hidden="1"/>
    </xf>
    <xf numFmtId="0" fontId="13" fillId="0" borderId="5" xfId="1" applyFont="1" applyBorder="1" applyAlignment="1" applyProtection="1">
      <alignment horizontal="center" vertical="center" wrapText="1" shrinkToFit="1" readingOrder="2"/>
      <protection locked="0" hidden="1"/>
    </xf>
    <xf numFmtId="0" fontId="13" fillId="0" borderId="11" xfId="1" applyFont="1" applyBorder="1" applyAlignment="1" applyProtection="1">
      <alignment horizontal="center" vertical="center" wrapText="1" shrinkToFit="1" readingOrder="2"/>
      <protection locked="0" hidden="1"/>
    </xf>
    <xf numFmtId="2" fontId="14" fillId="11" borderId="10" xfId="1" applyNumberFormat="1" applyFont="1" applyFill="1" applyBorder="1" applyAlignment="1" applyProtection="1">
      <alignment horizontal="center" vertical="center" shrinkToFit="1" readingOrder="2"/>
    </xf>
    <xf numFmtId="2" fontId="14" fillId="8" borderId="10" xfId="1" applyNumberFormat="1" applyFont="1" applyFill="1" applyBorder="1" applyAlignment="1" applyProtection="1">
      <alignment horizontal="center" vertical="center" shrinkToFit="1" readingOrder="2"/>
    </xf>
    <xf numFmtId="2" fontId="14" fillId="0" borderId="10" xfId="1" applyNumberFormat="1" applyFont="1" applyFill="1" applyBorder="1" applyAlignment="1" applyProtection="1">
      <alignment horizontal="center" vertical="center" shrinkToFit="1" readingOrder="2"/>
      <protection locked="0"/>
    </xf>
    <xf numFmtId="0" fontId="15" fillId="0" borderId="11" xfId="1" applyFont="1" applyFill="1" applyBorder="1" applyAlignment="1" applyProtection="1">
      <alignment vertical="center" shrinkToFit="1" readingOrder="2"/>
      <protection locked="0"/>
    </xf>
    <xf numFmtId="0" fontId="5" fillId="0" borderId="0" xfId="0" applyFont="1" applyAlignment="1" applyProtection="1">
      <alignment horizontal="center" vertical="center" shrinkToFit="1" readingOrder="2"/>
      <protection hidden="1"/>
    </xf>
    <xf numFmtId="0" fontId="2" fillId="0" borderId="0" xfId="0" applyFont="1" applyAlignment="1" applyProtection="1">
      <alignment horizontal="left" shrinkToFit="1" readingOrder="2"/>
      <protection hidden="1"/>
    </xf>
    <xf numFmtId="0" fontId="15" fillId="0" borderId="0" xfId="0"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xf>
    <xf numFmtId="0" fontId="2" fillId="0" borderId="7" xfId="1" applyNumberFormat="1" applyFont="1" applyBorder="1" applyAlignment="1" applyProtection="1">
      <alignment horizontal="center" vertical="center" shrinkToFit="1" readingOrder="2"/>
    </xf>
    <xf numFmtId="0" fontId="5" fillId="0" borderId="7" xfId="0" applyFont="1" applyBorder="1" applyAlignment="1" applyProtection="1">
      <alignment horizontal="center" vertical="center" shrinkToFit="1" readingOrder="2"/>
    </xf>
    <xf numFmtId="0" fontId="15" fillId="0" borderId="0" xfId="1" applyFont="1" applyFill="1" applyBorder="1" applyAlignment="1" applyProtection="1">
      <alignment vertical="center" shrinkToFit="1" readingOrder="2"/>
      <protection hidden="1"/>
    </xf>
    <xf numFmtId="166" fontId="14" fillId="11" borderId="3" xfId="1" applyNumberFormat="1" applyFont="1" applyFill="1" applyBorder="1" applyAlignment="1" applyProtection="1">
      <alignment horizontal="center" vertical="center" shrinkToFit="1" readingOrder="2"/>
      <protection hidden="1"/>
    </xf>
    <xf numFmtId="166" fontId="14" fillId="8" borderId="3" xfId="1" applyNumberFormat="1" applyFont="1" applyFill="1" applyBorder="1" applyAlignment="1" applyProtection="1">
      <alignment horizontal="center" vertical="center" shrinkToFit="1" readingOrder="2"/>
      <protection hidden="1"/>
    </xf>
    <xf numFmtId="166" fontId="14" fillId="11" borderId="7" xfId="1" applyNumberFormat="1" applyFont="1" applyFill="1" applyBorder="1" applyAlignment="1" applyProtection="1">
      <alignment horizontal="center" vertical="center" shrinkToFit="1" readingOrder="2"/>
      <protection hidden="1"/>
    </xf>
    <xf numFmtId="166" fontId="14" fillId="8" borderId="7" xfId="1" applyNumberFormat="1" applyFont="1" applyFill="1" applyBorder="1" applyAlignment="1" applyProtection="1">
      <alignment horizontal="center" vertical="center" shrinkToFit="1" readingOrder="2"/>
      <protection hidden="1"/>
    </xf>
    <xf numFmtId="166" fontId="23" fillId="13" borderId="32" xfId="1" applyNumberFormat="1" applyFont="1" applyFill="1" applyBorder="1" applyAlignment="1" applyProtection="1">
      <alignment horizontal="center" vertical="center" shrinkToFit="1" readingOrder="2"/>
      <protection hidden="1"/>
    </xf>
    <xf numFmtId="166" fontId="23" fillId="13" borderId="13" xfId="1" applyNumberFormat="1" applyFont="1" applyFill="1" applyBorder="1" applyAlignment="1" applyProtection="1">
      <alignment horizontal="center" vertical="center" shrinkToFit="1" readingOrder="2"/>
      <protection hidden="1"/>
    </xf>
    <xf numFmtId="2" fontId="23" fillId="13" borderId="19" xfId="1" applyNumberFormat="1" applyFont="1" applyFill="1" applyBorder="1" applyAlignment="1" applyProtection="1">
      <alignment horizontal="right" vertical="center" shrinkToFit="1" readingOrder="2"/>
      <protection hidden="1"/>
    </xf>
    <xf numFmtId="0" fontId="0" fillId="0" borderId="0" xfId="0" applyBorder="1" applyProtection="1">
      <protection hidden="1"/>
    </xf>
    <xf numFmtId="0" fontId="0" fillId="0" borderId="0" xfId="0" applyFill="1" applyBorder="1" applyProtection="1">
      <protection hidden="1"/>
    </xf>
    <xf numFmtId="2" fontId="23" fillId="13" borderId="13" xfId="1" applyNumberFormat="1" applyFont="1" applyFill="1" applyBorder="1" applyAlignment="1" applyProtection="1">
      <alignment horizontal="right" vertical="center" shrinkToFit="1" readingOrder="2"/>
      <protection hidden="1"/>
    </xf>
    <xf numFmtId="0" fontId="5" fillId="0" borderId="0" xfId="1" applyFont="1" applyBorder="1" applyAlignment="1" applyProtection="1">
      <alignment horizontal="center" vertical="center" wrapText="1" shrinkToFit="1"/>
      <protection hidden="1"/>
    </xf>
    <xf numFmtId="0" fontId="5" fillId="0" borderId="0" xfId="1" quotePrefix="1" applyFont="1" applyAlignment="1" applyProtection="1">
      <alignment horizontal="center" vertical="center" wrapText="1" shrinkToFit="1"/>
      <protection hidden="1"/>
    </xf>
    <xf numFmtId="0" fontId="2" fillId="0" borderId="0" xfId="1" applyFont="1" applyBorder="1" applyAlignment="1" applyProtection="1">
      <alignment horizontal="right" vertical="center" wrapText="1" shrinkToFit="1" readingOrder="2"/>
      <protection hidden="1"/>
    </xf>
    <xf numFmtId="2" fontId="5" fillId="0" borderId="0" xfId="1" applyNumberFormat="1" applyFont="1" applyAlignment="1" applyProtection="1">
      <alignment wrapText="1" shrinkToFit="1"/>
      <protection hidden="1"/>
    </xf>
    <xf numFmtId="0" fontId="9" fillId="0" borderId="10" xfId="1" applyFont="1" applyBorder="1" applyAlignment="1" applyProtection="1">
      <alignment horizontal="center" vertical="center" wrapText="1" shrinkToFit="1" readingOrder="2"/>
      <protection hidden="1"/>
    </xf>
    <xf numFmtId="0" fontId="9" fillId="0" borderId="10" xfId="1" applyFont="1" applyBorder="1" applyAlignment="1" applyProtection="1">
      <alignment horizontal="center" vertical="center" textRotation="90" shrinkToFit="1" readingOrder="2"/>
      <protection hidden="1"/>
    </xf>
    <xf numFmtId="0" fontId="2" fillId="0" borderId="0" xfId="1" applyFont="1" applyBorder="1" applyAlignment="1" applyProtection="1">
      <alignment vertical="center" shrinkToFit="1" readingOrder="2"/>
      <protection hidden="1"/>
    </xf>
    <xf numFmtId="0" fontId="5" fillId="0" borderId="0" xfId="1" applyFont="1" applyAlignment="1" applyProtection="1">
      <alignment horizontal="right" vertical="center" wrapText="1" shrinkToFit="1"/>
      <protection hidden="1"/>
    </xf>
    <xf numFmtId="1" fontId="2" fillId="0" borderId="68" xfId="1" applyNumberFormat="1" applyFont="1" applyBorder="1" applyAlignment="1" applyProtection="1">
      <alignment horizontal="center" vertical="center" shrinkToFit="1" readingOrder="2"/>
      <protection hidden="1"/>
    </xf>
    <xf numFmtId="0" fontId="15" fillId="0" borderId="52" xfId="1" applyFont="1" applyBorder="1" applyAlignment="1" applyProtection="1">
      <alignment horizontal="center" vertical="center" textRotation="90" shrinkToFit="1" readingOrder="2"/>
      <protection hidden="1"/>
    </xf>
    <xf numFmtId="2" fontId="23" fillId="13" borderId="3" xfId="0" applyNumberFormat="1" applyFont="1" applyFill="1" applyBorder="1" applyAlignment="1" applyProtection="1">
      <alignment horizontal="center" vertical="center" shrinkToFit="1" readingOrder="2"/>
      <protection hidden="1"/>
    </xf>
    <xf numFmtId="2" fontId="14" fillId="11" borderId="3" xfId="0" applyNumberFormat="1" applyFont="1" applyFill="1" applyBorder="1" applyAlignment="1" applyProtection="1">
      <alignment horizontal="center" vertical="center" shrinkToFit="1" readingOrder="2"/>
      <protection hidden="1"/>
    </xf>
    <xf numFmtId="2" fontId="23" fillId="13" borderId="10" xfId="0" applyNumberFormat="1" applyFont="1" applyFill="1" applyBorder="1" applyAlignment="1" applyProtection="1">
      <alignment horizontal="center" vertical="center" shrinkToFit="1" readingOrder="2"/>
      <protection hidden="1"/>
    </xf>
    <xf numFmtId="2" fontId="14" fillId="11" borderId="10" xfId="0" applyNumberFormat="1" applyFont="1" applyFill="1" applyBorder="1" applyAlignment="1" applyProtection="1">
      <alignment horizontal="center" vertical="center" shrinkToFit="1" readingOrder="2"/>
      <protection hidden="1"/>
    </xf>
    <xf numFmtId="1" fontId="15" fillId="0" borderId="19" xfId="0" applyNumberFormat="1"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center" vertical="center" shrinkToFit="1" readingOrder="2"/>
      <protection hidden="1"/>
    </xf>
    <xf numFmtId="1" fontId="15" fillId="0" borderId="20" xfId="0" applyNumberFormat="1" applyFont="1" applyBorder="1" applyAlignment="1" applyProtection="1">
      <alignment horizontal="right" vertical="center" shrinkToFit="1" readingOrder="2"/>
      <protection hidden="1"/>
    </xf>
    <xf numFmtId="0" fontId="4"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1" fontId="15" fillId="0" borderId="13" xfId="0" applyNumberFormat="1"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center" vertical="center" shrinkToFit="1" readingOrder="2"/>
      <protection hidden="1"/>
    </xf>
    <xf numFmtId="1" fontId="15" fillId="0" borderId="16" xfId="0" applyNumberFormat="1" applyFont="1" applyBorder="1" applyAlignment="1" applyProtection="1">
      <alignment horizontal="right" vertical="center" shrinkToFit="1" readingOrder="2"/>
      <protection hidden="1"/>
    </xf>
    <xf numFmtId="0" fontId="15" fillId="14" borderId="69" xfId="1" applyFont="1" applyFill="1" applyBorder="1" applyAlignment="1" applyProtection="1">
      <alignment horizontal="center" vertical="center" shrinkToFit="1" readingOrder="2"/>
      <protection hidden="1"/>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4" fillId="0" borderId="0" xfId="1" applyFont="1" applyAlignment="1" applyProtection="1">
      <alignment vertical="center" shrinkToFit="1" readingOrder="2"/>
      <protection hidden="1"/>
    </xf>
    <xf numFmtId="0" fontId="5" fillId="0" borderId="0" xfId="1" applyFont="1" applyFill="1" applyBorder="1" applyAlignment="1" applyProtection="1">
      <alignment vertical="center" wrapText="1" shrinkToFit="1" readingOrder="2"/>
      <protection hidden="1"/>
    </xf>
    <xf numFmtId="0" fontId="5" fillId="0" borderId="0" xfId="1" applyFont="1" applyFill="1" applyBorder="1" applyAlignment="1" applyProtection="1">
      <alignment vertical="center" shrinkToFit="1" readingOrder="2"/>
      <protection hidden="1"/>
    </xf>
    <xf numFmtId="0" fontId="5" fillId="0" borderId="0" xfId="1" applyFont="1" applyFill="1" applyBorder="1" applyAlignment="1" applyProtection="1">
      <alignment horizontal="center" vertical="center" shrinkToFit="1" readingOrder="2"/>
      <protection hidden="1"/>
    </xf>
    <xf numFmtId="0" fontId="5" fillId="0" borderId="55" xfId="1" applyFont="1" applyFill="1" applyBorder="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vertical="center" wrapText="1" shrinkToFit="1" readingOrder="2"/>
      <protection hidden="1"/>
    </xf>
    <xf numFmtId="0" fontId="5" fillId="0" borderId="60" xfId="1" applyFont="1" applyFill="1" applyBorder="1" applyAlignment="1" applyProtection="1">
      <alignment horizontal="center" vertical="center" shrinkToFit="1" readingOrder="2"/>
      <protection hidden="1"/>
    </xf>
    <xf numFmtId="0" fontId="5" fillId="0" borderId="0" xfId="1" applyFont="1" applyFill="1" applyBorder="1" applyAlignment="1" applyProtection="1">
      <alignment vertical="top" wrapText="1" shrinkToFit="1" readingOrder="2"/>
      <protection hidden="1"/>
    </xf>
    <xf numFmtId="0" fontId="6" fillId="0" borderId="0" xfId="1" applyFont="1" applyFill="1" applyBorder="1" applyAlignment="1" applyProtection="1">
      <alignment vertical="center" shrinkToFit="1" readingOrder="2"/>
      <protection hidden="1"/>
    </xf>
    <xf numFmtId="0" fontId="5" fillId="0" borderId="0" xfId="1" applyFont="1" applyBorder="1" applyAlignment="1" applyProtection="1">
      <alignment horizontal="center" vertical="center" shrinkToFit="1" readingOrder="2"/>
      <protection hidden="1"/>
    </xf>
    <xf numFmtId="0" fontId="6" fillId="0" borderId="0" xfId="1" applyFont="1" applyFill="1" applyBorder="1" applyAlignment="1" applyProtection="1">
      <alignment vertical="top" wrapText="1" shrinkToFit="1" readingOrder="2"/>
      <protection hidden="1"/>
    </xf>
    <xf numFmtId="0" fontId="13" fillId="0" borderId="3"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5" fillId="0" borderId="55" xfId="1" applyFont="1" applyFill="1" applyBorder="1" applyAlignment="1" applyProtection="1">
      <alignment horizontal="center" vertical="center" shrinkToFit="1" readingOrder="2"/>
      <protection locked="0" hidden="1"/>
    </xf>
    <xf numFmtId="0" fontId="5" fillId="0" borderId="19" xfId="1" applyFont="1" applyBorder="1" applyAlignment="1" applyProtection="1">
      <alignment horizontal="center" vertical="center" shrinkToFit="1" readingOrder="2"/>
      <protection hidden="1"/>
    </xf>
    <xf numFmtId="1" fontId="15" fillId="0" borderId="19" xfId="0" applyNumberFormat="1" applyFont="1" applyBorder="1" applyAlignment="1" applyProtection="1">
      <alignment vertical="center" shrinkToFit="1" readingOrder="2"/>
      <protection hidden="1"/>
    </xf>
    <xf numFmtId="1" fontId="15" fillId="0" borderId="13" xfId="0" applyNumberFormat="1" applyFont="1" applyBorder="1" applyAlignment="1" applyProtection="1">
      <alignment vertical="center" shrinkToFit="1" readingOrder="2"/>
      <protection hidden="1"/>
    </xf>
    <xf numFmtId="0" fontId="15" fillId="0" borderId="1" xfId="1" applyFont="1" applyFill="1" applyBorder="1" applyAlignment="1" applyProtection="1">
      <alignment vertical="center" shrinkToFit="1" readingOrder="2"/>
      <protection hidden="1"/>
    </xf>
    <xf numFmtId="0" fontId="13" fillId="0" borderId="57" xfId="1" applyFont="1" applyFill="1" applyBorder="1" applyAlignment="1" applyProtection="1">
      <alignment horizontal="center" vertical="center" shrinkToFit="1" readingOrder="2"/>
      <protection hidden="1"/>
    </xf>
    <xf numFmtId="0" fontId="5" fillId="0" borderId="33"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13" fillId="0" borderId="27" xfId="1" applyFont="1" applyFill="1" applyBorder="1" applyAlignment="1" applyProtection="1">
      <alignment horizontal="center" vertical="center" shrinkToFit="1" readingOrder="2"/>
      <protection hidden="1"/>
    </xf>
    <xf numFmtId="0" fontId="5" fillId="0" borderId="0" xfId="1" applyFont="1" applyAlignment="1" applyProtection="1">
      <alignment vertical="center" shrinkToFit="1" readingOrder="2"/>
      <protection hidden="1"/>
    </xf>
    <xf numFmtId="0" fontId="5" fillId="0" borderId="57" xfId="1" applyFont="1" applyFill="1" applyBorder="1" applyAlignment="1" applyProtection="1">
      <alignment horizontal="center" vertical="center" shrinkToFit="1" readingOrder="2"/>
      <protection locked="0" hidden="1"/>
    </xf>
    <xf numFmtId="0" fontId="15" fillId="0" borderId="55" xfId="1" applyFont="1" applyFill="1" applyBorder="1" applyAlignment="1" applyProtection="1">
      <alignment vertical="top" shrinkToFit="1" readingOrder="2"/>
      <protection locked="0" hidden="1"/>
    </xf>
    <xf numFmtId="0" fontId="5" fillId="0" borderId="60" xfId="1" applyFont="1" applyFill="1" applyBorder="1" applyAlignment="1" applyProtection="1">
      <alignment horizontal="center" vertical="center" shrinkToFit="1" readingOrder="2"/>
      <protection locked="0" hidden="1"/>
    </xf>
    <xf numFmtId="0" fontId="17" fillId="0" borderId="0" xfId="0" applyFont="1" applyAlignment="1" applyProtection="1">
      <alignment readingOrder="2"/>
    </xf>
    <xf numFmtId="0" fontId="17" fillId="3" borderId="7" xfId="0" applyFont="1" applyFill="1" applyBorder="1" applyAlignment="1" applyProtection="1">
      <alignment readingOrder="2"/>
    </xf>
    <xf numFmtId="0" fontId="17" fillId="0" borderId="7" xfId="0" applyFont="1" applyBorder="1" applyAlignment="1" applyProtection="1">
      <alignment readingOrder="2"/>
    </xf>
    <xf numFmtId="0" fontId="18" fillId="0" borderId="7" xfId="1" applyFont="1" applyBorder="1" applyAlignment="1" applyProtection="1">
      <alignment horizontal="center" vertical="center" shrinkToFit="1" readingOrder="2"/>
    </xf>
    <xf numFmtId="0" fontId="17" fillId="0" borderId="7" xfId="1" applyFont="1" applyBorder="1" applyAlignment="1" applyProtection="1">
      <alignment horizontal="center" vertical="center" shrinkToFit="1" readingOrder="2"/>
    </xf>
    <xf numFmtId="0" fontId="25" fillId="15" borderId="7" xfId="1" applyFont="1" applyFill="1" applyBorder="1" applyAlignment="1" applyProtection="1">
      <alignment horizontal="center" vertical="center"/>
    </xf>
    <xf numFmtId="0" fontId="5" fillId="0" borderId="7" xfId="1" applyFont="1" applyBorder="1" applyAlignment="1" applyProtection="1">
      <alignment horizontal="center" vertical="center" shrinkToFit="1"/>
    </xf>
    <xf numFmtId="0" fontId="17" fillId="17" borderId="7" xfId="0" applyFont="1" applyFill="1" applyBorder="1" applyAlignment="1" applyProtection="1">
      <alignment readingOrder="2"/>
    </xf>
    <xf numFmtId="49" fontId="17" fillId="0" borderId="0" xfId="0" applyNumberFormat="1" applyFont="1" applyAlignment="1" applyProtection="1">
      <alignment readingOrder="2"/>
    </xf>
    <xf numFmtId="0" fontId="17" fillId="0" borderId="0" xfId="0" applyFont="1" applyFill="1" applyAlignment="1" applyProtection="1">
      <alignment readingOrder="2"/>
    </xf>
    <xf numFmtId="0" fontId="17" fillId="12" borderId="0" xfId="0" applyFont="1" applyFill="1" applyAlignment="1" applyProtection="1">
      <alignment readingOrder="2"/>
    </xf>
    <xf numFmtId="0" fontId="17" fillId="18" borderId="7" xfId="0" applyFont="1" applyFill="1" applyBorder="1" applyAlignment="1" applyProtection="1">
      <alignment readingOrder="2"/>
    </xf>
    <xf numFmtId="0" fontId="5" fillId="0" borderId="18" xfId="1" applyFont="1" applyBorder="1" applyAlignment="1">
      <alignment horizontal="center" vertical="center" shrinkToFit="1" readingOrder="2"/>
    </xf>
    <xf numFmtId="0" fontId="5" fillId="0" borderId="19" xfId="1" applyFont="1" applyBorder="1" applyAlignment="1">
      <alignment horizontal="center" vertical="center" shrinkToFit="1" readingOrder="2"/>
    </xf>
    <xf numFmtId="0" fontId="5" fillId="0" borderId="20" xfId="1" applyFont="1" applyBorder="1" applyAlignment="1">
      <alignment horizontal="center" vertical="center" shrinkToFit="1" readingOrder="2"/>
    </xf>
    <xf numFmtId="0" fontId="5" fillId="0" borderId="0" xfId="1" applyFont="1" applyAlignment="1">
      <alignment horizontal="center" vertical="center" shrinkToFit="1" readingOrder="2"/>
    </xf>
    <xf numFmtId="0" fontId="5" fillId="0" borderId="17" xfId="1" applyFont="1" applyBorder="1" applyAlignment="1">
      <alignment horizontal="center" vertical="center" shrinkToFit="1" readingOrder="2"/>
    </xf>
    <xf numFmtId="0" fontId="5" fillId="0" borderId="0" xfId="1" applyFont="1" applyBorder="1" applyAlignment="1">
      <alignment horizontal="center" vertical="center" shrinkToFit="1" readingOrder="2"/>
    </xf>
    <xf numFmtId="0" fontId="5" fillId="0" borderId="46" xfId="1" applyFont="1" applyBorder="1" applyAlignment="1">
      <alignment horizontal="center" vertical="center" shrinkToFit="1" readingOrder="2"/>
    </xf>
    <xf numFmtId="0" fontId="5" fillId="0" borderId="12" xfId="1" applyFont="1" applyBorder="1" applyAlignment="1">
      <alignment horizontal="center" vertical="center" shrinkToFit="1" readingOrder="2"/>
    </xf>
    <xf numFmtId="0" fontId="5" fillId="0" borderId="13" xfId="1" applyFont="1" applyBorder="1" applyAlignment="1">
      <alignment horizontal="center" vertical="center" shrinkToFit="1" readingOrder="2"/>
    </xf>
    <xf numFmtId="0" fontId="5" fillId="0" borderId="16" xfId="1" applyFont="1" applyBorder="1" applyAlignment="1">
      <alignment horizontal="center" vertical="center" shrinkToFit="1" readingOrder="2"/>
    </xf>
    <xf numFmtId="0" fontId="74" fillId="23" borderId="0" xfId="0" applyFont="1" applyFill="1" applyAlignment="1" applyProtection="1">
      <alignment vertical="center"/>
    </xf>
    <xf numFmtId="0" fontId="0" fillId="23" borderId="0" xfId="0" applyFill="1" applyProtection="1"/>
    <xf numFmtId="0" fontId="15" fillId="0" borderId="10" xfId="1" applyFont="1" applyBorder="1" applyAlignment="1" applyProtection="1">
      <alignment horizontal="center" vertical="center" wrapText="1" shrinkToFit="1" readingOrder="2"/>
      <protection hidden="1"/>
    </xf>
    <xf numFmtId="0" fontId="65"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horizontal="left" vertical="center" shrinkToFit="1" readingOrder="2"/>
      <protection hidden="1"/>
    </xf>
    <xf numFmtId="1" fontId="10"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vertical="center" shrinkToFit="1" readingOrder="2"/>
      <protection hidden="1"/>
    </xf>
    <xf numFmtId="0" fontId="23" fillId="0" borderId="0" xfId="1" applyNumberFormat="1" applyFont="1" applyFill="1" applyBorder="1" applyAlignment="1" applyProtection="1">
      <alignment vertical="center" wrapText="1"/>
      <protection hidden="1"/>
    </xf>
    <xf numFmtId="0" fontId="35" fillId="0" borderId="0" xfId="1" applyNumberFormat="1" applyFont="1" applyFill="1" applyBorder="1" applyAlignment="1" applyProtection="1">
      <alignment vertical="center" wrapText="1" readingOrder="2"/>
      <protection hidden="1"/>
    </xf>
    <xf numFmtId="0" fontId="10" fillId="0" borderId="69"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vertical="center"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39" fillId="0" borderId="62" xfId="1" applyNumberFormat="1" applyFont="1" applyBorder="1" applyAlignment="1" applyProtection="1">
      <alignment horizontal="center" vertical="center" wrapText="1" shrinkToFit="1" readingOrder="2"/>
      <protection hidden="1"/>
    </xf>
    <xf numFmtId="0" fontId="6" fillId="0" borderId="3" xfId="1" applyNumberFormat="1" applyFont="1" applyBorder="1" applyAlignment="1" applyProtection="1">
      <alignment horizontal="center" vertical="center" textRotation="90" shrinkToFit="1" readingOrder="2"/>
      <protection hidden="1"/>
    </xf>
    <xf numFmtId="0" fontId="6" fillId="0" borderId="5" xfId="1" applyNumberFormat="1" applyFont="1" applyBorder="1" applyAlignment="1" applyProtection="1">
      <alignment horizontal="center" vertical="center" textRotation="90" shrinkToFit="1" readingOrder="2"/>
      <protection hidden="1"/>
    </xf>
    <xf numFmtId="0" fontId="47" fillId="0" borderId="57" xfId="1" applyNumberFormat="1" applyFont="1" applyBorder="1" applyAlignment="1" applyProtection="1">
      <alignment horizontal="center" vertical="center" shrinkToFit="1" readingOrder="2"/>
      <protection hidden="1"/>
    </xf>
    <xf numFmtId="0" fontId="47"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textRotation="90" shrinkToFit="1" readingOrder="2"/>
      <protection hidden="1"/>
    </xf>
    <xf numFmtId="0" fontId="6" fillId="0" borderId="8" xfId="1" applyNumberFormat="1" applyFont="1" applyBorder="1" applyAlignment="1" applyProtection="1">
      <alignment horizontal="center" vertical="center" textRotation="90" shrinkToFit="1" readingOrder="2"/>
      <protection hidden="1"/>
    </xf>
    <xf numFmtId="0" fontId="6" fillId="0" borderId="27" xfId="1" applyNumberFormat="1" applyFont="1" applyBorder="1" applyAlignment="1" applyProtection="1">
      <alignment horizontal="center" vertical="center" textRotation="90" shrinkToFit="1" readingOrder="2"/>
      <protection hidden="1"/>
    </xf>
    <xf numFmtId="0" fontId="6" fillId="0" borderId="29" xfId="1" applyNumberFormat="1" applyFont="1" applyBorder="1" applyAlignment="1" applyProtection="1">
      <alignment horizontal="center" vertical="center" textRotation="90" shrinkToFit="1" readingOrder="2"/>
      <protection hidden="1"/>
    </xf>
    <xf numFmtId="0" fontId="10" fillId="0" borderId="70" xfId="1" applyNumberFormat="1" applyFont="1" applyBorder="1" applyAlignment="1" applyProtection="1">
      <alignment horizontal="center" vertical="center" shrinkToFit="1" readingOrder="2"/>
      <protection hidden="1"/>
    </xf>
    <xf numFmtId="0" fontId="10" fillId="0" borderId="23" xfId="1" applyNumberFormat="1" applyFont="1" applyBorder="1" applyAlignment="1" applyProtection="1">
      <alignment vertical="center"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39" fillId="0" borderId="4" xfId="1" applyNumberFormat="1" applyFont="1" applyBorder="1" applyAlignment="1" applyProtection="1">
      <alignment horizontal="center" vertical="center" wrapText="1" shrinkToFit="1" readingOrder="2"/>
      <protection hidden="1"/>
    </xf>
    <xf numFmtId="0" fontId="47" fillId="0" borderId="10" xfId="1" applyNumberFormat="1" applyFont="1" applyBorder="1" applyAlignment="1" applyProtection="1">
      <alignment horizontal="center" vertical="center" shrinkToFit="1" readingOrder="2"/>
      <protection hidden="1"/>
    </xf>
    <xf numFmtId="0" fontId="10" fillId="0" borderId="2" xfId="1" applyNumberFormat="1" applyFont="1" applyBorder="1" applyAlignment="1" applyProtection="1">
      <alignment horizontal="center" vertical="center" shrinkToFit="1" readingOrder="2"/>
      <protection hidden="1"/>
    </xf>
    <xf numFmtId="1" fontId="10" fillId="0" borderId="7" xfId="1" applyNumberFormat="1" applyFont="1" applyBorder="1" applyAlignment="1" applyProtection="1">
      <alignment horizontal="center" vertical="center" shrinkToFit="1" readingOrder="2"/>
      <protection hidden="1"/>
    </xf>
    <xf numFmtId="0" fontId="10" fillId="0" borderId="7" xfId="1" applyNumberFormat="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2" fontId="10" fillId="0" borderId="8" xfId="1" applyNumberFormat="1" applyFont="1" applyBorder="1" applyAlignment="1" applyProtection="1">
      <alignment horizontal="center" vertical="center" shrinkToFit="1" readingOrder="2"/>
      <protection hidden="1"/>
    </xf>
    <xf numFmtId="1" fontId="10" fillId="0" borderId="57" xfId="1" applyNumberFormat="1" applyFont="1" applyBorder="1" applyAlignment="1" applyProtection="1">
      <alignment horizontal="center" vertical="center" shrinkToFit="1" readingOrder="2"/>
      <protection hidden="1"/>
    </xf>
    <xf numFmtId="0" fontId="10" fillId="0" borderId="57"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2" fontId="10" fillId="0" borderId="58" xfId="1" applyNumberFormat="1" applyFont="1" applyBorder="1" applyAlignment="1" applyProtection="1">
      <alignment horizontal="center" vertical="center" shrinkToFit="1" readingOrder="2"/>
      <protection hidden="1"/>
    </xf>
    <xf numFmtId="0" fontId="10" fillId="0" borderId="69"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textRotation="90" shrinkToFit="1" readingOrder="2"/>
      <protection hidden="1"/>
    </xf>
    <xf numFmtId="0" fontId="6" fillId="0" borderId="29" xfId="1" applyNumberFormat="1" applyFont="1" applyBorder="1" applyAlignment="1" applyProtection="1">
      <alignment horizontal="center" textRotation="90" shrinkToFit="1" readingOrder="2"/>
      <protection hidden="1"/>
    </xf>
    <xf numFmtId="0" fontId="15" fillId="0" borderId="55" xfId="1" applyNumberFormat="1" applyFont="1" applyBorder="1" applyAlignment="1" applyProtection="1">
      <alignment horizontal="center" vertical="center" shrinkToFit="1" readingOrder="2"/>
      <protection hidden="1"/>
    </xf>
    <xf numFmtId="4" fontId="10" fillId="0" borderId="8" xfId="1" applyNumberFormat="1" applyFont="1" applyBorder="1" applyAlignment="1" applyProtection="1">
      <alignment horizontal="center" vertical="center" shrinkToFit="1" readingOrder="2"/>
      <protection hidden="1"/>
    </xf>
    <xf numFmtId="0" fontId="15" fillId="0" borderId="7" xfId="1" applyNumberFormat="1" applyFont="1" applyBorder="1" applyAlignment="1" applyProtection="1">
      <alignment horizontal="center" vertical="center" shrinkToFit="1" readingOrder="2"/>
      <protection hidden="1"/>
    </xf>
    <xf numFmtId="4" fontId="10" fillId="0" borderId="58" xfId="1" applyNumberFormat="1" applyFont="1" applyBorder="1" applyAlignment="1" applyProtection="1">
      <alignment horizontal="center" vertical="center"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6" xfId="1" applyNumberFormat="1" applyFont="1" applyBorder="1" applyAlignment="1" applyProtection="1">
      <alignment horizontal="center" vertical="center" shrinkToFit="1" readingOrder="2"/>
      <protection hidden="1"/>
    </xf>
    <xf numFmtId="0" fontId="30" fillId="0" borderId="56" xfId="1" applyNumberFormat="1" applyFont="1" applyBorder="1" applyAlignment="1" applyProtection="1">
      <alignment horizontal="center" vertical="center" shrinkToFit="1" readingOrder="2"/>
      <protection hidden="1"/>
    </xf>
    <xf numFmtId="0" fontId="30" fillId="0" borderId="70" xfId="1" applyNumberFormat="1" applyFont="1" applyBorder="1" applyAlignment="1" applyProtection="1">
      <alignment horizontal="center" vertical="center" shrinkToFit="1" readingOrder="2"/>
      <protection hidden="1"/>
    </xf>
    <xf numFmtId="0" fontId="30" fillId="0" borderId="68" xfId="1" applyNumberFormat="1" applyFont="1" applyBorder="1" applyAlignment="1" applyProtection="1">
      <alignment horizontal="center" vertical="center"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15" fillId="0" borderId="10" xfId="1" applyNumberFormat="1" applyFont="1" applyBorder="1" applyAlignment="1" applyProtection="1">
      <alignment horizontal="center" vertical="center" shrinkToFit="1" readingOrder="2"/>
      <protection hidden="1"/>
    </xf>
    <xf numFmtId="49" fontId="5" fillId="0" borderId="27" xfId="1" applyNumberFormat="1" applyFont="1" applyBorder="1" applyAlignment="1" applyProtection="1">
      <alignment horizontal="center" vertical="center" textRotation="90" shrinkToFit="1" readingOrder="2"/>
      <protection hidden="1"/>
    </xf>
    <xf numFmtId="49" fontId="5" fillId="0" borderId="7" xfId="1" applyNumberFormat="1" applyFont="1" applyBorder="1" applyAlignment="1" applyProtection="1">
      <alignment horizontal="center" vertical="center" textRotation="90" shrinkToFit="1" readingOrder="2"/>
      <protection hidden="1"/>
    </xf>
    <xf numFmtId="0" fontId="2" fillId="0" borderId="10" xfId="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30" fillId="0" borderId="7" xfId="1" applyNumberFormat="1" applyFont="1" applyBorder="1" applyAlignment="1" applyProtection="1">
      <alignment horizontal="center" vertical="center" shrinkToFit="1" readingOrder="2"/>
      <protection hidden="1"/>
    </xf>
    <xf numFmtId="0" fontId="30" fillId="0" borderId="57" xfId="1" applyNumberFormat="1" applyFont="1" applyBorder="1" applyAlignment="1" applyProtection="1">
      <alignment horizontal="center" vertical="center" shrinkToFit="1" readingOrder="2"/>
      <protection hidden="1"/>
    </xf>
    <xf numFmtId="0" fontId="24" fillId="0" borderId="0" xfId="1" applyNumberFormat="1" applyFont="1" applyBorder="1" applyAlignment="1" applyProtection="1">
      <alignment horizontal="center" vertical="center" shrinkToFit="1" readingOrder="2"/>
      <protection hidden="1"/>
    </xf>
    <xf numFmtId="0" fontId="10" fillId="0" borderId="0" xfId="1" applyNumberFormat="1" applyFont="1" applyBorder="1" applyAlignment="1" applyProtection="1">
      <alignment horizontal="center" vertical="center" shrinkToFit="1" readingOrder="2"/>
      <protection hidden="1"/>
    </xf>
    <xf numFmtId="0" fontId="1" fillId="0" borderId="0" xfId="1" applyAlignment="1" applyProtection="1">
      <alignment horizontal="center" vertical="center" readingOrder="2"/>
      <protection hidden="1"/>
    </xf>
    <xf numFmtId="0" fontId="49" fillId="0" borderId="0" xfId="1" applyFont="1" applyAlignment="1" applyProtection="1">
      <alignment horizontal="center" vertical="center" readingOrder="2"/>
      <protection hidden="1"/>
    </xf>
    <xf numFmtId="0" fontId="49" fillId="0" borderId="0" xfId="1" applyFont="1" applyFill="1" applyAlignment="1" applyProtection="1">
      <alignment horizontal="center" vertical="center" readingOrder="2"/>
      <protection hidden="1"/>
    </xf>
    <xf numFmtId="0" fontId="1" fillId="0" borderId="0" xfId="1" applyFill="1" applyAlignment="1" applyProtection="1">
      <alignment horizontal="center" vertical="center" readingOrder="2"/>
      <protection hidden="1"/>
    </xf>
    <xf numFmtId="0" fontId="49" fillId="0" borderId="0" xfId="1" applyFont="1" applyFill="1" applyAlignment="1" applyProtection="1">
      <alignment horizontal="center" vertical="center" shrinkToFit="1" readingOrder="2"/>
      <protection hidden="1"/>
    </xf>
    <xf numFmtId="0" fontId="5" fillId="0" borderId="0" xfId="1" applyFont="1" applyBorder="1" applyAlignment="1" applyProtection="1">
      <alignment horizontal="right" vertical="center" wrapText="1" readingOrder="2"/>
      <protection hidden="1"/>
    </xf>
    <xf numFmtId="0" fontId="39" fillId="0" borderId="69" xfId="1" applyFont="1" applyFill="1" applyBorder="1" applyAlignment="1" applyProtection="1">
      <alignment horizontal="center" vertical="center" wrapText="1" readingOrder="2"/>
      <protection hidden="1"/>
    </xf>
    <xf numFmtId="0" fontId="50" fillId="0" borderId="63" xfId="1" applyFont="1" applyFill="1" applyBorder="1" applyAlignment="1" applyProtection="1">
      <alignment horizontal="center" vertical="center" wrapText="1" readingOrder="2"/>
      <protection hidden="1"/>
    </xf>
    <xf numFmtId="2" fontId="24" fillId="0" borderId="27" xfId="1" applyNumberFormat="1" applyFont="1" applyFill="1" applyBorder="1" applyAlignment="1" applyProtection="1">
      <alignment horizontal="center" vertical="center" shrinkToFit="1" readingOrder="2"/>
      <protection hidden="1"/>
    </xf>
    <xf numFmtId="0" fontId="52" fillId="0" borderId="27" xfId="1" applyFont="1" applyFill="1" applyBorder="1" applyAlignment="1" applyProtection="1">
      <alignment horizontal="center" vertical="center" wrapText="1" readingOrder="2"/>
      <protection hidden="1"/>
    </xf>
    <xf numFmtId="0" fontId="53" fillId="0" borderId="29" xfId="1" applyFont="1" applyFill="1" applyBorder="1" applyAlignment="1" applyProtection="1">
      <alignment horizontal="center" vertical="center" wrapText="1" readingOrder="2"/>
      <protection hidden="1"/>
    </xf>
    <xf numFmtId="0" fontId="53" fillId="0" borderId="8" xfId="1" applyFont="1" applyFill="1" applyBorder="1" applyAlignment="1" applyProtection="1">
      <alignment horizontal="center" vertical="center" wrapText="1" readingOrder="2"/>
      <protection hidden="1"/>
    </xf>
    <xf numFmtId="2" fontId="24" fillId="0" borderId="57" xfId="1" applyNumberFormat="1" applyFont="1" applyFill="1" applyBorder="1" applyAlignment="1" applyProtection="1">
      <alignment horizontal="center" vertical="center" shrinkToFit="1" readingOrder="2"/>
      <protection hidden="1"/>
    </xf>
    <xf numFmtId="0" fontId="52" fillId="0" borderId="57" xfId="1" applyFont="1" applyFill="1" applyBorder="1" applyAlignment="1" applyProtection="1">
      <alignment horizontal="center" vertical="center" wrapText="1" readingOrder="2"/>
      <protection hidden="1"/>
    </xf>
    <xf numFmtId="0" fontId="53" fillId="0" borderId="58" xfId="1" applyFont="1" applyFill="1" applyBorder="1" applyAlignment="1" applyProtection="1">
      <alignment horizontal="center" vertical="center" wrapText="1" readingOrder="2"/>
      <protection hidden="1"/>
    </xf>
    <xf numFmtId="2" fontId="47"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wrapText="1" readingOrder="2"/>
      <protection hidden="1"/>
    </xf>
    <xf numFmtId="0" fontId="55" fillId="0" borderId="63" xfId="1" applyFont="1" applyFill="1" applyBorder="1" applyAlignment="1" applyProtection="1">
      <alignment horizontal="center" vertical="center" wrapText="1" readingOrder="2"/>
      <protection hidden="1"/>
    </xf>
    <xf numFmtId="2" fontId="53" fillId="0" borderId="8" xfId="1" applyNumberFormat="1" applyFont="1" applyFill="1" applyBorder="1" applyAlignment="1" applyProtection="1">
      <alignment horizontal="center" vertical="center" shrinkToFit="1" readingOrder="2"/>
      <protection hidden="1"/>
    </xf>
    <xf numFmtId="0" fontId="48" fillId="0" borderId="0" xfId="1" applyFont="1" applyFill="1" applyBorder="1" applyAlignment="1" applyProtection="1">
      <alignment horizontal="center" vertical="center" wrapText="1" readingOrder="2"/>
      <protection hidden="1"/>
    </xf>
    <xf numFmtId="2" fontId="47" fillId="0" borderId="0" xfId="1" applyNumberFormat="1" applyFont="1" applyFill="1" applyBorder="1" applyAlignment="1" applyProtection="1">
      <alignment horizontal="center" vertical="center" wrapText="1" readingOrder="2"/>
      <protection hidden="1"/>
    </xf>
    <xf numFmtId="0" fontId="54" fillId="0" borderId="0" xfId="1" applyFont="1" applyFill="1" applyBorder="1" applyAlignment="1" applyProtection="1">
      <alignment horizontal="center" vertical="center" wrapText="1" readingOrder="2"/>
      <protection hidden="1"/>
    </xf>
    <xf numFmtId="0" fontId="55" fillId="0" borderId="0" xfId="1" applyFont="1" applyFill="1" applyBorder="1" applyAlignment="1" applyProtection="1">
      <alignment horizontal="center" vertical="center" wrapText="1" readingOrder="2"/>
      <protection hidden="1"/>
    </xf>
    <xf numFmtId="0" fontId="52" fillId="0" borderId="39" xfId="1" applyFont="1" applyFill="1" applyBorder="1" applyAlignment="1" applyProtection="1">
      <alignment horizontal="center" vertical="center" wrapText="1" readingOrder="2"/>
      <protection hidden="1"/>
    </xf>
    <xf numFmtId="0" fontId="50" fillId="0" borderId="78" xfId="1" applyFont="1" applyFill="1" applyBorder="1" applyAlignment="1" applyProtection="1">
      <alignment horizontal="center" vertical="center" wrapText="1" readingOrder="2"/>
      <protection hidden="1"/>
    </xf>
    <xf numFmtId="0" fontId="52" fillId="0" borderId="44" xfId="1" applyFont="1" applyFill="1" applyBorder="1" applyAlignment="1" applyProtection="1">
      <alignment horizontal="center" vertical="center" wrapText="1" readingOrder="2"/>
      <protection hidden="1"/>
    </xf>
    <xf numFmtId="0" fontId="54" fillId="0" borderId="7" xfId="1" applyFont="1" applyFill="1" applyBorder="1" applyAlignment="1" applyProtection="1">
      <alignment horizontal="center" vertical="center" wrapText="1" readingOrder="2"/>
      <protection hidden="1"/>
    </xf>
    <xf numFmtId="0" fontId="52" fillId="0" borderId="34" xfId="1" applyFont="1" applyFill="1" applyBorder="1" applyAlignment="1" applyProtection="1">
      <alignment horizontal="center" vertical="center" wrapText="1" readingOrder="2"/>
      <protection hidden="1"/>
    </xf>
    <xf numFmtId="0" fontId="52" fillId="0" borderId="62" xfId="1" applyFont="1" applyFill="1" applyBorder="1" applyAlignment="1" applyProtection="1">
      <alignment horizontal="center" vertical="center" wrapText="1" readingOrder="2"/>
      <protection hidden="1"/>
    </xf>
    <xf numFmtId="0" fontId="48" fillId="0" borderId="0" xfId="1" applyFont="1" applyFill="1" applyBorder="1" applyAlignment="1" applyProtection="1">
      <alignment horizontal="center" vertical="center" shrinkToFit="1" readingOrder="2"/>
      <protection hidden="1"/>
    </xf>
    <xf numFmtId="0" fontId="52" fillId="0" borderId="0" xfId="1" applyFont="1" applyFill="1" applyBorder="1" applyAlignment="1" applyProtection="1">
      <alignment horizontal="center" vertical="center" wrapText="1" readingOrder="2"/>
      <protection hidden="1"/>
    </xf>
    <xf numFmtId="2" fontId="30"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readingOrder="2"/>
      <protection hidden="1"/>
    </xf>
    <xf numFmtId="0" fontId="30" fillId="0" borderId="0" xfId="1" applyFont="1" applyFill="1" applyBorder="1" applyAlignment="1" applyProtection="1">
      <alignment horizontal="center" vertical="center" wrapText="1" readingOrder="2"/>
      <protection hidden="1"/>
    </xf>
    <xf numFmtId="2" fontId="30" fillId="0" borderId="0" xfId="1" applyNumberFormat="1" applyFont="1" applyFill="1" applyBorder="1" applyAlignment="1" applyProtection="1">
      <alignment horizontal="center" vertical="center" wrapText="1" readingOrder="2"/>
      <protection hidden="1"/>
    </xf>
    <xf numFmtId="0" fontId="5" fillId="0" borderId="0" xfId="1" applyFont="1" applyAlignment="1" applyProtection="1">
      <alignment horizontal="left" vertical="center" readingOrder="2"/>
      <protection hidden="1"/>
    </xf>
    <xf numFmtId="0" fontId="1" fillId="0" borderId="0" xfId="1" applyAlignment="1" applyProtection="1">
      <alignment horizontal="center" vertical="center" shrinkToFit="1" readingOrder="2"/>
      <protection hidden="1"/>
    </xf>
    <xf numFmtId="0" fontId="49" fillId="0" borderId="0" xfId="1" applyFont="1" applyAlignment="1" applyProtection="1">
      <alignment horizontal="center" vertical="center" shrinkToFit="1" readingOrder="2"/>
      <protection hidden="1"/>
    </xf>
    <xf numFmtId="2" fontId="4" fillId="0" borderId="0" xfId="1" applyNumberFormat="1" applyFont="1" applyFill="1" applyAlignment="1" applyProtection="1">
      <alignment horizontal="center" vertical="center" readingOrder="2"/>
      <protection hidden="1"/>
    </xf>
    <xf numFmtId="0" fontId="13" fillId="0" borderId="38" xfId="1" applyNumberFormat="1" applyFont="1" applyBorder="1" applyAlignment="1" applyProtection="1">
      <alignment horizontal="center" vertical="center" readingOrder="2"/>
      <protection hidden="1"/>
    </xf>
    <xf numFmtId="0" fontId="13" fillId="21" borderId="27" xfId="0" applyNumberFormat="1" applyFont="1" applyFill="1" applyBorder="1" applyAlignment="1" applyProtection="1">
      <alignment horizontal="center" vertical="center" readingOrder="2"/>
      <protection hidden="1"/>
    </xf>
    <xf numFmtId="1" fontId="62" fillId="0" borderId="29" xfId="0" applyNumberFormat="1" applyFont="1" applyBorder="1" applyAlignment="1" applyProtection="1">
      <alignment horizontal="center" vertical="center" shrinkToFit="1" readingOrder="2"/>
      <protection hidden="1"/>
    </xf>
    <xf numFmtId="0" fontId="23" fillId="0" borderId="43" xfId="1" applyNumberFormat="1" applyFont="1" applyBorder="1" applyAlignment="1" applyProtection="1">
      <alignment horizontal="center" vertical="center" readingOrder="2"/>
      <protection hidden="1"/>
    </xf>
    <xf numFmtId="1" fontId="13" fillId="0" borderId="7" xfId="0" applyNumberFormat="1" applyFont="1" applyBorder="1" applyAlignment="1" applyProtection="1">
      <alignment horizontal="center" vertical="center" readingOrder="2"/>
      <protection hidden="1"/>
    </xf>
    <xf numFmtId="1" fontId="62" fillId="0" borderId="8" xfId="0" applyNumberFormat="1" applyFont="1" applyBorder="1" applyAlignment="1" applyProtection="1">
      <alignment horizontal="center" vertical="center" readingOrder="2"/>
      <protection hidden="1"/>
    </xf>
    <xf numFmtId="1" fontId="13" fillId="0" borderId="8"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wrapText="1" readingOrder="2"/>
      <protection hidden="1"/>
    </xf>
    <xf numFmtId="1" fontId="13" fillId="0" borderId="7"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readingOrder="2"/>
      <protection hidden="1"/>
    </xf>
    <xf numFmtId="1" fontId="62" fillId="0" borderId="11" xfId="0" applyNumberFormat="1" applyFont="1" applyBorder="1" applyAlignment="1" applyProtection="1">
      <alignment horizontal="center" vertical="center" readingOrder="2"/>
      <protection hidden="1"/>
    </xf>
    <xf numFmtId="0" fontId="1" fillId="0" borderId="0" xfId="1" applyBorder="1" applyAlignment="1" applyProtection="1">
      <alignment horizontal="center" vertical="center" readingOrder="2"/>
      <protection hidden="1"/>
    </xf>
    <xf numFmtId="0" fontId="13" fillId="0" borderId="0" xfId="1" applyFont="1" applyAlignment="1" applyProtection="1">
      <alignment vertical="center"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23" fillId="13" borderId="13" xfId="1" applyFont="1" applyFill="1" applyBorder="1" applyAlignment="1" applyProtection="1">
      <alignment horizontal="center" vertical="center" shrinkToFit="1" readingOrder="2"/>
      <protection hidden="1"/>
    </xf>
    <xf numFmtId="2" fontId="47" fillId="0" borderId="8" xfId="1" applyNumberFormat="1" applyFont="1" applyBorder="1" applyAlignment="1" applyProtection="1">
      <alignment horizontal="center" vertical="center" shrinkToFit="1" readingOrder="2"/>
      <protection hidden="1"/>
    </xf>
    <xf numFmtId="2" fontId="47" fillId="0" borderId="58" xfId="1" applyNumberFormat="1" applyFont="1" applyBorder="1" applyAlignment="1" applyProtection="1">
      <alignment horizontal="center" vertical="center" shrinkToFit="1" readingOrder="2"/>
      <protection hidden="1"/>
    </xf>
    <xf numFmtId="2" fontId="47" fillId="0" borderId="11" xfId="1" applyNumberFormat="1" applyFont="1" applyBorder="1" applyAlignment="1" applyProtection="1">
      <alignment horizontal="center" vertical="center" shrinkToFit="1" readingOrder="2"/>
      <protection hidden="1"/>
    </xf>
    <xf numFmtId="0" fontId="13" fillId="13" borderId="13" xfId="1" applyFont="1" applyFill="1" applyBorder="1" applyAlignment="1" applyProtection="1">
      <alignment horizontal="center" vertical="center" shrinkToFit="1" readingOrder="2"/>
      <protection hidden="1"/>
    </xf>
    <xf numFmtId="1" fontId="13" fillId="13" borderId="13" xfId="1" applyNumberFormat="1" applyFont="1" applyFill="1" applyBorder="1" applyAlignment="1" applyProtection="1">
      <alignment horizontal="center" vertical="center" shrinkToFit="1" readingOrder="2"/>
      <protection hidden="1"/>
    </xf>
    <xf numFmtId="0" fontId="64" fillId="0" borderId="0" xfId="1" applyNumberFormat="1" applyFont="1" applyAlignment="1" applyProtection="1">
      <alignment vertical="top" shrinkToFit="1" readingOrder="2"/>
      <protection hidden="1"/>
    </xf>
    <xf numFmtId="1" fontId="58" fillId="0" borderId="0" xfId="1" applyNumberFormat="1" applyFont="1" applyBorder="1" applyAlignment="1" applyProtection="1">
      <alignment horizontal="left" vertical="center" readingOrder="2"/>
      <protection hidden="1"/>
    </xf>
    <xf numFmtId="1" fontId="58" fillId="0" borderId="0" xfId="1" applyNumberFormat="1" applyFont="1" applyBorder="1" applyAlignment="1" applyProtection="1">
      <alignment horizontal="center" vertical="center" readingOrder="2"/>
      <protection hidden="1"/>
    </xf>
    <xf numFmtId="1" fontId="58" fillId="0" borderId="0" xfId="1" applyNumberFormat="1" applyFont="1" applyBorder="1" applyAlignment="1" applyProtection="1">
      <alignment horizontal="right" vertical="center" readingOrder="2"/>
      <protection hidden="1"/>
    </xf>
    <xf numFmtId="0" fontId="2" fillId="0" borderId="18" xfId="1" applyFont="1" applyBorder="1" applyAlignment="1" applyProtection="1">
      <alignment horizontal="left" vertical="center" readingOrder="2"/>
      <protection hidden="1"/>
    </xf>
    <xf numFmtId="1" fontId="58" fillId="0" borderId="46" xfId="1" applyNumberFormat="1" applyFont="1" applyBorder="1" applyAlignment="1" applyProtection="1">
      <alignment vertical="center"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0" borderId="14" xfId="1" applyNumberFormat="1" applyFont="1" applyFill="1" applyBorder="1" applyAlignment="1" applyProtection="1">
      <alignment horizontal="center" vertical="center" shrinkToFit="1" readingOrder="2"/>
      <protection locked="0" hidden="1"/>
    </xf>
    <xf numFmtId="0" fontId="39" fillId="0" borderId="62" xfId="1" applyFont="1" applyFill="1" applyBorder="1" applyAlignment="1" applyProtection="1">
      <alignment horizontal="center" vertical="center" wrapText="1" readingOrder="2"/>
      <protection hidden="1"/>
    </xf>
    <xf numFmtId="0" fontId="15" fillId="0" borderId="0" xfId="1" applyFont="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right" vertical="center" shrinkToFit="1" readingOrder="2"/>
      <protection hidden="1"/>
    </xf>
    <xf numFmtId="0" fontId="5" fillId="0" borderId="24" xfId="1" applyFont="1" applyBorder="1" applyAlignment="1" applyProtection="1">
      <alignment horizontal="left" vertical="center"/>
      <protection hidden="1"/>
    </xf>
    <xf numFmtId="0" fontId="39" fillId="0" borderId="0" xfId="1" applyFont="1" applyBorder="1" applyAlignment="1" applyProtection="1">
      <alignment horizontal="center" vertical="center" wrapText="1" shrinkToFit="1" readingOrder="2"/>
      <protection hidden="1"/>
    </xf>
    <xf numFmtId="0" fontId="23" fillId="0" borderId="0" xfId="1" applyNumberFormat="1" applyFont="1" applyBorder="1" applyAlignment="1" applyProtection="1">
      <alignment horizontal="center" vertical="center" readingOrder="2"/>
      <protection hidden="1"/>
    </xf>
    <xf numFmtId="2" fontId="13" fillId="0" borderId="0" xfId="1" applyNumberFormat="1" applyFont="1" applyBorder="1" applyAlignment="1" applyProtection="1">
      <alignment horizontal="center" vertical="center" readingOrder="2"/>
      <protection hidden="1"/>
    </xf>
    <xf numFmtId="1" fontId="13" fillId="0" borderId="0" xfId="0" applyNumberFormat="1" applyFont="1" applyBorder="1" applyAlignment="1" applyProtection="1">
      <alignment horizontal="center" vertical="center" readingOrder="2"/>
      <protection hidden="1"/>
    </xf>
    <xf numFmtId="1" fontId="62" fillId="0" borderId="0" xfId="0" applyNumberFormat="1" applyFont="1" applyBorder="1" applyAlignment="1" applyProtection="1">
      <alignment horizontal="center" vertical="center" readingOrder="2"/>
      <protection hidden="1"/>
    </xf>
    <xf numFmtId="0" fontId="30" fillId="0" borderId="0" xfId="1" applyNumberFormat="1" applyFont="1" applyBorder="1" applyAlignment="1" applyProtection="1">
      <alignment vertical="center"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vertical="center" readingOrder="2"/>
      <protection hidden="1"/>
    </xf>
    <xf numFmtId="0" fontId="5" fillId="0" borderId="0" xfId="1" applyFont="1" applyAlignment="1" applyProtection="1">
      <alignment horizontal="center" readingOrder="2"/>
      <protection hidden="1"/>
    </xf>
    <xf numFmtId="0" fontId="13" fillId="0" borderId="0" xfId="1" applyFont="1" applyAlignment="1" applyProtection="1">
      <alignment horizontal="center" vertical="center" readingOrder="2"/>
      <protection hidden="1"/>
    </xf>
    <xf numFmtId="1" fontId="10" fillId="0" borderId="0" xfId="1" applyNumberFormat="1" applyFont="1" applyBorder="1" applyAlignment="1" applyProtection="1">
      <alignment horizontal="center" vertical="center" readingOrder="2"/>
      <protection hidden="1"/>
    </xf>
    <xf numFmtId="0" fontId="5" fillId="0" borderId="0" xfId="0" applyFont="1" applyBorder="1" applyAlignment="1" applyProtection="1">
      <alignment horizontal="right" vertical="center" shrinkToFit="1" readingOrder="2"/>
    </xf>
    <xf numFmtId="0" fontId="4" fillId="0" borderId="44" xfId="1" applyFont="1" applyBorder="1" applyAlignment="1" applyProtection="1">
      <alignment horizontal="center" vertical="center" shrinkToFit="1"/>
    </xf>
    <xf numFmtId="0" fontId="17" fillId="0" borderId="0" xfId="0" applyFont="1" applyFill="1" applyBorder="1" applyAlignment="1" applyProtection="1">
      <alignment readingOrder="2"/>
    </xf>
    <xf numFmtId="0" fontId="5" fillId="0" borderId="0" xfId="0" applyFont="1" applyFill="1" applyBorder="1" applyAlignment="1" applyProtection="1">
      <alignment horizontal="right" vertical="center" shrinkToFit="1" readingOrder="2"/>
    </xf>
    <xf numFmtId="0" fontId="5" fillId="0" borderId="0" xfId="1" applyFont="1" applyAlignment="1" applyProtection="1">
      <alignment horizontal="center" vertical="center" readingOrder="2"/>
      <protection hidden="1"/>
    </xf>
    <xf numFmtId="0" fontId="15" fillId="0" borderId="0" xfId="1" applyFont="1" applyAlignment="1" applyProtection="1">
      <alignment horizontal="center" vertical="center" readingOrder="2"/>
      <protection hidden="1"/>
    </xf>
    <xf numFmtId="0" fontId="59" fillId="0" borderId="0" xfId="1" applyFont="1" applyAlignment="1" applyProtection="1">
      <alignment horizontal="center" vertical="center" readingOrder="2"/>
      <protection hidden="1"/>
    </xf>
    <xf numFmtId="1" fontId="10" fillId="0" borderId="0" xfId="1" applyNumberFormat="1" applyFont="1" applyAlignment="1" applyProtection="1">
      <alignment horizontal="center" vertical="center" readingOrder="2"/>
      <protection hidden="1"/>
    </xf>
    <xf numFmtId="1" fontId="84" fillId="0" borderId="0" xfId="1" applyNumberFormat="1" applyFont="1" applyAlignment="1" applyProtection="1">
      <alignment horizontal="center" vertical="center" readingOrder="2"/>
      <protection hidden="1"/>
    </xf>
    <xf numFmtId="49" fontId="19" fillId="0" borderId="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1" fontId="2" fillId="0" borderId="2" xfId="1" applyNumberFormat="1" applyFont="1" applyBorder="1" applyAlignment="1" applyProtection="1">
      <alignment horizontal="center" vertical="center" shrinkToFit="1" readingOrder="2"/>
    </xf>
    <xf numFmtId="49" fontId="19" fillId="0" borderId="4" xfId="1" applyNumberFormat="1" applyFont="1" applyBorder="1" applyAlignment="1" applyProtection="1">
      <alignment horizontal="left" vertical="center" wrapText="1" shrinkToFit="1" readingOrder="2"/>
      <protection locked="0"/>
    </xf>
    <xf numFmtId="49" fontId="19" fillId="0" borderId="4" xfId="1" applyNumberFormat="1" applyFont="1" applyBorder="1" applyAlignment="1" applyProtection="1">
      <alignment horizontal="center" vertical="center" wrapText="1" readingOrder="2"/>
      <protection locked="0"/>
    </xf>
    <xf numFmtId="0" fontId="21" fillId="0" borderId="4" xfId="1" applyNumberFormat="1" applyFont="1" applyBorder="1" applyAlignment="1" applyProtection="1">
      <alignment horizontal="center" vertical="center" wrapText="1" readingOrder="2"/>
      <protection locked="0"/>
    </xf>
    <xf numFmtId="164" fontId="19" fillId="0" borderId="4" xfId="1" applyNumberFormat="1" applyFont="1" applyBorder="1" applyAlignment="1" applyProtection="1">
      <alignment horizontal="center" vertical="center" wrapText="1" readingOrder="2"/>
      <protection locked="0"/>
    </xf>
    <xf numFmtId="1" fontId="19" fillId="0" borderId="4" xfId="1" applyNumberFormat="1" applyFont="1" applyBorder="1" applyAlignment="1" applyProtection="1">
      <alignment horizontal="center" vertical="center" wrapText="1" readingOrder="2"/>
      <protection locked="0"/>
    </xf>
    <xf numFmtId="49" fontId="19" fillId="0" borderId="4" xfId="1" applyNumberFormat="1" applyFont="1" applyBorder="1" applyAlignment="1" applyProtection="1">
      <alignment horizontal="center" vertical="center" wrapText="1"/>
      <protection locked="0"/>
    </xf>
    <xf numFmtId="0" fontId="19" fillId="0" borderId="4" xfId="1" applyNumberFormat="1" applyFont="1" applyBorder="1" applyAlignment="1" applyProtection="1">
      <alignment horizontal="center" vertical="center" wrapText="1"/>
      <protection locked="0"/>
    </xf>
    <xf numFmtId="2" fontId="10" fillId="10" borderId="4" xfId="1" applyNumberFormat="1" applyFont="1" applyFill="1" applyBorder="1" applyAlignment="1" applyProtection="1">
      <alignment horizontal="center" vertical="center" shrinkToFit="1" readingOrder="2"/>
    </xf>
    <xf numFmtId="2" fontId="10" fillId="2" borderId="4" xfId="1" applyNumberFormat="1" applyFont="1" applyFill="1" applyBorder="1" applyAlignment="1" applyProtection="1">
      <alignment horizontal="center" vertical="center" shrinkToFit="1" readingOrder="2"/>
    </xf>
    <xf numFmtId="2" fontId="10" fillId="0" borderId="4" xfId="1" applyNumberFormat="1" applyFont="1" applyFill="1" applyBorder="1" applyAlignment="1" applyProtection="1">
      <alignment horizontal="center" vertical="center" shrinkToFit="1" readingOrder="2"/>
      <protection locked="0"/>
    </xf>
    <xf numFmtId="0" fontId="2" fillId="10" borderId="44" xfId="1" applyFont="1" applyFill="1" applyBorder="1" applyAlignment="1" applyProtection="1">
      <alignment horizontal="left" vertical="center" shrinkToFit="1" readingOrder="2"/>
    </xf>
    <xf numFmtId="2" fontId="10" fillId="12" borderId="42" xfId="1" applyNumberFormat="1" applyFont="1" applyFill="1" applyBorder="1" applyAlignment="1" applyProtection="1">
      <alignment horizontal="right" vertical="center" shrinkToFit="1"/>
      <protection locked="0"/>
    </xf>
    <xf numFmtId="0" fontId="2" fillId="10" borderId="42" xfId="1" applyFont="1" applyFill="1" applyBorder="1" applyAlignment="1" applyProtection="1">
      <alignment horizontal="left" vertical="center" shrinkToFit="1" readingOrder="2"/>
    </xf>
    <xf numFmtId="1" fontId="10" fillId="12" borderId="42" xfId="1" applyNumberFormat="1" applyFont="1" applyFill="1" applyBorder="1" applyAlignment="1" applyProtection="1">
      <alignment horizontal="right" vertical="center" shrinkToFit="1" readingOrder="2"/>
      <protection locked="0"/>
    </xf>
    <xf numFmtId="0" fontId="10" fillId="12" borderId="42" xfId="1" applyFont="1" applyFill="1" applyBorder="1" applyAlignment="1" applyProtection="1">
      <alignment horizontal="right" vertical="center" shrinkToFit="1" readingOrder="2"/>
      <protection locked="0"/>
    </xf>
    <xf numFmtId="0" fontId="10" fillId="12" borderId="42" xfId="2" applyNumberFormat="1" applyFont="1" applyFill="1" applyBorder="1" applyAlignment="1" applyProtection="1">
      <alignment horizontal="right" vertical="center" shrinkToFit="1" readingOrder="2"/>
      <protection locked="0"/>
    </xf>
    <xf numFmtId="0" fontId="10" fillId="12" borderId="43" xfId="1" applyFont="1" applyFill="1" applyBorder="1" applyAlignment="1" applyProtection="1">
      <alignment horizontal="right" vertical="center" shrinkToFit="1" readingOrder="2"/>
      <protection locked="0"/>
    </xf>
    <xf numFmtId="0" fontId="2" fillId="2" borderId="34" xfId="1" applyFont="1" applyFill="1" applyBorder="1" applyAlignment="1" applyProtection="1">
      <alignment horizontal="left" vertical="center" shrinkToFit="1"/>
    </xf>
    <xf numFmtId="2" fontId="10" fillId="7" borderId="32" xfId="1" applyNumberFormat="1" applyFont="1" applyFill="1" applyBorder="1" applyAlignment="1" applyProtection="1">
      <alignment horizontal="right" vertical="center" shrinkToFit="1"/>
      <protection locked="0"/>
    </xf>
    <xf numFmtId="0" fontId="2" fillId="2" borderId="32" xfId="1" applyFont="1" applyFill="1" applyBorder="1" applyAlignment="1" applyProtection="1">
      <alignment horizontal="left" vertical="center" shrinkToFit="1" readingOrder="2"/>
    </xf>
    <xf numFmtId="1" fontId="10" fillId="7" borderId="32" xfId="1" applyNumberFormat="1" applyFont="1" applyFill="1" applyBorder="1" applyAlignment="1" applyProtection="1">
      <alignment horizontal="right" vertical="center" shrinkToFit="1" readingOrder="2"/>
      <protection locked="0"/>
    </xf>
    <xf numFmtId="0" fontId="10" fillId="7" borderId="32" xfId="1" applyFont="1" applyFill="1" applyBorder="1" applyAlignment="1" applyProtection="1">
      <alignment horizontal="right" vertical="center" shrinkToFit="1" readingOrder="2"/>
      <protection locked="0"/>
    </xf>
    <xf numFmtId="0" fontId="10" fillId="7" borderId="33" xfId="2" applyNumberFormat="1" applyFont="1" applyFill="1" applyBorder="1" applyAlignment="1" applyProtection="1">
      <alignment horizontal="right" vertical="center" shrinkToFit="1" readingOrder="2"/>
      <protection locked="0"/>
    </xf>
    <xf numFmtId="49" fontId="19" fillId="0" borderId="57" xfId="1" applyNumberFormat="1" applyFont="1" applyBorder="1" applyAlignment="1" applyProtection="1">
      <alignment horizontal="left" vertical="center" wrapText="1"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1" fillId="0" borderId="57" xfId="1" applyNumberFormat="1" applyFont="1" applyBorder="1" applyAlignment="1" applyProtection="1">
      <alignment horizontal="center" vertical="center" wrapText="1" readingOrder="2"/>
      <protection locked="0"/>
    </xf>
    <xf numFmtId="164" fontId="19" fillId="0" borderId="57" xfId="1" applyNumberFormat="1" applyFont="1" applyBorder="1" applyAlignment="1" applyProtection="1">
      <alignment horizontal="center" vertical="center" wrapText="1" readingOrder="2"/>
      <protection locked="0"/>
    </xf>
    <xf numFmtId="1" fontId="19"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horizontal="center" vertical="center" wrapText="1"/>
      <protection locked="0"/>
    </xf>
    <xf numFmtId="0" fontId="19" fillId="0" borderId="57" xfId="1" applyNumberFormat="1" applyFont="1" applyBorder="1" applyAlignment="1" applyProtection="1">
      <alignment horizontal="center" vertical="center" wrapText="1"/>
      <protection locked="0"/>
    </xf>
    <xf numFmtId="2" fontId="10" fillId="10" borderId="57" xfId="1" applyNumberFormat="1" applyFont="1" applyFill="1" applyBorder="1" applyAlignment="1" applyProtection="1">
      <alignment horizontal="center" vertical="center" shrinkToFit="1" readingOrder="2"/>
    </xf>
    <xf numFmtId="2" fontId="10" fillId="2" borderId="57" xfId="1" applyNumberFormat="1" applyFont="1" applyFill="1" applyBorder="1" applyAlignment="1" applyProtection="1">
      <alignment horizontal="center" vertical="center" shrinkToFit="1" readingOrder="2"/>
    </xf>
    <xf numFmtId="0" fontId="2" fillId="2" borderId="44" xfId="1" applyFont="1" applyFill="1" applyBorder="1" applyAlignment="1" applyProtection="1">
      <alignment horizontal="left" vertical="center" shrinkToFit="1"/>
    </xf>
    <xf numFmtId="2" fontId="10" fillId="7" borderId="42" xfId="1" applyNumberFormat="1" applyFont="1" applyFill="1" applyBorder="1" applyAlignment="1" applyProtection="1">
      <alignment horizontal="right" vertical="center" shrinkToFit="1"/>
      <protection locked="0"/>
    </xf>
    <xf numFmtId="0" fontId="2" fillId="2" borderId="42" xfId="1" applyFont="1" applyFill="1" applyBorder="1" applyAlignment="1" applyProtection="1">
      <alignment horizontal="left" vertical="center" shrinkToFit="1" readingOrder="2"/>
    </xf>
    <xf numFmtId="1" fontId="10" fillId="7" borderId="42" xfId="1" applyNumberFormat="1" applyFont="1" applyFill="1" applyBorder="1" applyAlignment="1" applyProtection="1">
      <alignment horizontal="right" vertical="center" shrinkToFit="1" readingOrder="2"/>
      <protection locked="0"/>
    </xf>
    <xf numFmtId="0" fontId="10" fillId="7" borderId="42" xfId="1" applyFont="1" applyFill="1" applyBorder="1" applyAlignment="1" applyProtection="1">
      <alignment horizontal="right" vertical="center" shrinkToFit="1" readingOrder="2"/>
      <protection locked="0"/>
    </xf>
    <xf numFmtId="0" fontId="10" fillId="7" borderId="43" xfId="2" applyNumberFormat="1" applyFont="1" applyFill="1" applyBorder="1" applyAlignment="1" applyProtection="1">
      <alignment horizontal="right" vertical="center" shrinkToFit="1" readingOrder="2"/>
      <protection locked="0"/>
    </xf>
    <xf numFmtId="49" fontId="19" fillId="0" borderId="55" xfId="1" applyNumberFormat="1" applyFont="1" applyBorder="1" applyAlignment="1" applyProtection="1">
      <alignment horizontal="center" vertical="center" wrapText="1"/>
      <protection locked="0"/>
    </xf>
    <xf numFmtId="1" fontId="19" fillId="0" borderId="55" xfId="1" applyNumberFormat="1" applyFont="1" applyBorder="1" applyAlignment="1" applyProtection="1">
      <alignment horizontal="center" vertical="center" wrapText="1"/>
      <protection locked="0"/>
    </xf>
    <xf numFmtId="0" fontId="15" fillId="0" borderId="3" xfId="0" applyFont="1" applyFill="1" applyBorder="1" applyAlignment="1" applyProtection="1">
      <alignment vertical="center" shrinkToFit="1" readingOrder="2"/>
      <protection locked="0"/>
    </xf>
    <xf numFmtId="0" fontId="2" fillId="0" borderId="5" xfId="1" applyFont="1" applyBorder="1" applyAlignment="1" applyProtection="1">
      <alignment horizontal="right" vertical="center" shrinkToFit="1" readingOrder="2"/>
      <protection locked="0"/>
    </xf>
    <xf numFmtId="0" fontId="15" fillId="0" borderId="10" xfId="0" applyFont="1" applyFill="1" applyBorder="1" applyAlignment="1" applyProtection="1">
      <alignment vertical="center" shrinkToFit="1" readingOrder="2"/>
      <protection locked="0"/>
    </xf>
    <xf numFmtId="0" fontId="2" fillId="0" borderId="11" xfId="1" applyFont="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2" fontId="10" fillId="12" borderId="7" xfId="1" applyNumberFormat="1" applyFont="1" applyFill="1" applyBorder="1" applyAlignment="1" applyProtection="1">
      <alignment horizontal="center" vertical="center" shrinkToFit="1" readingOrder="2"/>
      <protection locked="0"/>
    </xf>
    <xf numFmtId="1" fontId="19" fillId="0" borderId="57" xfId="1" applyNumberFormat="1" applyFont="1" applyBorder="1" applyAlignment="1" applyProtection="1">
      <alignment horizontal="center" vertical="center" wrapText="1"/>
      <protection locked="0"/>
    </xf>
    <xf numFmtId="2" fontId="10" fillId="12" borderId="57" xfId="1" applyNumberFormat="1" applyFont="1" applyFill="1" applyBorder="1" applyAlignment="1" applyProtection="1">
      <alignment horizontal="center" vertical="center" shrinkToFit="1" readingOrder="2"/>
      <protection locked="0"/>
    </xf>
    <xf numFmtId="49" fontId="9" fillId="0" borderId="7" xfId="1" applyNumberFormat="1" applyFont="1" applyBorder="1" applyAlignment="1" applyProtection="1">
      <alignment horizontal="center" vertical="center" wrapText="1" shrinkToFit="1" readingOrder="2"/>
    </xf>
    <xf numFmtId="1" fontId="2" fillId="0" borderId="57" xfId="1" applyNumberFormat="1" applyFont="1" applyBorder="1" applyAlignment="1" applyProtection="1">
      <alignment horizontal="center" vertical="center" wrapText="1" readingOrder="2"/>
      <protection locked="0"/>
    </xf>
    <xf numFmtId="2" fontId="10" fillId="12" borderId="42" xfId="1" applyNumberFormat="1" applyFont="1" applyFill="1" applyBorder="1" applyAlignment="1" applyProtection="1">
      <alignment horizontal="right" vertical="center" shrinkToFit="1" readingOrder="2"/>
      <protection locked="0"/>
    </xf>
    <xf numFmtId="0" fontId="30" fillId="12" borderId="42" xfId="1" applyFont="1" applyFill="1" applyBorder="1" applyAlignment="1" applyProtection="1">
      <alignment horizontal="right" vertical="center" shrinkToFit="1" readingOrder="2"/>
      <protection locked="0"/>
    </xf>
    <xf numFmtId="0" fontId="10" fillId="12" borderId="42" xfId="1" applyNumberFormat="1" applyFont="1" applyFill="1" applyBorder="1" applyAlignment="1" applyProtection="1">
      <alignment horizontal="right" vertical="center" shrinkToFit="1" readingOrder="2"/>
      <protection locked="0"/>
    </xf>
    <xf numFmtId="2" fontId="10" fillId="7" borderId="37" xfId="1" applyNumberFormat="1" applyFont="1" applyFill="1" applyBorder="1" applyAlignment="1" applyProtection="1">
      <alignment horizontal="right" vertical="center" shrinkToFit="1" readingOrder="2"/>
      <protection locked="0"/>
    </xf>
    <xf numFmtId="0" fontId="10" fillId="7" borderId="37" xfId="1" applyFont="1" applyFill="1" applyBorder="1" applyAlignment="1" applyProtection="1">
      <alignment horizontal="right" vertical="center" shrinkToFit="1" readingOrder="2"/>
      <protection locked="0"/>
    </xf>
    <xf numFmtId="0" fontId="30" fillId="7" borderId="37" xfId="1" applyFont="1" applyFill="1" applyBorder="1" applyAlignment="1" applyProtection="1">
      <alignment horizontal="right" vertical="center" shrinkToFit="1" readingOrder="2"/>
      <protection locked="0"/>
    </xf>
    <xf numFmtId="1" fontId="10" fillId="7" borderId="37" xfId="1" applyNumberFormat="1" applyFont="1" applyFill="1" applyBorder="1" applyAlignment="1" applyProtection="1">
      <alignment horizontal="right" vertical="center" shrinkToFit="1" readingOrder="2"/>
      <protection locked="0"/>
    </xf>
    <xf numFmtId="1" fontId="2" fillId="0" borderId="7" xfId="1" applyNumberFormat="1" applyFont="1" applyBorder="1" applyAlignment="1" applyProtection="1">
      <alignment horizontal="center" vertical="center" wrapText="1" readingOrder="2"/>
      <protection locked="0"/>
    </xf>
    <xf numFmtId="2" fontId="10" fillId="12" borderId="27" xfId="1" applyNumberFormat="1" applyFont="1" applyFill="1" applyBorder="1" applyAlignment="1" applyProtection="1">
      <alignment horizontal="center" vertical="center" shrinkToFit="1" readingOrder="2"/>
      <protection locked="0"/>
    </xf>
    <xf numFmtId="0" fontId="13" fillId="0" borderId="3" xfId="1" applyFont="1" applyBorder="1" applyAlignment="1" applyProtection="1">
      <alignment horizontal="center" vertical="center" wrapText="1" shrinkToFit="1" readingOrder="2"/>
    </xf>
    <xf numFmtId="49" fontId="5"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protection locked="0"/>
    </xf>
    <xf numFmtId="0" fontId="13" fillId="12" borderId="3" xfId="1" applyFont="1" applyFill="1" applyBorder="1" applyAlignment="1" applyProtection="1">
      <alignment horizontal="center" vertical="center" wrapText="1" shrinkToFit="1" readingOrder="2"/>
      <protection locked="0"/>
    </xf>
    <xf numFmtId="0" fontId="13" fillId="7" borderId="3" xfId="1" applyFont="1" applyFill="1" applyBorder="1" applyAlignment="1" applyProtection="1">
      <alignment horizontal="center" vertical="center" wrapText="1" shrinkToFit="1" readingOrder="2"/>
      <protection locked="0"/>
    </xf>
    <xf numFmtId="0" fontId="13" fillId="0" borderId="5" xfId="1" applyFont="1" applyBorder="1" applyAlignment="1" applyProtection="1">
      <alignment horizontal="center" vertical="center" wrapText="1" shrinkToFit="1" readingOrder="2"/>
      <protection locked="0"/>
    </xf>
    <xf numFmtId="0" fontId="13" fillId="0" borderId="27" xfId="1" applyFont="1" applyBorder="1" applyAlignment="1" applyProtection="1">
      <alignment horizontal="center" vertical="center" wrapText="1" shrinkToFit="1" readingOrder="2"/>
    </xf>
    <xf numFmtId="0" fontId="5" fillId="0" borderId="27"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textRotation="90" wrapText="1" shrinkToFit="1"/>
      <protection locked="0"/>
    </xf>
    <xf numFmtId="0" fontId="13" fillId="12" borderId="27" xfId="1" applyFont="1" applyFill="1" applyBorder="1" applyAlignment="1" applyProtection="1">
      <alignment horizontal="center" vertical="center" wrapText="1" shrinkToFit="1" readingOrder="2"/>
      <protection locked="0"/>
    </xf>
    <xf numFmtId="0" fontId="13" fillId="7" borderId="27" xfId="1" applyFont="1" applyFill="1" applyBorder="1" applyAlignment="1" applyProtection="1">
      <alignment horizontal="center" vertical="center" wrapText="1" shrinkToFit="1" readingOrder="2"/>
      <protection locked="0"/>
    </xf>
    <xf numFmtId="0" fontId="13" fillId="0" borderId="29" xfId="1" applyFont="1" applyBorder="1" applyAlignment="1" applyProtection="1">
      <alignment horizontal="center" vertical="center" wrapText="1" shrinkToFit="1" readingOrder="2"/>
      <protection locked="0"/>
    </xf>
    <xf numFmtId="0" fontId="13" fillId="0" borderId="55" xfId="1" applyFont="1" applyBorder="1" applyAlignment="1" applyProtection="1">
      <alignment horizontal="center" vertical="center" wrapText="1" shrinkToFit="1" readingOrder="2"/>
    </xf>
    <xf numFmtId="0" fontId="5" fillId="0" borderId="55" xfId="1" applyFont="1" applyBorder="1" applyAlignment="1" applyProtection="1">
      <alignment horizontal="center" vertical="center" wrapText="1" shrinkToFit="1" readingOrder="2"/>
      <protection locked="0"/>
    </xf>
    <xf numFmtId="0" fontId="5" fillId="0" borderId="55" xfId="1" applyFont="1" applyBorder="1" applyAlignment="1" applyProtection="1">
      <alignment horizontal="center" vertical="center" textRotation="90" wrapText="1" shrinkToFit="1"/>
      <protection locked="0"/>
    </xf>
    <xf numFmtId="0" fontId="13" fillId="12" borderId="55" xfId="1" applyFont="1" applyFill="1" applyBorder="1" applyAlignment="1" applyProtection="1">
      <alignment horizontal="center" vertical="center" wrapText="1" shrinkToFit="1" readingOrder="2"/>
      <protection locked="0"/>
    </xf>
    <xf numFmtId="0" fontId="13" fillId="7" borderId="55" xfId="1" applyFont="1" applyFill="1" applyBorder="1" applyAlignment="1" applyProtection="1">
      <alignment horizontal="center" vertical="center" wrapText="1" shrinkToFit="1" readingOrder="2"/>
      <protection locked="0"/>
    </xf>
    <xf numFmtId="0" fontId="13" fillId="0" borderId="65" xfId="1" applyFont="1" applyBorder="1" applyAlignment="1" applyProtection="1">
      <alignment horizontal="center" vertical="center" wrapText="1" shrinkToFit="1" readingOrder="2"/>
      <protection locked="0"/>
    </xf>
    <xf numFmtId="0" fontId="13" fillId="0" borderId="7" xfId="1" applyFont="1" applyBorder="1" applyAlignment="1" applyProtection="1">
      <alignment horizontal="center" vertical="center" wrapText="1" shrinkToFit="1" readingOrder="2"/>
    </xf>
    <xf numFmtId="0" fontId="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textRotation="90" wrapText="1" shrinkToFit="1"/>
      <protection locked="0"/>
    </xf>
    <xf numFmtId="0" fontId="13" fillId="12" borderId="7" xfId="1" applyFont="1" applyFill="1" applyBorder="1" applyAlignment="1" applyProtection="1">
      <alignment horizontal="center" vertical="center" wrapText="1" shrinkToFit="1" readingOrder="2"/>
      <protection locked="0"/>
    </xf>
    <xf numFmtId="0" fontId="13" fillId="7" borderId="7" xfId="1" applyFont="1" applyFill="1" applyBorder="1" applyAlignment="1" applyProtection="1">
      <alignment horizontal="center" vertical="center" wrapText="1" shrinkToFit="1" readingOrder="2"/>
      <protection locked="0"/>
    </xf>
    <xf numFmtId="0" fontId="13" fillId="0" borderId="8" xfId="1" applyFont="1" applyBorder="1" applyAlignment="1" applyProtection="1">
      <alignment horizontal="center" vertical="center" wrapText="1" shrinkToFi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protection locked="0"/>
    </xf>
    <xf numFmtId="49" fontId="33" fillId="0" borderId="27" xfId="1" applyNumberFormat="1" applyFont="1" applyBorder="1" applyAlignment="1" applyProtection="1">
      <alignment horizontal="center" vertical="center" wrapText="1"/>
      <protection locked="0"/>
    </xf>
    <xf numFmtId="49" fontId="33" fillId="0" borderId="27" xfId="1" applyNumberFormat="1" applyFont="1" applyBorder="1" applyAlignment="1" applyProtection="1">
      <alignment horizontal="center" vertical="center" wrapText="1" shrinkToFit="1" readingOrder="2"/>
      <protection locked="0"/>
    </xf>
    <xf numFmtId="166" fontId="10" fillId="12" borderId="27" xfId="1" applyNumberFormat="1" applyFont="1" applyFill="1" applyBorder="1" applyAlignment="1" applyProtection="1">
      <alignment horizontal="center" vertical="center" shrinkToFit="1" readingOrder="2"/>
      <protection locked="0"/>
    </xf>
    <xf numFmtId="166" fontId="10" fillId="7" borderId="27" xfId="1" applyNumberFormat="1" applyFont="1" applyFill="1" applyBorder="1" applyAlignment="1" applyProtection="1">
      <alignment horizontal="center" vertical="center"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protection locked="0"/>
    </xf>
    <xf numFmtId="49" fontId="33" fillId="0" borderId="7" xfId="1" applyNumberFormat="1" applyFont="1" applyBorder="1" applyAlignment="1" applyProtection="1">
      <alignment horizontal="center" vertical="center" wrapText="1"/>
      <protection locked="0"/>
    </xf>
    <xf numFmtId="49" fontId="33" fillId="0" borderId="7" xfId="1" applyNumberFormat="1" applyFont="1" applyBorder="1" applyAlignment="1" applyProtection="1">
      <alignment horizontal="center" vertical="center" wrapText="1" shrinkToFit="1" readingOrder="2"/>
      <protection locked="0"/>
    </xf>
    <xf numFmtId="166" fontId="10" fillId="12" borderId="7" xfId="1" applyNumberFormat="1" applyFont="1" applyFill="1" applyBorder="1" applyAlignment="1" applyProtection="1">
      <alignment horizontal="center" vertical="center" shrinkToFit="1" readingOrder="2"/>
      <protection locked="0"/>
    </xf>
    <xf numFmtId="166" fontId="10" fillId="7" borderId="7" xfId="1" applyNumberFormat="1" applyFont="1" applyFill="1" applyBorder="1" applyAlignment="1" applyProtection="1">
      <alignment horizontal="center" vertical="center"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protection locked="0"/>
    </xf>
    <xf numFmtId="49" fontId="33" fillId="0" borderId="57" xfId="1" applyNumberFormat="1" applyFont="1" applyBorder="1" applyAlignment="1" applyProtection="1">
      <alignment horizontal="center" vertical="center" wrapText="1"/>
      <protection locked="0"/>
    </xf>
    <xf numFmtId="49" fontId="33" fillId="0" borderId="57" xfId="1" applyNumberFormat="1" applyFont="1" applyBorder="1" applyAlignment="1" applyProtection="1">
      <alignment horizontal="center" vertical="center" wrapText="1" shrinkToFit="1" readingOrder="2"/>
      <protection locked="0"/>
    </xf>
    <xf numFmtId="166" fontId="10" fillId="12" borderId="57" xfId="1" applyNumberFormat="1" applyFont="1" applyFill="1" applyBorder="1" applyAlignment="1" applyProtection="1">
      <alignment horizontal="center" vertical="center" shrinkToFit="1" readingOrder="2"/>
      <protection locked="0"/>
    </xf>
    <xf numFmtId="166" fontId="10" fillId="7" borderId="57" xfId="1" applyNumberFormat="1" applyFont="1" applyFill="1" applyBorder="1" applyAlignment="1" applyProtection="1">
      <alignment horizontal="center" vertical="center" shrinkToFit="1" readingOrder="2"/>
      <protection locked="0"/>
    </xf>
    <xf numFmtId="2" fontId="14" fillId="0" borderId="7" xfId="1" applyNumberFormat="1" applyFont="1" applyFill="1" applyBorder="1" applyAlignment="1" applyProtection="1">
      <alignment horizontal="center" vertical="center" shrinkToFit="1" readingOrder="2"/>
      <protection locked="0"/>
    </xf>
    <xf numFmtId="0" fontId="15" fillId="0" borderId="8" xfId="1" applyFont="1" applyFill="1" applyBorder="1" applyAlignment="1" applyProtection="1">
      <alignment vertical="center" shrinkToFit="1" readingOrder="2"/>
      <protection locked="0"/>
    </xf>
    <xf numFmtId="1" fontId="33"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readingOrder="2"/>
      <protection locked="0"/>
    </xf>
    <xf numFmtId="49" fontId="33" fillId="0" borderId="27" xfId="1" applyNumberFormat="1" applyFont="1" applyBorder="1" applyAlignment="1" applyProtection="1">
      <alignment horizontal="center" vertical="center" wrapText="1" readingOrder="2"/>
      <protection locked="0"/>
    </xf>
    <xf numFmtId="0" fontId="33" fillId="0" borderId="27" xfId="0" applyFont="1" applyBorder="1" applyAlignment="1" applyProtection="1">
      <alignment horizontal="center" vertical="center" wrapText="1" readingOrder="2"/>
      <protection locked="0"/>
    </xf>
    <xf numFmtId="2" fontId="10" fillId="0" borderId="29" xfId="1" applyNumberFormat="1" applyFont="1" applyFill="1" applyBorder="1" applyAlignment="1" applyProtection="1">
      <alignment horizontal="center" vertical="center" shrinkToFit="1" readingOrder="2"/>
      <protection locked="0"/>
    </xf>
    <xf numFmtId="1" fontId="33"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readingOrder="2"/>
      <protection locked="0"/>
    </xf>
    <xf numFmtId="49" fontId="33" fillId="0" borderId="7" xfId="1" applyNumberFormat="1" applyFont="1" applyBorder="1" applyAlignment="1" applyProtection="1">
      <alignment horizontal="center" vertical="center" wrapText="1" readingOrder="2"/>
      <protection locked="0"/>
    </xf>
    <xf numFmtId="0" fontId="33" fillId="0" borderId="7" xfId="0" applyFont="1" applyBorder="1" applyAlignment="1" applyProtection="1">
      <alignment horizontal="center" vertical="center" wrapText="1" readingOrder="2"/>
      <protection locked="0"/>
    </xf>
    <xf numFmtId="2" fontId="10" fillId="0" borderId="8" xfId="1" applyNumberFormat="1" applyFont="1" applyFill="1" applyBorder="1" applyAlignment="1" applyProtection="1">
      <alignment horizontal="center" vertical="center" shrinkToFit="1" readingOrder="2"/>
      <protection locked="0"/>
    </xf>
    <xf numFmtId="1" fontId="33"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readingOrder="2"/>
      <protection locked="0"/>
    </xf>
    <xf numFmtId="49" fontId="33" fillId="0" borderId="57" xfId="1" applyNumberFormat="1" applyFont="1" applyBorder="1" applyAlignment="1" applyProtection="1">
      <alignment horizontal="center" vertical="center" wrapText="1" readingOrder="2"/>
      <protection locked="0"/>
    </xf>
    <xf numFmtId="0" fontId="33" fillId="0" borderId="57" xfId="0" applyFont="1" applyBorder="1" applyAlignment="1" applyProtection="1">
      <alignment horizontal="center" vertical="center" wrapText="1" readingOrder="2"/>
      <protection locked="0"/>
    </xf>
    <xf numFmtId="2" fontId="10" fillId="12" borderId="57" xfId="1" applyNumberFormat="1" applyFont="1" applyFill="1" applyBorder="1" applyAlignment="1" applyProtection="1">
      <alignment horizontal="center" vertical="center" shrinkToFit="1" readingOrder="2"/>
    </xf>
    <xf numFmtId="2" fontId="10" fillId="0" borderId="58" xfId="1" applyNumberFormat="1" applyFont="1" applyFill="1" applyBorder="1" applyAlignment="1" applyProtection="1">
      <alignment horizontal="center" vertical="center" shrinkToFit="1" readingOrder="2"/>
      <protection locked="0"/>
    </xf>
    <xf numFmtId="49" fontId="19" fillId="0" borderId="27" xfId="1" applyNumberFormat="1" applyFont="1" applyBorder="1" applyAlignment="1" applyProtection="1">
      <alignment vertical="center" shrinkToFit="1" readingOrder="2"/>
      <protection locked="0"/>
    </xf>
    <xf numFmtId="49" fontId="19" fillId="0" borderId="7" xfId="1" applyNumberFormat="1" applyFont="1" applyBorder="1" applyAlignment="1" applyProtection="1">
      <alignment vertical="center" shrinkToFit="1" readingOrder="2"/>
      <protection locked="0"/>
    </xf>
    <xf numFmtId="0" fontId="15" fillId="0" borderId="63" xfId="0" applyFont="1" applyFill="1" applyBorder="1" applyAlignment="1" applyProtection="1">
      <alignment vertical="center" shrinkToFit="1" readingOrder="2"/>
    </xf>
    <xf numFmtId="1" fontId="30" fillId="0" borderId="27" xfId="1" applyNumberFormat="1" applyFont="1" applyBorder="1" applyAlignment="1" applyProtection="1">
      <alignment horizontal="center" vertical="center" wrapText="1" readingOrder="2"/>
      <protection locked="0"/>
    </xf>
    <xf numFmtId="1" fontId="30" fillId="0" borderId="7" xfId="1" applyNumberFormat="1" applyFont="1" applyBorder="1" applyAlignment="1" applyProtection="1">
      <alignment horizontal="center" vertical="center" wrapText="1" readingOrder="2"/>
      <protection locked="0"/>
    </xf>
    <xf numFmtId="1" fontId="30"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vertical="center" wrapText="1" readingOrder="2"/>
      <protection locked="0"/>
    </xf>
    <xf numFmtId="0" fontId="19" fillId="0" borderId="28" xfId="1" applyNumberFormat="1" applyFont="1" applyBorder="1" applyAlignment="1" applyProtection="1">
      <alignment horizontal="center" vertical="center" wrapText="1" shrinkToFit="1" readingOrder="2"/>
    </xf>
    <xf numFmtId="0" fontId="19" fillId="0" borderId="27" xfId="1" applyNumberFormat="1" applyFont="1" applyBorder="1" applyAlignment="1" applyProtection="1">
      <alignment horizontal="center" vertical="center" wrapText="1" shrinkToFit="1" readingOrder="2"/>
    </xf>
    <xf numFmtId="2" fontId="10" fillId="7" borderId="55" xfId="1" applyNumberFormat="1" applyFont="1" applyFill="1" applyBorder="1" applyAlignment="1" applyProtection="1">
      <alignment horizontal="center" vertical="center" shrinkToFit="1" readingOrder="2"/>
      <protection locked="0"/>
    </xf>
    <xf numFmtId="2" fontId="10" fillId="0" borderId="27" xfId="1" applyNumberFormat="1" applyFont="1" applyBorder="1" applyAlignment="1" applyProtection="1">
      <alignment horizontal="center" vertical="center" wrapText="1" shrinkToFit="1" readingOrder="2"/>
      <protection locked="0"/>
    </xf>
    <xf numFmtId="0" fontId="19" fillId="0" borderId="6" xfId="1" applyNumberFormat="1" applyFont="1" applyBorder="1" applyAlignment="1" applyProtection="1">
      <alignment horizontal="center" vertical="center" wrapText="1" shrinkToFit="1" readingOrder="2"/>
    </xf>
    <xf numFmtId="0" fontId="19" fillId="0" borderId="7" xfId="1" applyNumberFormat="1" applyFont="1" applyBorder="1" applyAlignment="1" applyProtection="1">
      <alignment horizontal="center" vertical="center" wrapText="1" shrinkToFit="1" readingOrder="2"/>
    </xf>
    <xf numFmtId="2" fontId="10" fillId="0" borderId="7" xfId="1" applyNumberFormat="1" applyFont="1" applyBorder="1" applyAlignment="1" applyProtection="1">
      <alignment horizontal="center" vertical="center" wrapText="1" shrinkToFit="1" readingOrder="2"/>
      <protection locked="0"/>
    </xf>
    <xf numFmtId="0" fontId="19" fillId="0" borderId="56" xfId="1" applyNumberFormat="1" applyFont="1" applyBorder="1" applyAlignment="1" applyProtection="1">
      <alignment horizontal="center" vertical="center" wrapText="1" shrinkToFit="1" readingOrder="2"/>
    </xf>
    <xf numFmtId="0" fontId="19" fillId="0" borderId="57" xfId="1" applyNumberFormat="1" applyFont="1" applyBorder="1" applyAlignment="1" applyProtection="1">
      <alignment horizontal="center" vertical="center" wrapText="1" shrinkToFit="1" readingOrder="2"/>
    </xf>
    <xf numFmtId="49" fontId="19" fillId="0" borderId="57" xfId="1" applyNumberFormat="1" applyFont="1" applyBorder="1" applyAlignment="1" applyProtection="1">
      <alignment vertical="center" wrapText="1" shrinkToFit="1" readingOrder="2"/>
      <protection locked="0"/>
    </xf>
    <xf numFmtId="2" fontId="10" fillId="0" borderId="5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49" fontId="19" fillId="0" borderId="7" xfId="1" applyNumberFormat="1" applyFont="1" applyBorder="1" applyAlignment="1" applyProtection="1">
      <alignment horizontal="center" vertical="center" wrapText="1" readingOrder="2"/>
      <protection locked="0"/>
    </xf>
    <xf numFmtId="49" fontId="19" fillId="0" borderId="7" xfId="1" applyNumberFormat="1" applyFont="1" applyBorder="1" applyAlignment="1" applyProtection="1">
      <alignment horizontal="center" vertical="center" textRotation="90" wrapText="1" readingOrder="2"/>
      <protection locked="0"/>
    </xf>
    <xf numFmtId="2" fontId="10" fillId="12" borderId="10" xfId="1" applyNumberFormat="1" applyFont="1" applyFill="1" applyBorder="1" applyAlignment="1" applyProtection="1">
      <alignment horizontal="center" vertical="center" shrinkToFit="1" readingOrder="2"/>
      <protection locked="0"/>
    </xf>
    <xf numFmtId="2" fontId="10" fillId="7" borderId="10" xfId="1" applyNumberFormat="1" applyFont="1" applyFill="1" applyBorder="1" applyAlignment="1" applyProtection="1">
      <alignment horizontal="center" vertical="center" shrinkToFit="1" readingOrder="2"/>
      <protection locked="0"/>
    </xf>
    <xf numFmtId="2" fontId="10" fillId="0" borderId="10" xfId="1" applyNumberFormat="1" applyFont="1" applyFill="1" applyBorder="1" applyAlignment="1" applyProtection="1">
      <alignment horizontal="center" vertical="center" shrinkToFit="1" readingOrder="2"/>
      <protection locked="0"/>
    </xf>
    <xf numFmtId="49" fontId="9" fillId="0" borderId="11" xfId="1" applyNumberFormat="1" applyFont="1" applyBorder="1" applyAlignment="1" applyProtection="1">
      <alignment horizontal="center" vertical="center" wrapText="1" shrinkToFit="1" readingOrder="2"/>
      <protection locked="0"/>
    </xf>
    <xf numFmtId="49" fontId="31" fillId="0" borderId="27" xfId="1" applyNumberFormat="1" applyFont="1" applyBorder="1" applyAlignment="1" applyProtection="1">
      <alignment horizontal="center" vertical="center" wrapText="1" readingOrder="2"/>
      <protection locked="0"/>
    </xf>
    <xf numFmtId="1" fontId="19" fillId="0" borderId="27" xfId="1" applyNumberFormat="1" applyFont="1" applyBorder="1" applyAlignment="1" applyProtection="1">
      <alignment vertical="center" wrapText="1"/>
      <protection locked="0"/>
    </xf>
    <xf numFmtId="49" fontId="31" fillId="0" borderId="7" xfId="1" applyNumberFormat="1" applyFont="1" applyBorder="1" applyAlignment="1" applyProtection="1">
      <alignment horizontal="center" vertical="center" wrapText="1" readingOrder="2"/>
      <protection locked="0"/>
    </xf>
    <xf numFmtId="1" fontId="19" fillId="0" borderId="7" xfId="1" applyNumberFormat="1" applyFont="1" applyBorder="1" applyAlignment="1" applyProtection="1">
      <alignment vertical="center" wrapText="1"/>
      <protection locked="0"/>
    </xf>
    <xf numFmtId="49" fontId="19" fillId="0" borderId="38" xfId="1" applyNumberFormat="1" applyFont="1" applyBorder="1" applyAlignment="1" applyProtection="1">
      <alignment vertical="center" wrapText="1" readingOrder="2"/>
      <protection locked="0"/>
    </xf>
    <xf numFmtId="49" fontId="19" fillId="0" borderId="43" xfId="1" applyNumberFormat="1" applyFont="1" applyBorder="1" applyAlignment="1" applyProtection="1">
      <alignment vertical="center" wrapText="1" readingOrder="2"/>
      <protection locked="0"/>
    </xf>
    <xf numFmtId="49" fontId="19" fillId="0" borderId="37" xfId="1" applyNumberFormat="1" applyFont="1" applyBorder="1" applyAlignment="1" applyProtection="1">
      <alignment vertical="center" wrapText="1" readingOrder="2"/>
      <protection locked="0"/>
    </xf>
    <xf numFmtId="49" fontId="19" fillId="0" borderId="42" xfId="1" applyNumberFormat="1" applyFont="1" applyBorder="1" applyAlignment="1" applyProtection="1">
      <alignment vertical="center" wrapText="1" readingOrder="2"/>
      <protection locked="0"/>
    </xf>
    <xf numFmtId="1" fontId="19" fillId="0" borderId="57" xfId="1" applyNumberFormat="1" applyFont="1" applyBorder="1" applyAlignment="1" applyProtection="1">
      <alignment vertical="center" wrapText="1"/>
      <protection locked="0"/>
    </xf>
    <xf numFmtId="49" fontId="19" fillId="0" borderId="10"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vertical="center" wrapText="1" shrinkToFit="1" readingOrder="2"/>
      <protection locked="0"/>
    </xf>
    <xf numFmtId="49" fontId="19" fillId="0" borderId="44"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vertical="center" shrinkToFit="1" readingOrder="2"/>
      <protection locked="0"/>
    </xf>
    <xf numFmtId="49" fontId="19" fillId="0" borderId="44" xfId="1" applyNumberFormat="1" applyFont="1" applyBorder="1" applyAlignment="1" applyProtection="1">
      <alignment vertical="center"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vertical="center" shrinkToFit="1" readingOrder="2"/>
      <protection locked="0"/>
    </xf>
    <xf numFmtId="0" fontId="2" fillId="0" borderId="11" xfId="1" applyFont="1" applyBorder="1" applyAlignment="1" applyProtection="1">
      <alignment horizontal="right" vertical="center" shrinkToFit="1" readingOrder="2"/>
      <protection locked="0"/>
    </xf>
    <xf numFmtId="0" fontId="15" fillId="0" borderId="59" xfId="1" applyFont="1" applyFill="1" applyBorder="1" applyAlignment="1" applyProtection="1">
      <alignment horizontal="right" vertical="center" shrinkToFit="1" readingOrder="2"/>
    </xf>
    <xf numFmtId="0" fontId="5" fillId="0" borderId="0" xfId="1" applyFont="1" applyFill="1" applyBorder="1" applyAlignment="1" applyProtection="1">
      <alignment horizontal="center" vertical="center" shrinkToFit="1" readingOrder="2"/>
      <protection locked="0"/>
    </xf>
    <xf numFmtId="0" fontId="5" fillId="0" borderId="55" xfId="1" applyFont="1" applyFill="1" applyBorder="1" applyAlignment="1" applyProtection="1">
      <alignment horizontal="center" vertical="center" shrinkToFit="1" readingOrder="2"/>
      <protection locked="0"/>
    </xf>
    <xf numFmtId="0" fontId="15" fillId="0" borderId="59" xfId="1" applyFont="1" applyFill="1" applyBorder="1" applyAlignment="1" applyProtection="1">
      <alignment horizontal="right" vertical="center" shrinkToFit="1" readingOrder="2"/>
      <protection locked="0"/>
    </xf>
    <xf numFmtId="0" fontId="15" fillId="0" borderId="39" xfId="1" applyFont="1" applyFill="1" applyBorder="1" applyAlignment="1" applyProtection="1">
      <alignment horizontal="right"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5" fillId="0" borderId="27" xfId="1" applyFont="1" applyFill="1" applyBorder="1" applyAlignment="1" applyProtection="1">
      <alignment horizontal="center" vertical="center" shrinkToFit="1" readingOrder="2"/>
      <protection locked="0"/>
    </xf>
    <xf numFmtId="0" fontId="15" fillId="0" borderId="19" xfId="1" applyFont="1" applyFill="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15" fillId="0" borderId="0" xfId="0" applyFont="1" applyAlignment="1" applyProtection="1">
      <alignment vertical="center" shrinkToFit="1" readingOrder="2"/>
    </xf>
    <xf numFmtId="1" fontId="15" fillId="0" borderId="19" xfId="0" applyNumberFormat="1" applyFont="1" applyBorder="1" applyAlignment="1" applyProtection="1">
      <alignment horizontal="left" vertical="center" shrinkToFit="1" readingOrder="2"/>
      <protection locked="0"/>
    </xf>
    <xf numFmtId="1" fontId="15" fillId="0" borderId="19" xfId="0" applyNumberFormat="1" applyFont="1" applyBorder="1" applyAlignment="1" applyProtection="1">
      <alignment horizontal="center" vertical="center" shrinkToFit="1" readingOrder="2"/>
      <protection locked="0"/>
    </xf>
    <xf numFmtId="1" fontId="15" fillId="0" borderId="20" xfId="0" applyNumberFormat="1" applyFont="1" applyBorder="1" applyAlignment="1" applyProtection="1">
      <alignment horizontal="right" vertical="center" shrinkToFit="1" readingOrder="2"/>
      <protection locked="0"/>
    </xf>
    <xf numFmtId="1" fontId="15" fillId="0" borderId="13" xfId="0" applyNumberFormat="1" applyFont="1" applyBorder="1" applyAlignment="1" applyProtection="1">
      <alignment horizontal="left" vertical="center" shrinkToFit="1" readingOrder="2"/>
      <protection locked="0"/>
    </xf>
    <xf numFmtId="1" fontId="15" fillId="0" borderId="13" xfId="0" applyNumberFormat="1" applyFont="1" applyBorder="1" applyAlignment="1" applyProtection="1">
      <alignment horizontal="center" vertical="center" shrinkToFit="1" readingOrder="2"/>
      <protection locked="0"/>
    </xf>
    <xf numFmtId="1" fontId="15" fillId="0" borderId="16" xfId="0" applyNumberFormat="1" applyFont="1" applyBorder="1" applyAlignment="1" applyProtection="1">
      <alignment horizontal="right" vertical="center" shrinkToFit="1" readingOrder="2"/>
      <protection locked="0"/>
    </xf>
    <xf numFmtId="0" fontId="5" fillId="0" borderId="0" xfId="0" applyFont="1" applyAlignment="1" applyProtection="1">
      <alignment horizontal="center" vertical="center" shrinkToFit="1" readingOrder="2"/>
    </xf>
    <xf numFmtId="0" fontId="5" fillId="0" borderId="34" xfId="0" applyFont="1" applyBorder="1" applyAlignment="1" applyProtection="1">
      <alignment horizontal="center" vertical="center" readingOrder="2"/>
    </xf>
    <xf numFmtId="0" fontId="5" fillId="0" borderId="39" xfId="0" applyFont="1" applyBorder="1" applyAlignment="1" applyProtection="1">
      <alignment horizontal="center" vertical="center" readingOrder="2"/>
    </xf>
    <xf numFmtId="0" fontId="5" fillId="0" borderId="41" xfId="0" applyFont="1" applyBorder="1" applyAlignment="1" applyProtection="1">
      <alignment horizontal="left" vertical="center" shrinkToFit="1" readingOrder="2"/>
    </xf>
    <xf numFmtId="0" fontId="5" fillId="0" borderId="44" xfId="0" applyFont="1" applyBorder="1" applyAlignment="1" applyProtection="1">
      <alignment horizontal="left" vertical="center" shrinkToFit="1" readingOrder="2"/>
    </xf>
    <xf numFmtId="49" fontId="15" fillId="0" borderId="43" xfId="0" applyNumberFormat="1" applyFont="1" applyBorder="1" applyAlignment="1" applyProtection="1">
      <alignment horizontal="right" vertical="center" shrinkToFit="1" readingOrder="2"/>
      <protection locked="0"/>
    </xf>
    <xf numFmtId="0" fontId="5" fillId="0" borderId="42" xfId="0" applyFont="1" applyBorder="1" applyAlignment="1" applyProtection="1">
      <alignment horizontal="left"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horizontal="right" vertical="center" shrinkToFit="1" readingOrder="2"/>
      <protection locked="0"/>
    </xf>
    <xf numFmtId="0" fontId="5" fillId="0" borderId="51" xfId="0" applyFont="1" applyBorder="1" applyAlignment="1" applyProtection="1">
      <alignment horizontal="left" vertical="center" shrinkToFit="1" readingOrder="2"/>
    </xf>
    <xf numFmtId="0" fontId="5" fillId="0" borderId="50" xfId="0" applyFont="1" applyBorder="1" applyAlignment="1" applyProtection="1">
      <alignment horizontal="left" vertical="center" shrinkToFit="1" readingOrder="2"/>
    </xf>
    <xf numFmtId="1" fontId="15" fillId="0" borderId="52" xfId="0" applyNumberFormat="1" applyFont="1" applyBorder="1" applyAlignment="1" applyProtection="1">
      <alignment horizontal="right" vertical="center" shrinkToFit="1" readingOrder="2"/>
      <protection locked="0"/>
    </xf>
    <xf numFmtId="1" fontId="15" fillId="0" borderId="53" xfId="0" applyNumberFormat="1" applyFont="1" applyBorder="1" applyAlignment="1" applyProtection="1">
      <alignment horizontal="left" vertical="center" shrinkToFit="1" readingOrder="2"/>
      <protection locked="0"/>
    </xf>
    <xf numFmtId="1" fontId="15" fillId="0" borderId="5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0" fontId="5" fillId="0" borderId="13" xfId="0" applyFont="1" applyBorder="1" applyAlignment="1" applyProtection="1">
      <alignment horizontal="left" vertical="center" shrinkToFit="1" readingOrder="2"/>
    </xf>
    <xf numFmtId="1" fontId="15" fillId="0" borderId="54" xfId="0" applyNumberFormat="1" applyFont="1" applyBorder="1" applyAlignment="1" applyProtection="1">
      <alignment horizontal="right" vertical="center" shrinkToFit="1" readingOrder="2"/>
      <protection locked="0"/>
    </xf>
    <xf numFmtId="0" fontId="5" fillId="0" borderId="17" xfId="0" applyFont="1" applyBorder="1" applyAlignment="1" applyProtection="1">
      <alignment horizontal="center" vertical="center" shrinkToFit="1" readingOrder="2"/>
    </xf>
    <xf numFmtId="0" fontId="5" fillId="0" borderId="0" xfId="0" applyFont="1" applyBorder="1" applyAlignment="1" applyProtection="1">
      <alignment horizontal="center" vertical="center" shrinkToFit="1" readingOrder="2"/>
    </xf>
    <xf numFmtId="0" fontId="5" fillId="0" borderId="46" xfId="0" applyFont="1" applyBorder="1" applyAlignment="1" applyProtection="1">
      <alignment horizontal="center" vertical="center" shrinkToFit="1" readingOrder="2"/>
    </xf>
    <xf numFmtId="166" fontId="51" fillId="0" borderId="0" xfId="1" applyNumberFormat="1" applyFont="1" applyFill="1" applyBorder="1" applyAlignment="1" applyProtection="1">
      <alignment vertical="center" shrinkToFit="1" readingOrder="2"/>
      <protection hidden="1"/>
    </xf>
    <xf numFmtId="166" fontId="51" fillId="0" borderId="0" xfId="1" applyNumberFormat="1" applyFont="1" applyFill="1" applyBorder="1" applyAlignment="1" applyProtection="1">
      <alignment vertical="center" wrapText="1" readingOrder="2"/>
      <protection hidden="1"/>
    </xf>
    <xf numFmtId="166" fontId="51" fillId="0" borderId="0" xfId="1" applyNumberFormat="1" applyFont="1" applyBorder="1" applyAlignment="1" applyProtection="1">
      <alignment vertical="center" readingOrder="2"/>
      <protection hidden="1"/>
    </xf>
    <xf numFmtId="166" fontId="51" fillId="0" borderId="0" xfId="1" applyNumberFormat="1" applyFont="1" applyFill="1" applyBorder="1" applyAlignment="1" applyProtection="1">
      <alignment horizontal="right" vertical="center" shrinkToFit="1" readingOrder="2"/>
      <protection hidden="1"/>
    </xf>
    <xf numFmtId="166" fontId="10" fillId="0" borderId="0" xfId="1" applyNumberFormat="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 fontId="2" fillId="0" borderId="0" xfId="1" applyNumberFormat="1" applyFont="1" applyBorder="1" applyAlignment="1" applyProtection="1">
      <alignment horizontal="center" vertical="center" readingOrder="2"/>
      <protection hidden="1"/>
    </xf>
    <xf numFmtId="1" fontId="2" fillId="0" borderId="46" xfId="1" applyNumberFormat="1" applyFont="1" applyBorder="1" applyAlignment="1" applyProtection="1">
      <alignment vertical="center" readingOrder="2"/>
      <protection hidden="1"/>
    </xf>
    <xf numFmtId="0" fontId="58" fillId="0" borderId="0" xfId="1" applyFont="1" applyBorder="1" applyAlignment="1" applyProtection="1">
      <alignment horizontal="left" vertical="center" readingOrder="2"/>
      <protection hidden="1"/>
    </xf>
    <xf numFmtId="1" fontId="13" fillId="0" borderId="0" xfId="1" applyNumberFormat="1" applyFont="1" applyBorder="1" applyAlignment="1" applyProtection="1">
      <alignment horizontal="center" vertical="center"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horizontal="right" vertical="center" readingOrder="2"/>
      <protection hidden="1"/>
    </xf>
    <xf numFmtId="166" fontId="13" fillId="0" borderId="0" xfId="1" applyNumberFormat="1" applyFont="1" applyBorder="1" applyAlignment="1" applyProtection="1">
      <alignment horizontal="right" vertical="center" readingOrder="2"/>
      <protection hidden="1"/>
    </xf>
    <xf numFmtId="0" fontId="5" fillId="0" borderId="0" xfId="1" applyFont="1" applyAlignment="1" applyProtection="1">
      <alignment horizontal="left" vertical="center" readingOrder="2"/>
      <protection hidden="1"/>
    </xf>
    <xf numFmtId="0" fontId="51" fillId="0" borderId="0" xfId="1" applyFont="1" applyFill="1" applyBorder="1" applyAlignment="1" applyProtection="1">
      <alignment horizontal="right" vertical="center" shrinkToFit="1" readingOrder="2"/>
      <protection hidden="1"/>
    </xf>
    <xf numFmtId="0" fontId="5" fillId="0" borderId="0" xfId="1" applyFont="1" applyAlignment="1" applyProtection="1">
      <alignment horizontal="right" vertical="center" shrinkToFit="1" readingOrder="2"/>
      <protection hidden="1"/>
    </xf>
    <xf numFmtId="0" fontId="15" fillId="0" borderId="0" xfId="1" applyFont="1" applyAlignment="1" applyProtection="1">
      <alignment horizontal="center" vertical="center" shrinkToFit="1" readingOrder="2"/>
      <protection hidden="1"/>
    </xf>
    <xf numFmtId="0" fontId="13" fillId="0" borderId="0" xfId="1" applyFont="1" applyBorder="1" applyAlignment="1" applyProtection="1">
      <alignment horizontal="right" vertical="center" readingOrder="2"/>
      <protection hidden="1"/>
    </xf>
    <xf numFmtId="0" fontId="1" fillId="16" borderId="0" xfId="1" applyFill="1" applyBorder="1" applyAlignment="1" applyProtection="1">
      <alignment horizontal="center" vertical="center" readingOrder="2"/>
      <protection hidden="1"/>
    </xf>
    <xf numFmtId="166" fontId="13" fillId="0" borderId="0" xfId="1" applyNumberFormat="1" applyFont="1" applyBorder="1" applyAlignment="1" applyProtection="1">
      <alignment vertical="center" readingOrder="2"/>
      <protection hidden="1"/>
    </xf>
    <xf numFmtId="0" fontId="51" fillId="0" borderId="0" xfId="1" applyFont="1" applyFill="1" applyBorder="1" applyAlignment="1" applyProtection="1">
      <alignment horizontal="left" vertical="center" shrinkToFit="1" readingOrder="2"/>
      <protection hidden="1"/>
    </xf>
    <xf numFmtId="0" fontId="1" fillId="0" borderId="59" xfId="1" applyBorder="1" applyAlignment="1" applyProtection="1">
      <alignment horizontal="center" vertical="center" readingOrder="2"/>
      <protection hidden="1"/>
    </xf>
    <xf numFmtId="0" fontId="49" fillId="0" borderId="60" xfId="1" applyFont="1" applyBorder="1" applyAlignment="1" applyProtection="1">
      <alignment horizontal="center" vertical="center" readingOrder="2"/>
      <protection hidden="1"/>
    </xf>
    <xf numFmtId="0" fontId="1" fillId="0" borderId="60" xfId="1" applyBorder="1" applyAlignment="1" applyProtection="1">
      <alignment horizontal="center" vertical="center" readingOrder="2"/>
      <protection hidden="1"/>
    </xf>
    <xf numFmtId="166" fontId="51" fillId="0" borderId="60" xfId="1" applyNumberFormat="1" applyFont="1" applyBorder="1" applyAlignment="1" applyProtection="1">
      <alignment vertical="center" readingOrder="2"/>
      <protection hidden="1"/>
    </xf>
    <xf numFmtId="0" fontId="51" fillId="0" borderId="59" xfId="1" applyFont="1" applyFill="1" applyBorder="1" applyAlignment="1" applyProtection="1">
      <alignment horizontal="right" vertical="center" shrinkToFit="1" readingOrder="2"/>
      <protection hidden="1"/>
    </xf>
    <xf numFmtId="0" fontId="12" fillId="0" borderId="60" xfId="1" applyFont="1" applyBorder="1" applyAlignment="1" applyProtection="1">
      <alignment vertical="center" readingOrder="2"/>
      <protection hidden="1"/>
    </xf>
    <xf numFmtId="0" fontId="51" fillId="0" borderId="39" xfId="1" applyFont="1" applyFill="1" applyBorder="1" applyAlignment="1" applyProtection="1">
      <alignment horizontal="right" vertical="center" shrinkToFit="1" readingOrder="2"/>
      <protection hidden="1"/>
    </xf>
    <xf numFmtId="0" fontId="1" fillId="0" borderId="37" xfId="1" applyBorder="1" applyAlignment="1" applyProtection="1">
      <alignment horizontal="center" vertical="center" readingOrder="2"/>
      <protection hidden="1"/>
    </xf>
    <xf numFmtId="166" fontId="13" fillId="0" borderId="37" xfId="1" applyNumberFormat="1" applyFont="1" applyBorder="1" applyAlignment="1" applyProtection="1">
      <alignment horizontal="right" vertical="center" readingOrder="2"/>
      <protection hidden="1"/>
    </xf>
    <xf numFmtId="0" fontId="13" fillId="0" borderId="37" xfId="1" applyFont="1" applyBorder="1" applyAlignment="1" applyProtection="1">
      <alignment horizontal="right" vertical="center" readingOrder="2"/>
      <protection hidden="1"/>
    </xf>
    <xf numFmtId="0" fontId="12" fillId="0" borderId="38" xfId="1" applyFont="1" applyBorder="1" applyAlignment="1" applyProtection="1">
      <alignment vertical="center" readingOrder="2"/>
      <protection hidden="1"/>
    </xf>
    <xf numFmtId="0" fontId="12" fillId="0" borderId="17" xfId="1" applyFont="1" applyBorder="1" applyAlignment="1" applyProtection="1">
      <alignment vertical="center" readingOrder="2"/>
      <protection hidden="1"/>
    </xf>
    <xf numFmtId="0" fontId="12" fillId="0" borderId="34" xfId="1" applyFont="1" applyBorder="1" applyAlignment="1" applyProtection="1">
      <alignment vertical="center" readingOrder="2"/>
      <protection hidden="1"/>
    </xf>
    <xf numFmtId="1" fontId="58" fillId="0" borderId="32" xfId="1" applyNumberFormat="1" applyFont="1" applyBorder="1" applyAlignment="1" applyProtection="1">
      <alignment horizontal="left" vertical="center" readingOrder="2"/>
      <protection hidden="1"/>
    </xf>
    <xf numFmtId="0" fontId="15" fillId="0" borderId="32" xfId="1" applyFont="1" applyBorder="1" applyAlignment="1" applyProtection="1">
      <alignment horizontal="right" vertical="center" readingOrder="2"/>
      <protection hidden="1"/>
    </xf>
    <xf numFmtId="0" fontId="58" fillId="0" borderId="32" xfId="1" applyFont="1" applyBorder="1" applyAlignment="1" applyProtection="1">
      <alignment vertical="center" readingOrder="2"/>
      <protection hidden="1"/>
    </xf>
    <xf numFmtId="0" fontId="59" fillId="0" borderId="32" xfId="1" applyFont="1" applyBorder="1" applyAlignment="1" applyProtection="1">
      <alignment horizontal="right" vertical="center" readingOrder="2"/>
      <protection hidden="1"/>
    </xf>
    <xf numFmtId="0" fontId="59" fillId="0" borderId="33" xfId="1" applyFont="1" applyBorder="1" applyAlignment="1" applyProtection="1">
      <alignment horizontal="right" vertical="center" readingOrder="2"/>
      <protection hidden="1"/>
    </xf>
    <xf numFmtId="0" fontId="51" fillId="27" borderId="12" xfId="1" applyFont="1" applyFill="1" applyBorder="1" applyAlignment="1" applyProtection="1">
      <alignment horizontal="right" vertical="center" shrinkToFit="1" readingOrder="2"/>
      <protection hidden="1"/>
    </xf>
    <xf numFmtId="166" fontId="13" fillId="27" borderId="13" xfId="1" applyNumberFormat="1" applyFont="1" applyFill="1" applyBorder="1" applyAlignment="1" applyProtection="1">
      <alignment horizontal="right" vertical="center" readingOrder="2"/>
      <protection hidden="1"/>
    </xf>
    <xf numFmtId="0" fontId="13" fillId="27" borderId="13" xfId="1" applyFont="1" applyFill="1" applyBorder="1" applyAlignment="1" applyProtection="1">
      <alignment horizontal="right" vertical="center" readingOrder="2"/>
      <protection hidden="1"/>
    </xf>
    <xf numFmtId="0" fontId="1" fillId="27" borderId="13" xfId="1" applyFill="1" applyBorder="1" applyAlignment="1" applyProtection="1">
      <alignment horizontal="center" vertical="center" readingOrder="2"/>
      <protection hidden="1"/>
    </xf>
    <xf numFmtId="0" fontId="12" fillId="27" borderId="16" xfId="1" applyFont="1" applyFill="1" applyBorder="1" applyAlignment="1" applyProtection="1">
      <alignment vertical="center" readingOrder="2"/>
      <protection hidden="1"/>
    </xf>
    <xf numFmtId="0" fontId="1" fillId="0" borderId="81" xfId="1" applyBorder="1" applyAlignment="1" applyProtection="1">
      <alignment horizontal="center" vertical="center" readingOrder="2"/>
      <protection hidden="1"/>
    </xf>
    <xf numFmtId="0" fontId="1" fillId="0" borderId="82" xfId="1" applyBorder="1" applyAlignment="1" applyProtection="1">
      <alignment horizontal="center" vertical="center" readingOrder="2"/>
      <protection hidden="1"/>
    </xf>
    <xf numFmtId="0" fontId="1" fillId="0" borderId="83" xfId="1" applyBorder="1" applyAlignment="1" applyProtection="1">
      <alignment horizontal="center" vertical="center" readingOrder="2"/>
      <protection hidden="1"/>
    </xf>
    <xf numFmtId="0" fontId="51" fillId="0" borderId="83" xfId="1" applyFont="1" applyFill="1" applyBorder="1" applyAlignment="1" applyProtection="1">
      <alignment horizontal="right" vertical="center" shrinkToFit="1" readingOrder="2"/>
      <protection hidden="1"/>
    </xf>
    <xf numFmtId="166" fontId="51" fillId="0" borderId="85" xfId="1" applyNumberFormat="1" applyFont="1" applyBorder="1" applyAlignment="1" applyProtection="1">
      <alignment vertical="center" readingOrder="2"/>
      <protection hidden="1"/>
    </xf>
    <xf numFmtId="166" fontId="13" fillId="0" borderId="85" xfId="1" applyNumberFormat="1" applyFont="1" applyBorder="1" applyAlignment="1" applyProtection="1">
      <alignment horizontal="right" vertical="center" readingOrder="2"/>
      <protection hidden="1"/>
    </xf>
    <xf numFmtId="0" fontId="13" fillId="0" borderId="85" xfId="1" applyFont="1" applyBorder="1" applyAlignment="1" applyProtection="1">
      <alignment horizontal="right" vertical="center" readingOrder="2"/>
      <protection hidden="1"/>
    </xf>
    <xf numFmtId="0" fontId="1" fillId="0" borderId="84" xfId="1" applyBorder="1" applyAlignment="1" applyProtection="1">
      <alignment horizontal="center" vertical="center" readingOrder="2"/>
      <protection hidden="1"/>
    </xf>
    <xf numFmtId="1" fontId="51" fillId="0" borderId="0" xfId="1" applyNumberFormat="1" applyFont="1" applyFill="1" applyBorder="1" applyAlignment="1" applyProtection="1">
      <alignment horizontal="center" vertical="center" shrinkToFit="1" readingOrder="2"/>
      <protection locked="0"/>
    </xf>
    <xf numFmtId="2" fontId="14" fillId="8" borderId="66" xfId="0" applyNumberFormat="1" applyFont="1" applyFill="1" applyBorder="1" applyAlignment="1" applyProtection="1">
      <alignment horizontal="center" vertical="center" shrinkToFit="1" readingOrder="2"/>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2" fontId="10" fillId="7" borderId="39" xfId="1" applyNumberFormat="1" applyFont="1" applyFill="1" applyBorder="1" applyAlignment="1" applyProtection="1">
      <alignment vertical="center" shrinkToFit="1" readingOrder="2"/>
      <protection locked="0"/>
    </xf>
    <xf numFmtId="2" fontId="10" fillId="7" borderId="38" xfId="1" applyNumberFormat="1" applyFont="1" applyFill="1" applyBorder="1" applyAlignment="1" applyProtection="1">
      <alignment vertical="center" shrinkToFit="1" readingOrder="2"/>
      <protection locked="0"/>
    </xf>
    <xf numFmtId="2" fontId="10" fillId="7" borderId="44" xfId="1" applyNumberFormat="1" applyFont="1" applyFill="1" applyBorder="1" applyAlignment="1" applyProtection="1">
      <alignment vertical="center" shrinkToFit="1" readingOrder="2"/>
      <protection locked="0"/>
    </xf>
    <xf numFmtId="2" fontId="10" fillId="7" borderId="43" xfId="1" applyNumberFormat="1" applyFont="1" applyFill="1" applyBorder="1" applyAlignment="1" applyProtection="1">
      <alignment vertical="center" shrinkToFit="1" readingOrder="2"/>
      <protection locked="0"/>
    </xf>
    <xf numFmtId="2" fontId="10" fillId="7" borderId="50" xfId="1" applyNumberFormat="1" applyFont="1" applyFill="1" applyBorder="1" applyAlignment="1" applyProtection="1">
      <alignment vertical="center" shrinkToFit="1" readingOrder="2"/>
      <protection locked="0"/>
    </xf>
    <xf numFmtId="2" fontId="10" fillId="7" borderId="52" xfId="1" applyNumberFormat="1" applyFont="1" applyFill="1" applyBorder="1" applyAlignment="1" applyProtection="1">
      <alignment vertical="center" shrinkToFit="1" readingOrder="2"/>
      <protection locked="0"/>
    </xf>
    <xf numFmtId="2" fontId="10" fillId="7" borderId="7" xfId="1" applyNumberFormat="1" applyFont="1" applyFill="1" applyBorder="1" applyAlignment="1" applyProtection="1">
      <alignment vertical="center" shrinkToFit="1" readingOrder="2"/>
      <protection locked="0"/>
    </xf>
    <xf numFmtId="2" fontId="10" fillId="7" borderId="22" xfId="1" applyNumberFormat="1" applyFont="1" applyFill="1" applyBorder="1" applyAlignment="1" applyProtection="1">
      <alignment vertical="center" shrinkToFit="1" readingOrder="2"/>
      <protection locked="0"/>
    </xf>
    <xf numFmtId="2" fontId="10" fillId="7" borderId="27" xfId="1" applyNumberFormat="1" applyFont="1" applyFill="1" applyBorder="1" applyAlignment="1" applyProtection="1">
      <alignment vertical="center"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24" xfId="1" applyNumberFormat="1" applyFont="1" applyBorder="1" applyAlignment="1" applyProtection="1">
      <alignment horizontal="center" vertical="center" shrinkToFit="1" readingOrder="2"/>
      <protection locked="0"/>
    </xf>
    <xf numFmtId="1" fontId="2" fillId="0" borderId="56" xfId="1" applyNumberFormat="1" applyFont="1" applyBorder="1" applyAlignment="1" applyProtection="1">
      <alignment horizontal="center" vertical="center" shrinkToFit="1" readingOrder="2"/>
      <protection locked="0"/>
    </xf>
    <xf numFmtId="2" fontId="10" fillId="7" borderId="33" xfId="1" applyNumberFormat="1" applyFont="1" applyFill="1" applyBorder="1" applyAlignment="1" applyProtection="1">
      <alignment vertical="center" shrinkToFit="1" readingOrder="2"/>
      <protection locked="0"/>
    </xf>
    <xf numFmtId="49" fontId="19" fillId="0" borderId="60" xfId="1" applyNumberFormat="1" applyFont="1" applyBorder="1" applyAlignment="1" applyProtection="1">
      <alignment horizontal="center" vertical="center" shrinkToFit="1" readingOrder="2"/>
      <protection locked="0"/>
    </xf>
    <xf numFmtId="49" fontId="19" fillId="0" borderId="3" xfId="1" applyNumberFormat="1" applyFont="1" applyBorder="1" applyAlignment="1" applyProtection="1">
      <alignment horizontal="center" vertical="center" textRotation="90" shrinkToFit="1" readingOrder="2"/>
      <protection locked="0"/>
    </xf>
    <xf numFmtId="49" fontId="19" fillId="0" borderId="10" xfId="1" applyNumberFormat="1" applyFont="1" applyBorder="1" applyAlignment="1" applyProtection="1">
      <alignment horizontal="center" vertical="center" shrinkToFit="1" readingOrder="2"/>
      <protection locked="0"/>
    </xf>
    <xf numFmtId="49" fontId="19" fillId="0" borderId="27" xfId="1" applyNumberFormat="1" applyFont="1" applyBorder="1" applyAlignment="1" applyProtection="1">
      <alignment horizontal="center" vertical="center" textRotation="90" shrinkToFit="1" readingOrder="2"/>
      <protection locked="0"/>
    </xf>
    <xf numFmtId="49" fontId="19" fillId="0" borderId="38" xfId="1" applyNumberFormat="1" applyFont="1" applyBorder="1" applyAlignment="1" applyProtection="1">
      <alignment horizontal="center" vertical="center" textRotation="90" shrinkToFit="1" readingOrder="2"/>
      <protection locked="0"/>
    </xf>
    <xf numFmtId="49" fontId="19" fillId="0" borderId="7" xfId="1" applyNumberFormat="1" applyFont="1" applyBorder="1" applyAlignment="1" applyProtection="1">
      <alignment horizontal="center" vertical="center" textRotation="90" shrinkToFit="1" readingOrder="2"/>
      <protection locked="0"/>
    </xf>
    <xf numFmtId="49" fontId="19" fillId="0" borderId="43" xfId="1" applyNumberFormat="1" applyFont="1" applyBorder="1" applyAlignment="1" applyProtection="1">
      <alignment horizontal="center" vertical="center" textRotation="90" shrinkToFit="1" readingOrder="2"/>
      <protection locked="0"/>
    </xf>
    <xf numFmtId="49" fontId="19" fillId="0" borderId="57" xfId="1" applyNumberFormat="1" applyFont="1" applyBorder="1" applyAlignment="1" applyProtection="1">
      <alignment horizontal="center" vertical="center" textRotation="90" shrinkToFit="1" readingOrder="2"/>
      <protection locked="0"/>
    </xf>
    <xf numFmtId="49" fontId="19" fillId="0" borderId="33" xfId="1" applyNumberFormat="1" applyFont="1" applyBorder="1" applyAlignment="1" applyProtection="1">
      <alignment horizontal="center" vertical="center" textRotation="90" shrinkToFit="1" readingOrder="2"/>
      <protection locked="0"/>
    </xf>
    <xf numFmtId="2" fontId="10" fillId="7" borderId="57" xfId="1" applyNumberFormat="1" applyFont="1" applyFill="1" applyBorder="1" applyAlignment="1" applyProtection="1">
      <alignment vertical="center" shrinkToFit="1" readingOrder="2"/>
      <protection locked="0"/>
    </xf>
    <xf numFmtId="2" fontId="10" fillId="7" borderId="39" xfId="1" applyNumberFormat="1" applyFont="1" applyFill="1" applyBorder="1" applyAlignment="1" applyProtection="1">
      <alignment horizontal="center" vertical="center" shrinkToFit="1" readingOrder="2"/>
      <protection locked="0"/>
    </xf>
    <xf numFmtId="2" fontId="10" fillId="7" borderId="44" xfId="1" applyNumberFormat="1" applyFont="1" applyFill="1" applyBorder="1" applyAlignment="1" applyProtection="1">
      <alignment horizontal="center" vertical="center" shrinkToFit="1" readingOrder="2"/>
      <protection locked="0"/>
    </xf>
    <xf numFmtId="0" fontId="0" fillId="0" borderId="0" xfId="0" applyAlignment="1" applyProtection="1">
      <alignment horizontal="center"/>
    </xf>
    <xf numFmtId="0" fontId="17" fillId="0" borderId="7" xfId="0" applyFont="1" applyBorder="1" applyAlignment="1" applyProtection="1">
      <alignment horizontal="center" readingOrder="2"/>
    </xf>
    <xf numFmtId="1" fontId="2" fillId="0" borderId="70" xfId="1" applyNumberFormat="1" applyFont="1" applyBorder="1" applyAlignment="1" applyProtection="1">
      <alignment horizontal="center" vertical="center" shrinkToFit="1" readingOrder="2"/>
      <protection locked="0"/>
    </xf>
    <xf numFmtId="2" fontId="10" fillId="7" borderId="23" xfId="1" applyNumberFormat="1" applyFont="1" applyFill="1" applyBorder="1" applyAlignment="1" applyProtection="1">
      <alignment vertical="center" shrinkToFit="1" readingOrder="2"/>
      <protection locked="0"/>
    </xf>
    <xf numFmtId="2" fontId="10" fillId="7" borderId="25" xfId="1" applyNumberFormat="1" applyFont="1" applyFill="1" applyBorder="1" applyAlignment="1" applyProtection="1">
      <alignment vertical="center" shrinkToFit="1" readingOrder="2"/>
      <protection locked="0"/>
    </xf>
    <xf numFmtId="1" fontId="2" fillId="0" borderId="68"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locked="0"/>
    </xf>
    <xf numFmtId="0" fontId="5" fillId="0" borderId="0" xfId="1" applyFont="1" applyFill="1" applyBorder="1" applyAlignment="1" applyProtection="1">
      <alignment horizontal="center" vertical="center" shrinkToFit="1" readingOrder="2"/>
      <protection locked="0"/>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5" fillId="0" borderId="38" xfId="1" applyFont="1" applyFill="1" applyBorder="1" applyAlignment="1" applyProtection="1">
      <alignment horizontal="center" vertical="center" shrinkToFit="1" readingOrder="2"/>
      <protection locked="0"/>
    </xf>
    <xf numFmtId="2" fontId="24" fillId="0" borderId="7"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17" fillId="0" borderId="7" xfId="0" applyFont="1" applyBorder="1" applyAlignment="1" applyProtection="1">
      <alignment horizontal="center" vertical="center" readingOrder="2"/>
    </xf>
    <xf numFmtId="2" fontId="10" fillId="7" borderId="34" xfId="1" applyNumberFormat="1" applyFont="1" applyFill="1" applyBorder="1" applyAlignment="1" applyProtection="1">
      <alignment horizontal="center" vertical="center" shrinkToFit="1" readingOrder="2"/>
      <protection locked="0"/>
    </xf>
    <xf numFmtId="2" fontId="10" fillId="7" borderId="34" xfId="1" applyNumberFormat="1" applyFont="1" applyFill="1" applyBorder="1" applyAlignment="1" applyProtection="1">
      <alignment vertical="center" shrinkToFit="1" readingOrder="2"/>
      <protection locked="0"/>
    </xf>
    <xf numFmtId="2" fontId="14" fillId="8" borderId="66" xfId="0" applyNumberFormat="1" applyFont="1" applyFill="1" applyBorder="1" applyAlignment="1" applyProtection="1">
      <alignment horizontal="center" vertical="center" shrinkToFit="1" readingOrder="2"/>
      <protection hidden="1"/>
    </xf>
    <xf numFmtId="2" fontId="10" fillId="7" borderId="3" xfId="1" applyNumberFormat="1" applyFont="1" applyFill="1" applyBorder="1" applyAlignment="1" applyProtection="1">
      <alignment horizontal="center" vertical="center" shrinkToFit="1" readingOrder="2"/>
      <protection hidden="1"/>
    </xf>
    <xf numFmtId="2" fontId="10" fillId="7" borderId="7" xfId="1" applyNumberFormat="1" applyFont="1" applyFill="1" applyBorder="1" applyAlignment="1" applyProtection="1">
      <alignment horizontal="center" vertical="center" shrinkToFit="1" readingOrder="2"/>
      <protection hidden="1"/>
    </xf>
    <xf numFmtId="2" fontId="10" fillId="7" borderId="10" xfId="1" applyNumberFormat="1" applyFont="1" applyFill="1" applyBorder="1" applyAlignment="1" applyProtection="1">
      <alignment horizontal="center" vertical="center" shrinkToFit="1" readingOrder="2"/>
      <protection hidden="1"/>
    </xf>
    <xf numFmtId="2" fontId="10" fillId="7" borderId="4" xfId="1" applyNumberFormat="1" applyFont="1" applyFill="1" applyBorder="1" applyAlignment="1" applyProtection="1">
      <alignment horizontal="center" vertical="center" shrinkToFit="1" readingOrder="2"/>
      <protection hidden="1"/>
    </xf>
    <xf numFmtId="2" fontId="10" fillId="7" borderId="27" xfId="1" applyNumberFormat="1" applyFont="1" applyFill="1" applyBorder="1" applyAlignment="1" applyProtection="1">
      <alignment horizontal="center" vertical="center" shrinkToFit="1" readingOrder="2"/>
      <protection hidden="1"/>
    </xf>
    <xf numFmtId="2" fontId="10" fillId="7" borderId="55" xfId="1" applyNumberFormat="1" applyFont="1" applyFill="1" applyBorder="1" applyAlignment="1" applyProtection="1">
      <alignment horizontal="center" vertical="center" shrinkToFit="1" readingOrder="2"/>
      <protection hidden="1"/>
    </xf>
    <xf numFmtId="0" fontId="15" fillId="0" borderId="11" xfId="0" applyFont="1" applyBorder="1" applyAlignment="1" applyProtection="1">
      <alignment horizontal="center" vertical="center" shrinkToFit="1" readingOrder="2"/>
    </xf>
    <xf numFmtId="0" fontId="5" fillId="0" borderId="59" xfId="1" applyFont="1" applyFill="1" applyBorder="1" applyAlignment="1" applyProtection="1">
      <alignment horizontal="center" vertical="center" shrinkToFit="1" readingOrder="2"/>
      <protection hidden="1"/>
    </xf>
    <xf numFmtId="2" fontId="15" fillId="0" borderId="0" xfId="1" applyNumberFormat="1" applyFont="1" applyBorder="1" applyAlignment="1" applyProtection="1">
      <alignment vertical="center"/>
      <protection hidden="1"/>
    </xf>
    <xf numFmtId="0" fontId="15" fillId="0" borderId="59" xfId="1" applyFont="1" applyFill="1" applyBorder="1" applyAlignment="1" applyProtection="1">
      <alignment horizontal="right" vertical="center" shrinkToFit="1" readingOrder="2"/>
      <protection hidden="1"/>
    </xf>
    <xf numFmtId="0" fontId="15" fillId="0" borderId="59" xfId="1" applyFont="1" applyFill="1" applyBorder="1" applyAlignment="1" applyProtection="1">
      <alignment horizontal="right" vertical="center" wrapText="1" shrinkToFit="1" readingOrder="2"/>
      <protection hidden="1"/>
    </xf>
    <xf numFmtId="0" fontId="15" fillId="0" borderId="57" xfId="1" applyFont="1" applyFill="1" applyBorder="1" applyAlignment="1" applyProtection="1">
      <alignment horizontal="right" vertical="center" shrinkToFit="1" readingOrder="2"/>
      <protection hidden="1"/>
    </xf>
    <xf numFmtId="0" fontId="15" fillId="0" borderId="55" xfId="1" applyFont="1" applyFill="1" applyBorder="1" applyAlignment="1" applyProtection="1">
      <alignment horizontal="right" vertical="center" shrinkToFit="1" readingOrder="2"/>
      <protection hidden="1"/>
    </xf>
    <xf numFmtId="0" fontId="15" fillId="0" borderId="27" xfId="1" applyFont="1" applyFill="1" applyBorder="1" applyAlignment="1" applyProtection="1">
      <alignment horizontal="right" vertical="center" shrinkToFit="1" readingOrder="2"/>
      <protection hidden="1"/>
    </xf>
    <xf numFmtId="0" fontId="15" fillId="0" borderId="19" xfId="1" applyFont="1" applyFill="1" applyBorder="1" applyAlignment="1" applyProtection="1">
      <alignment horizontal="center" vertical="center" shrinkToFit="1" readingOrder="2"/>
      <protection locked="0" hidden="1"/>
    </xf>
    <xf numFmtId="49" fontId="19" fillId="0" borderId="38"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49" fontId="31" fillId="0" borderId="38" xfId="1" applyNumberFormat="1" applyFont="1" applyBorder="1" applyAlignment="1" applyProtection="1">
      <alignment vertical="center" wrapText="1" shrinkToFit="1" readingOrder="2"/>
      <protection locked="0"/>
    </xf>
    <xf numFmtId="0" fontId="17" fillId="0" borderId="97" xfId="0" applyFont="1" applyBorder="1" applyAlignment="1" applyProtection="1">
      <alignment horizontal="center" readingOrder="2"/>
    </xf>
    <xf numFmtId="49" fontId="31" fillId="0" borderId="7" xfId="1" applyNumberFormat="1" applyFont="1" applyBorder="1" applyAlignment="1" applyProtection="1">
      <alignment vertical="center" wrapText="1" shrinkToFit="1" readingOrder="2"/>
      <protection locked="0"/>
    </xf>
    <xf numFmtId="49" fontId="31" fillId="0" borderId="4" xfId="1" applyNumberFormat="1" applyFont="1" applyBorder="1" applyAlignment="1" applyProtection="1">
      <alignment horizontal="center" vertical="center" shrinkToFit="1" readingOrder="2"/>
      <protection locked="0"/>
    </xf>
    <xf numFmtId="49" fontId="31" fillId="0" borderId="60" xfId="1" applyNumberFormat="1" applyFont="1" applyBorder="1" applyAlignment="1" applyProtection="1">
      <alignment vertical="center" shrinkToFit="1" readingOrder="2"/>
      <protection locked="0"/>
    </xf>
    <xf numFmtId="1" fontId="31" fillId="0" borderId="4" xfId="1" applyNumberFormat="1" applyFont="1" applyBorder="1" applyAlignment="1" applyProtection="1">
      <alignment horizontal="center" vertical="center" shrinkToFit="1" readingOrder="2"/>
      <protection locked="0"/>
    </xf>
    <xf numFmtId="1" fontId="31" fillId="0" borderId="7" xfId="1" applyNumberFormat="1" applyFont="1" applyBorder="1" applyAlignment="1" applyProtection="1">
      <alignment horizontal="center" vertical="center" wrapText="1" shrinkToFit="1" readingOrder="2"/>
      <protection locked="0"/>
    </xf>
    <xf numFmtId="1" fontId="31"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0" fontId="15" fillId="0" borderId="52"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0" fontId="2" fillId="0" borderId="19" xfId="1" applyFont="1" applyBorder="1" applyAlignment="1" applyProtection="1">
      <alignment shrinkToFit="1" readingOrder="2"/>
    </xf>
    <xf numFmtId="0" fontId="0" fillId="0" borderId="0" xfId="0" applyAlignment="1" applyProtection="1">
      <alignment wrapText="1"/>
    </xf>
    <xf numFmtId="0" fontId="93" fillId="7" borderId="4" xfId="0" applyFont="1" applyFill="1" applyBorder="1" applyAlignment="1" applyProtection="1">
      <alignment horizontal="center" vertical="center" wrapText="1"/>
      <protection locked="0"/>
    </xf>
    <xf numFmtId="0" fontId="93" fillId="7" borderId="7" xfId="0" applyFont="1" applyFill="1" applyBorder="1" applyAlignment="1" applyProtection="1">
      <alignment horizontal="center" vertical="center" wrapText="1"/>
      <protection locked="0"/>
    </xf>
    <xf numFmtId="0" fontId="93" fillId="7" borderId="10"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27" xfId="0" applyFont="1" applyFill="1" applyBorder="1" applyAlignment="1" applyProtection="1">
      <alignment horizontal="center" vertical="center" wrapText="1"/>
      <protection locked="0"/>
    </xf>
    <xf numFmtId="0" fontId="2" fillId="0" borderId="10" xfId="1" applyFont="1" applyBorder="1" applyAlignment="1" applyProtection="1">
      <alignment horizontal="center" vertical="center" textRotation="90" shrinkToFit="1" readingOrder="2"/>
    </xf>
    <xf numFmtId="0" fontId="93" fillId="7" borderId="0" xfId="0" applyFont="1" applyFill="1" applyAlignment="1" applyProtection="1">
      <alignment horizontal="center" vertical="center" wrapText="1"/>
      <protection locked="0"/>
    </xf>
    <xf numFmtId="2" fontId="10" fillId="7" borderId="50" xfId="1" applyNumberFormat="1" applyFont="1" applyFill="1" applyBorder="1" applyAlignment="1" applyProtection="1">
      <alignment horizontal="center" vertical="center"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59"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xf>
    <xf numFmtId="49" fontId="19" fillId="0" borderId="43" xfId="1" applyNumberFormat="1" applyFont="1" applyBorder="1" applyAlignment="1" applyProtection="1">
      <alignment vertical="center" wrapText="1" shrinkToFit="1" readingOrder="2"/>
    </xf>
    <xf numFmtId="0" fontId="94" fillId="0" borderId="39" xfId="1" applyNumberFormat="1" applyFont="1" applyBorder="1" applyAlignment="1" applyProtection="1">
      <alignment horizontal="center" vertical="center" wrapText="1" shrinkToFit="1" readingOrder="2"/>
      <protection hidden="1"/>
    </xf>
    <xf numFmtId="1" fontId="10" fillId="7" borderId="4" xfId="1" applyNumberFormat="1" applyFont="1" applyFill="1" applyBorder="1" applyAlignment="1" applyProtection="1">
      <alignment horizontal="center" vertical="center" shrinkToFit="1" readingOrder="2"/>
      <protection hidden="1"/>
    </xf>
    <xf numFmtId="1" fontId="10" fillId="7" borderId="7" xfId="1" applyNumberFormat="1" applyFont="1" applyFill="1" applyBorder="1" applyAlignment="1" applyProtection="1">
      <alignment horizontal="center" vertical="center" shrinkToFit="1" readingOrder="2"/>
      <protection hidden="1"/>
    </xf>
    <xf numFmtId="1" fontId="10" fillId="7" borderId="27" xfId="1" applyNumberFormat="1" applyFont="1" applyFill="1" applyBorder="1" applyAlignment="1" applyProtection="1">
      <alignment horizontal="center" vertical="center" shrinkToFit="1" readingOrder="2"/>
      <protection hidden="1"/>
    </xf>
    <xf numFmtId="1" fontId="19" fillId="0" borderId="27"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shrinkToFit="1" readingOrder="2"/>
      <protection locked="0"/>
    </xf>
    <xf numFmtId="0" fontId="17" fillId="15" borderId="7" xfId="0" applyFont="1" applyFill="1" applyBorder="1" applyAlignment="1" applyProtection="1">
      <alignment readingOrder="2"/>
    </xf>
    <xf numFmtId="0" fontId="17" fillId="15" borderId="3" xfId="0" applyFont="1" applyFill="1" applyBorder="1" applyAlignment="1" applyProtection="1">
      <alignment readingOrder="2"/>
    </xf>
    <xf numFmtId="0" fontId="17" fillId="15" borderId="5" xfId="0" applyFont="1" applyFill="1" applyBorder="1" applyAlignment="1" applyProtection="1">
      <alignment readingOrder="2"/>
    </xf>
    <xf numFmtId="0" fontId="17" fillId="15" borderId="8" xfId="0" applyFont="1" applyFill="1" applyBorder="1" applyAlignment="1" applyProtection="1">
      <alignment readingOrder="2"/>
    </xf>
    <xf numFmtId="0" fontId="17" fillId="15" borderId="10" xfId="0" applyFont="1" applyFill="1" applyBorder="1" applyAlignment="1" applyProtection="1">
      <alignment horizontal="center" vertical="center" readingOrder="2"/>
    </xf>
    <xf numFmtId="0" fontId="17" fillId="15" borderId="10" xfId="0" applyFont="1" applyFill="1" applyBorder="1" applyAlignment="1" applyProtection="1">
      <alignment readingOrder="2"/>
    </xf>
    <xf numFmtId="0" fontId="17" fillId="15" borderId="11" xfId="0" applyFont="1" applyFill="1" applyBorder="1" applyAlignment="1" applyProtection="1">
      <alignment readingOrder="2"/>
    </xf>
    <xf numFmtId="0" fontId="17" fillId="15" borderId="52" xfId="0" applyFont="1" applyFill="1" applyBorder="1" applyAlignment="1" applyProtection="1">
      <alignment horizontal="center" readingOrder="2"/>
    </xf>
    <xf numFmtId="0" fontId="17" fillId="28" borderId="7" xfId="0" applyFont="1" applyFill="1" applyBorder="1" applyAlignment="1" applyProtection="1">
      <alignment readingOrder="2"/>
    </xf>
    <xf numFmtId="0" fontId="17" fillId="28" borderId="3" xfId="0" applyFont="1" applyFill="1" applyBorder="1" applyAlignment="1" applyProtection="1">
      <alignment readingOrder="2"/>
    </xf>
    <xf numFmtId="0" fontId="17" fillId="28" borderId="9" xfId="0" applyFont="1" applyFill="1" applyBorder="1" applyAlignment="1" applyProtection="1">
      <alignment horizontal="center" readingOrder="2"/>
    </xf>
    <xf numFmtId="0" fontId="17" fillId="28" borderId="10" xfId="0" applyFont="1" applyFill="1" applyBorder="1" applyAlignment="1" applyProtection="1">
      <alignment horizontal="center" vertical="center" readingOrder="2"/>
    </xf>
    <xf numFmtId="0" fontId="17" fillId="28" borderId="10" xfId="0" applyFont="1" applyFill="1" applyBorder="1" applyAlignment="1" applyProtection="1">
      <alignment readingOrder="2"/>
    </xf>
    <xf numFmtId="0" fontId="17" fillId="28" borderId="11" xfId="0" applyFont="1" applyFill="1" applyBorder="1" applyAlignment="1" applyProtection="1">
      <alignment readingOrder="2"/>
    </xf>
    <xf numFmtId="0" fontId="93" fillId="7" borderId="24" xfId="0" applyFont="1" applyFill="1" applyBorder="1" applyAlignment="1" applyProtection="1">
      <alignment horizontal="center" vertical="center" wrapText="1"/>
      <protection locked="0"/>
    </xf>
    <xf numFmtId="0" fontId="93" fillId="7" borderId="38" xfId="0" applyFont="1" applyFill="1" applyBorder="1" applyAlignment="1" applyProtection="1">
      <alignment horizontal="center" vertical="center" wrapText="1"/>
      <protection locked="0"/>
    </xf>
    <xf numFmtId="0" fontId="31" fillId="0" borderId="7" xfId="1" applyNumberFormat="1" applyFont="1" applyBorder="1" applyAlignment="1" applyProtection="1">
      <alignment horizontal="center" vertical="center" wrapText="1" shrinkToFit="1" readingOrder="2"/>
      <protection hidden="1"/>
    </xf>
    <xf numFmtId="1" fontId="19" fillId="0" borderId="4" xfId="1" applyNumberFormat="1" applyFont="1" applyBorder="1" applyAlignment="1" applyProtection="1">
      <alignment horizontal="center" vertical="center" wrapText="1" shrinkToFit="1" readingOrder="2"/>
      <protection locked="0"/>
    </xf>
    <xf numFmtId="1" fontId="19" fillId="0" borderId="14" xfId="1" applyNumberFormat="1" applyFont="1" applyBorder="1" applyAlignment="1" applyProtection="1">
      <alignment horizontal="center" vertical="center" wrapText="1" shrinkToFit="1" readingOrder="2"/>
      <protection locked="0"/>
    </xf>
    <xf numFmtId="0" fontId="0" fillId="7" borderId="0" xfId="0" applyFill="1" applyAlignment="1" applyProtection="1">
      <alignment horizontal="center" vertical="center" wrapText="1"/>
      <protection locked="0"/>
    </xf>
    <xf numFmtId="0" fontId="0" fillId="7" borderId="7" xfId="0"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shrinkToFit="1" readingOrder="2"/>
      <protection locked="0" hidden="1"/>
    </xf>
    <xf numFmtId="0" fontId="36" fillId="0" borderId="0" xfId="1" applyFont="1" applyAlignment="1" applyProtection="1">
      <alignment horizontal="center" vertical="center" shrinkToFit="1" readingOrder="2"/>
      <protection locked="0"/>
    </xf>
    <xf numFmtId="0" fontId="70" fillId="22" borderId="72" xfId="1" applyFont="1" applyFill="1" applyBorder="1" applyAlignment="1" applyProtection="1">
      <alignment horizontal="center" vertical="center" readingOrder="2"/>
      <protection locked="0"/>
    </xf>
    <xf numFmtId="0" fontId="71" fillId="22" borderId="72" xfId="1" applyFont="1" applyFill="1" applyBorder="1" applyAlignment="1" applyProtection="1">
      <alignment horizontal="center" vertical="center" readingOrder="1"/>
      <protection locked="0"/>
    </xf>
    <xf numFmtId="0" fontId="5" fillId="0" borderId="0" xfId="1" applyFont="1" applyAlignment="1" applyProtection="1">
      <alignment horizontal="center" vertical="center" shrinkToFit="1" readingOrder="2"/>
      <protection locked="0"/>
    </xf>
    <xf numFmtId="0" fontId="51" fillId="0" borderId="0" xfId="1" applyFont="1" applyFill="1" applyBorder="1" applyAlignment="1" applyProtection="1">
      <alignment vertical="center" shrinkToFit="1" readingOrder="2"/>
      <protection hidden="1"/>
    </xf>
    <xf numFmtId="1" fontId="51" fillId="0" borderId="0" xfId="1" applyNumberFormat="1" applyFont="1" applyFill="1" applyBorder="1" applyAlignment="1" applyProtection="1">
      <alignment horizontal="left" vertical="center" shrinkToFit="1" readingOrder="1"/>
      <protection hidden="1"/>
    </xf>
    <xf numFmtId="0" fontId="51" fillId="0" borderId="0" xfId="1" applyFont="1" applyFill="1" applyBorder="1" applyAlignment="1" applyProtection="1">
      <alignment horizontal="right" vertical="center" shrinkToFit="1" readingOrder="1"/>
      <protection hidden="1"/>
    </xf>
    <xf numFmtId="0" fontId="51" fillId="0" borderId="0" xfId="1" applyFont="1" applyFill="1" applyBorder="1" applyAlignment="1" applyProtection="1">
      <alignment horizontal="left" vertical="center" shrinkToFit="1" readingOrder="1"/>
      <protection hidden="1"/>
    </xf>
    <xf numFmtId="1" fontId="51" fillId="0" borderId="0" xfId="1" applyNumberFormat="1" applyFont="1" applyFill="1" applyBorder="1" applyAlignment="1" applyProtection="1">
      <alignment horizontal="left" vertical="center" shrinkToFit="1" readingOrder="2"/>
      <protection hidden="1"/>
    </xf>
    <xf numFmtId="1" fontId="51" fillId="0" borderId="0" xfId="1" applyNumberFormat="1" applyFont="1" applyFill="1" applyBorder="1" applyAlignment="1" applyProtection="1">
      <alignment horizontal="right" vertical="center" shrinkToFit="1" readingOrder="2"/>
      <protection hidden="1"/>
    </xf>
    <xf numFmtId="0" fontId="4" fillId="0" borderId="2" xfId="0" applyFont="1" applyBorder="1" applyAlignment="1" applyProtection="1">
      <alignment horizontal="center" vertical="center" shrinkToFit="1" readingOrder="2"/>
      <protection locked="0"/>
    </xf>
    <xf numFmtId="0" fontId="4" fillId="0" borderId="3" xfId="0" applyFont="1" applyBorder="1" applyAlignment="1" applyProtection="1">
      <alignment horizontal="center" vertical="center" shrinkToFit="1" readingOrder="2"/>
      <protection locked="0"/>
    </xf>
    <xf numFmtId="0" fontId="4" fillId="0" borderId="5" xfId="0" applyFont="1" applyBorder="1" applyAlignment="1" applyProtection="1">
      <alignment horizontal="center" vertical="center" shrinkToFit="1" readingOrder="2"/>
      <protection locked="0"/>
    </xf>
    <xf numFmtId="0" fontId="4" fillId="0" borderId="49" xfId="0" applyFont="1" applyBorder="1" applyAlignment="1" applyProtection="1">
      <alignment horizontal="center" vertical="center" shrinkToFit="1" readingOrder="2"/>
      <protection locked="0"/>
    </xf>
    <xf numFmtId="0" fontId="5" fillId="0" borderId="5" xfId="0" applyFont="1" applyBorder="1" applyAlignment="1" applyProtection="1">
      <alignment horizontal="center" vertical="center" shrinkToFit="1" readingOrder="2"/>
      <protection locked="0"/>
    </xf>
    <xf numFmtId="0" fontId="5" fillId="0" borderId="2" xfId="0" applyFont="1" applyBorder="1" applyAlignment="1" applyProtection="1">
      <alignment horizontal="center" vertical="center" shrinkToFit="1" readingOrder="2"/>
      <protection locked="0"/>
    </xf>
    <xf numFmtId="0" fontId="5" fillId="0" borderId="21" xfId="0" applyFont="1" applyBorder="1" applyAlignment="1" applyProtection="1">
      <alignment horizontal="center" vertical="center" shrinkToFit="1" readingOrder="2"/>
      <protection locked="0"/>
    </xf>
    <xf numFmtId="0" fontId="5" fillId="0" borderId="22" xfId="0" applyFont="1" applyBorder="1" applyAlignment="1" applyProtection="1">
      <alignment horizontal="center" vertical="center" shrinkToFit="1" readingOrder="2"/>
      <protection locked="0"/>
    </xf>
    <xf numFmtId="0" fontId="17" fillId="0" borderId="0" xfId="0" applyFont="1" applyAlignment="1" applyProtection="1">
      <alignment readingOrder="2"/>
      <protection locked="0"/>
    </xf>
    <xf numFmtId="0" fontId="4" fillId="0" borderId="6" xfId="0" applyFont="1" applyBorder="1" applyAlignment="1" applyProtection="1">
      <alignment horizontal="center" vertical="center" shrinkToFit="1" readingOrder="2"/>
      <protection locked="0"/>
    </xf>
    <xf numFmtId="0" fontId="4" fillId="0" borderId="7" xfId="0" applyFont="1" applyBorder="1" applyAlignment="1" applyProtection="1">
      <alignment horizontal="center" vertical="center" shrinkToFit="1" readingOrder="2"/>
      <protection locked="0"/>
    </xf>
    <xf numFmtId="0" fontId="5" fillId="0" borderId="11" xfId="0" applyFont="1" applyBorder="1" applyAlignment="1" applyProtection="1">
      <alignment horizontal="center" vertical="center" shrinkToFit="1" readingOrder="2"/>
      <protection locked="0"/>
    </xf>
    <xf numFmtId="0" fontId="4" fillId="0" borderId="45" xfId="0" applyFont="1" applyBorder="1" applyAlignment="1" applyProtection="1">
      <alignment horizontal="center" vertical="center" shrinkToFit="1" readingOrder="2"/>
      <protection locked="0"/>
    </xf>
    <xf numFmtId="0" fontId="5" fillId="0" borderId="45" xfId="0" applyFont="1" applyBorder="1" applyAlignment="1" applyProtection="1">
      <alignment horizontal="center" vertical="center" shrinkToFit="1" readingOrder="2"/>
      <protection locked="0"/>
    </xf>
    <xf numFmtId="0" fontId="5" fillId="0" borderId="9" xfId="0" applyFont="1" applyBorder="1" applyAlignment="1" applyProtection="1">
      <alignment horizontal="center" vertical="center" shrinkToFit="1" readingOrder="2"/>
      <protection locked="0"/>
    </xf>
    <xf numFmtId="0" fontId="5" fillId="0" borderId="10" xfId="0" applyFont="1" applyBorder="1" applyAlignment="1" applyProtection="1">
      <alignment horizontal="center" vertical="center" shrinkToFit="1" readingOrder="2"/>
      <protection locked="0"/>
    </xf>
    <xf numFmtId="0" fontId="5" fillId="0" borderId="54" xfId="0" applyFont="1" applyBorder="1" applyAlignment="1" applyProtection="1">
      <alignment horizontal="center" vertical="center" shrinkToFit="1" readingOrder="2"/>
      <protection locked="0"/>
    </xf>
    <xf numFmtId="0" fontId="5" fillId="0" borderId="50" xfId="0" applyFont="1" applyBorder="1" applyAlignment="1" applyProtection="1">
      <alignment horizontal="center" vertical="center" shrinkToFit="1" readingOrder="2"/>
      <protection locked="0"/>
    </xf>
    <xf numFmtId="0" fontId="5" fillId="0" borderId="52" xfId="0" applyFont="1" applyBorder="1" applyAlignment="1" applyProtection="1">
      <alignment horizontal="center" vertical="center" shrinkToFit="1" readingOrder="2"/>
      <protection locked="0"/>
    </xf>
    <xf numFmtId="0" fontId="4" fillId="0" borderId="22" xfId="0" applyFont="1" applyBorder="1" applyAlignment="1" applyProtection="1">
      <alignment horizontal="center" vertical="center" shrinkToFit="1" readingOrder="2"/>
      <protection locked="0"/>
    </xf>
    <xf numFmtId="0" fontId="4" fillId="0" borderId="43" xfId="0" applyFont="1" applyBorder="1" applyAlignment="1" applyProtection="1">
      <alignment horizontal="center" vertical="center" shrinkToFit="1" readingOrder="2"/>
      <protection locked="0"/>
    </xf>
    <xf numFmtId="0" fontId="5" fillId="0" borderId="7" xfId="0" applyFont="1" applyBorder="1" applyAlignment="1" applyProtection="1">
      <alignment horizontal="right" vertical="center" shrinkToFit="1" readingOrder="2"/>
    </xf>
    <xf numFmtId="0" fontId="5" fillId="0" borderId="32" xfId="0" applyFont="1" applyBorder="1" applyAlignment="1" applyProtection="1">
      <alignment horizontal="right" vertical="center" shrinkToFit="1" readingOrder="2"/>
    </xf>
    <xf numFmtId="0" fontId="17" fillId="0" borderId="0" xfId="0" applyFont="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5" fillId="0" borderId="6"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166" fontId="10" fillId="12" borderId="27" xfId="1" applyNumberFormat="1" applyFont="1" applyFill="1" applyBorder="1" applyAlignment="1" applyProtection="1">
      <alignment horizontal="center" vertical="center" shrinkToFit="1" readingOrder="2"/>
    </xf>
    <xf numFmtId="166" fontId="14" fillId="11" borderId="62" xfId="0" applyNumberFormat="1" applyFont="1" applyFill="1" applyBorder="1" applyAlignment="1" applyProtection="1">
      <alignment horizontal="center" vertical="center" shrinkToFit="1" readingOrder="2"/>
      <protection hidden="1"/>
    </xf>
    <xf numFmtId="166" fontId="23" fillId="13" borderId="1" xfId="0" applyNumberFormat="1" applyFont="1" applyFill="1" applyBorder="1" applyAlignment="1" applyProtection="1">
      <alignment horizontal="center" vertical="center" shrinkToFit="1" readingOrder="2"/>
      <protection hidden="1"/>
    </xf>
    <xf numFmtId="166" fontId="14" fillId="8" borderId="30" xfId="0" applyNumberFormat="1" applyFont="1" applyFill="1" applyBorder="1" applyAlignment="1" applyProtection="1">
      <alignment horizontal="center" vertical="center" shrinkToFit="1" readingOrder="2"/>
      <protection hidden="1"/>
    </xf>
    <xf numFmtId="0" fontId="1" fillId="7" borderId="7" xfId="1" applyFill="1" applyBorder="1" applyAlignment="1" applyProtection="1"/>
    <xf numFmtId="0" fontId="17" fillId="17" borderId="7" xfId="0" applyFont="1" applyFill="1" applyBorder="1" applyAlignment="1" applyProtection="1">
      <alignment horizontal="center" readingOrder="2"/>
    </xf>
    <xf numFmtId="0" fontId="9" fillId="28" borderId="2" xfId="0" applyFont="1" applyFill="1" applyBorder="1" applyAlignment="1">
      <alignment horizontal="right" vertical="center" readingOrder="2"/>
    </xf>
    <xf numFmtId="0" fontId="9" fillId="28" borderId="5" xfId="0" applyFont="1" applyFill="1" applyBorder="1" applyAlignment="1">
      <alignment horizontal="center" vertical="center" readingOrder="2"/>
    </xf>
    <xf numFmtId="0" fontId="9" fillId="15" borderId="22" xfId="0" applyFont="1" applyFill="1" applyBorder="1" applyAlignment="1">
      <alignment horizontal="right" vertical="center" readingOrder="2"/>
    </xf>
    <xf numFmtId="0" fontId="9" fillId="28" borderId="6" xfId="0" applyFont="1" applyFill="1" applyBorder="1" applyAlignment="1">
      <alignment horizontal="right" vertical="center" readingOrder="2"/>
    </xf>
    <xf numFmtId="0" fontId="9" fillId="28" borderId="8" xfId="0" applyFont="1" applyFill="1" applyBorder="1" applyAlignment="1">
      <alignment horizontal="center" vertical="center" readingOrder="2"/>
    </xf>
    <xf numFmtId="0" fontId="9" fillId="15" borderId="43" xfId="0" applyFont="1" applyFill="1" applyBorder="1" applyAlignment="1">
      <alignment horizontal="right" vertical="center" readingOrder="2"/>
    </xf>
    <xf numFmtId="0" fontId="9" fillId="0" borderId="86" xfId="0" applyFont="1" applyBorder="1" applyAlignment="1">
      <alignment horizontal="right" vertical="center" readingOrder="2"/>
    </xf>
    <xf numFmtId="0" fontId="9" fillId="0" borderId="86" xfId="0" applyFont="1" applyBorder="1" applyAlignment="1">
      <alignment horizontal="center" vertical="center" readingOrder="2"/>
    </xf>
    <xf numFmtId="0" fontId="9" fillId="0" borderId="91" xfId="0" applyFont="1" applyBorder="1" applyAlignment="1">
      <alignment horizontal="right" vertical="center" readingOrder="2"/>
    </xf>
    <xf numFmtId="0" fontId="9" fillId="0" borderId="7" xfId="0" applyFont="1" applyBorder="1" applyAlignment="1">
      <alignment horizontal="center" vertical="center" readingOrder="2"/>
    </xf>
    <xf numFmtId="0" fontId="9" fillId="0" borderId="98" xfId="0" applyFont="1" applyBorder="1" applyAlignment="1">
      <alignment horizontal="center" vertical="center" readingOrder="2"/>
    </xf>
    <xf numFmtId="0" fontId="9" fillId="28" borderId="96" xfId="0" applyFont="1" applyFill="1" applyBorder="1" applyAlignment="1">
      <alignment horizontal="right" vertical="center" readingOrder="2"/>
    </xf>
    <xf numFmtId="0" fontId="9" fillId="0" borderId="87" xfId="0" applyFont="1" applyBorder="1" applyAlignment="1">
      <alignment horizontal="right" vertical="center" readingOrder="2"/>
    </xf>
    <xf numFmtId="0" fontId="9" fillId="0" borderId="87" xfId="0" applyFont="1" applyBorder="1" applyAlignment="1">
      <alignment horizontal="center" vertical="center" readingOrder="2"/>
    </xf>
    <xf numFmtId="0" fontId="9" fillId="0" borderId="92" xfId="0" applyFont="1" applyBorder="1" applyAlignment="1">
      <alignment horizontal="right" vertical="center" readingOrder="2"/>
    </xf>
    <xf numFmtId="0" fontId="17" fillId="28" borderId="0" xfId="0" applyFont="1" applyFill="1" applyAlignment="1" applyProtection="1">
      <alignment readingOrder="2"/>
    </xf>
    <xf numFmtId="0" fontId="9" fillId="0" borderId="99" xfId="0" applyFont="1" applyBorder="1" applyAlignment="1">
      <alignment horizontal="center" vertical="center" readingOrder="2"/>
    </xf>
    <xf numFmtId="0" fontId="9" fillId="15" borderId="92" xfId="0" applyFont="1" applyFill="1" applyBorder="1" applyAlignment="1">
      <alignment horizontal="right" vertical="center" readingOrder="2"/>
    </xf>
    <xf numFmtId="0" fontId="9" fillId="0" borderId="88" xfId="0" applyFont="1" applyBorder="1" applyAlignment="1">
      <alignment horizontal="right" vertical="center" readingOrder="2"/>
    </xf>
    <xf numFmtId="0" fontId="9" fillId="0" borderId="88" xfId="0" applyFont="1" applyBorder="1" applyAlignment="1">
      <alignment horizontal="center" vertical="center" readingOrder="2"/>
    </xf>
    <xf numFmtId="0" fontId="36" fillId="0" borderId="92" xfId="0" applyFont="1" applyBorder="1" applyAlignment="1">
      <alignment horizontal="right" vertical="center" readingOrder="2"/>
    </xf>
    <xf numFmtId="0" fontId="9" fillId="0" borderId="93" xfId="0" applyFont="1" applyBorder="1" applyAlignment="1">
      <alignment vertical="center" readingOrder="2"/>
    </xf>
    <xf numFmtId="0" fontId="9" fillId="29" borderId="92" xfId="0" applyFont="1" applyFill="1" applyBorder="1" applyAlignment="1">
      <alignment horizontal="right" vertical="center" readingOrder="2"/>
    </xf>
    <xf numFmtId="0" fontId="9" fillId="7" borderId="92" xfId="0" applyFont="1" applyFill="1" applyBorder="1" applyAlignment="1">
      <alignment horizontal="right" vertical="center" readingOrder="2"/>
    </xf>
    <xf numFmtId="0" fontId="9" fillId="19" borderId="92" xfId="0" applyFont="1" applyFill="1" applyBorder="1" applyAlignment="1">
      <alignment horizontal="right" vertical="center" readingOrder="2"/>
    </xf>
    <xf numFmtId="0" fontId="9" fillId="0" borderId="94" xfId="0" applyFont="1" applyBorder="1" applyAlignment="1">
      <alignment horizontal="right" vertical="center" readingOrder="2"/>
    </xf>
    <xf numFmtId="0" fontId="9" fillId="0" borderId="100" xfId="0" applyFont="1" applyBorder="1" applyAlignment="1">
      <alignment horizontal="center" vertical="center" readingOrder="2"/>
    </xf>
    <xf numFmtId="0" fontId="9" fillId="30" borderId="92" xfId="0" applyFont="1" applyFill="1" applyBorder="1" applyAlignment="1">
      <alignment horizontal="right" vertical="center" readingOrder="2"/>
    </xf>
    <xf numFmtId="0" fontId="9" fillId="31" borderId="94" xfId="0" applyFont="1" applyFill="1" applyBorder="1" applyAlignment="1">
      <alignment horizontal="right" vertical="center" readingOrder="2"/>
    </xf>
    <xf numFmtId="0" fontId="15" fillId="0" borderId="95" xfId="0" applyFont="1" applyBorder="1" applyAlignment="1">
      <alignment horizontal="center" vertical="center" readingOrder="2"/>
    </xf>
    <xf numFmtId="0" fontId="9" fillId="0" borderId="0" xfId="0" applyFont="1" applyFill="1" applyBorder="1" applyAlignment="1">
      <alignment horizontal="right" vertical="center" readingOrder="2"/>
    </xf>
    <xf numFmtId="0" fontId="9" fillId="0" borderId="7" xfId="0" applyFont="1" applyBorder="1" applyAlignment="1">
      <alignment vertical="center" readingOrder="2"/>
    </xf>
    <xf numFmtId="0" fontId="9" fillId="0" borderId="89" xfId="0" applyFont="1" applyBorder="1" applyAlignment="1">
      <alignment horizontal="center" vertical="center" readingOrder="2"/>
    </xf>
    <xf numFmtId="0" fontId="9" fillId="0" borderId="7" xfId="0" applyFont="1" applyBorder="1" applyAlignment="1">
      <alignment horizontal="right" vertical="center" readingOrder="2"/>
    </xf>
    <xf numFmtId="0" fontId="9" fillId="0" borderId="90" xfId="0" applyFont="1" applyBorder="1" applyAlignment="1">
      <alignment horizontal="center" vertical="center" readingOrder="2"/>
    </xf>
    <xf numFmtId="0" fontId="27" fillId="0" borderId="7" xfId="0" applyFont="1" applyBorder="1" applyAlignment="1" applyProtection="1">
      <alignment horizontal="right" readingOrder="2"/>
    </xf>
    <xf numFmtId="0" fontId="26" fillId="0" borderId="0" xfId="0" applyFont="1" applyAlignment="1" applyProtection="1">
      <alignment vertical="center"/>
    </xf>
    <xf numFmtId="0" fontId="27" fillId="0" borderId="7" xfId="0" applyFont="1" applyBorder="1" applyAlignment="1" applyProtection="1">
      <alignment horizontal="right" vertical="center" readingOrder="2"/>
    </xf>
    <xf numFmtId="2" fontId="19" fillId="0" borderId="38" xfId="1" applyNumberFormat="1" applyFont="1" applyBorder="1" applyAlignment="1" applyProtection="1">
      <alignment horizontal="center" vertical="center" wrapText="1" shrinkToFit="1" readingOrder="2"/>
      <protection locked="0"/>
    </xf>
    <xf numFmtId="0" fontId="14" fillId="0" borderId="0" xfId="1" applyFont="1" applyFill="1" applyBorder="1" applyAlignment="1" applyProtection="1">
      <alignment horizontal="center" vertical="center" textRotation="90" wrapText="1" readingOrder="2"/>
      <protection hidden="1"/>
    </xf>
    <xf numFmtId="2" fontId="47" fillId="0" borderId="0" xfId="1" applyNumberFormat="1" applyFont="1" applyFill="1" applyBorder="1" applyAlignment="1" applyProtection="1">
      <alignment horizontal="center" vertical="center" shrinkToFit="1" readingOrder="2"/>
      <protection hidden="1"/>
    </xf>
    <xf numFmtId="1" fontId="15" fillId="0" borderId="42" xfId="0" applyNumberFormat="1" applyFont="1" applyBorder="1" applyAlignment="1" applyProtection="1">
      <alignment horizontal="center" vertical="center" shrinkToFit="1" readingOrder="2"/>
      <protection locked="0"/>
    </xf>
    <xf numFmtId="0" fontId="0" fillId="0" borderId="12" xfId="0" applyBorder="1" applyProtection="1">
      <protection hidden="1"/>
    </xf>
    <xf numFmtId="0" fontId="95" fillId="0" borderId="13" xfId="0" applyFont="1" applyBorder="1" applyAlignment="1" applyProtection="1">
      <alignment horizontal="left"/>
      <protection locked="0"/>
    </xf>
    <xf numFmtId="0" fontId="0" fillId="0" borderId="16" xfId="0" applyBorder="1" applyAlignment="1" applyProtection="1">
      <alignment horizontal="right"/>
      <protection hidden="1"/>
    </xf>
    <xf numFmtId="0" fontId="95" fillId="0" borderId="12" xfId="0" applyFont="1" applyBorder="1" applyAlignment="1" applyProtection="1">
      <alignment horizontal="left"/>
      <protection locked="0"/>
    </xf>
    <xf numFmtId="0" fontId="0" fillId="0" borderId="13" xfId="0" applyBorder="1" applyAlignment="1" applyProtection="1">
      <alignment horizontal="right"/>
      <protection hidden="1"/>
    </xf>
    <xf numFmtId="0" fontId="0" fillId="0" borderId="13" xfId="0" applyBorder="1" applyProtection="1">
      <protection hidden="1"/>
    </xf>
    <xf numFmtId="49" fontId="46" fillId="0" borderId="16" xfId="0" applyNumberFormat="1" applyFont="1" applyBorder="1" applyAlignment="1" applyProtection="1">
      <alignment horizontal="center" vertical="center" wrapText="1" shrinkToFit="1" readingOrder="2"/>
      <protection locked="0"/>
    </xf>
    <xf numFmtId="2" fontId="24" fillId="0" borderId="21" xfId="1" applyNumberFormat="1" applyFont="1" applyFill="1" applyBorder="1" applyAlignment="1" applyProtection="1">
      <alignment horizontal="center" vertical="center" shrinkToFit="1" readingOrder="2"/>
      <protection hidden="1"/>
    </xf>
    <xf numFmtId="2" fontId="24" fillId="0" borderId="22" xfId="1" applyNumberFormat="1" applyFont="1" applyFill="1" applyBorder="1" applyAlignment="1" applyProtection="1">
      <alignment horizontal="center" vertical="center" shrinkToFit="1" readingOrder="2"/>
      <protection hidden="1"/>
    </xf>
    <xf numFmtId="2" fontId="24" fillId="0" borderId="50" xfId="1" applyNumberFormat="1" applyFont="1" applyFill="1" applyBorder="1" applyAlignment="1" applyProtection="1">
      <alignment horizontal="center" vertical="center" shrinkToFit="1" readingOrder="2"/>
      <protection hidden="1"/>
    </xf>
    <xf numFmtId="2" fontId="24" fillId="0" borderId="52" xfId="1" applyNumberFormat="1" applyFont="1" applyFill="1" applyBorder="1" applyAlignment="1" applyProtection="1">
      <alignment horizontal="center" vertical="center" shrinkToFit="1" readingOrder="2"/>
      <protection hidden="1"/>
    </xf>
    <xf numFmtId="2" fontId="58" fillId="0" borderId="0" xfId="1" applyNumberFormat="1" applyFont="1" applyBorder="1" applyAlignment="1" applyProtection="1">
      <alignment horizontal="left" vertical="center" readingOrder="2"/>
      <protection hidden="1"/>
    </xf>
    <xf numFmtId="2" fontId="24" fillId="0" borderId="43" xfId="1" applyNumberFormat="1" applyFont="1" applyFill="1" applyBorder="1" applyAlignment="1" applyProtection="1">
      <alignment horizontal="center" vertical="center" shrinkToFit="1" readingOrder="2"/>
      <protection hidden="1"/>
    </xf>
    <xf numFmtId="2" fontId="24" fillId="0" borderId="44" xfId="1" applyNumberFormat="1" applyFont="1" applyFill="1" applyBorder="1" applyAlignment="1" applyProtection="1">
      <alignment horizontal="center" vertical="center" shrinkToFit="1" readingOrder="2"/>
      <protection hidden="1"/>
    </xf>
    <xf numFmtId="0" fontId="80" fillId="23" borderId="0" xfId="0" applyFont="1" applyFill="1" applyAlignment="1" applyProtection="1">
      <alignment horizontal="center" vertical="center"/>
    </xf>
    <xf numFmtId="0" fontId="74" fillId="23" borderId="0" xfId="0" applyFont="1" applyFill="1" applyAlignment="1" applyProtection="1">
      <alignment horizontal="center" vertical="center" shrinkToFit="1"/>
    </xf>
    <xf numFmtId="0" fontId="75" fillId="24" borderId="0" xfId="0" applyFont="1" applyFill="1" applyAlignment="1" applyProtection="1">
      <alignment horizontal="center" vertical="center"/>
    </xf>
    <xf numFmtId="0" fontId="0" fillId="26" borderId="0" xfId="0" applyFill="1" applyAlignment="1" applyProtection="1">
      <alignment horizontal="center"/>
    </xf>
    <xf numFmtId="0" fontId="0" fillId="25" borderId="0" xfId="0" applyFill="1" applyAlignment="1" applyProtection="1">
      <alignment horizontal="center"/>
    </xf>
    <xf numFmtId="0" fontId="76" fillId="24" borderId="0" xfId="0" applyFont="1" applyFill="1" applyAlignment="1" applyProtection="1">
      <alignment horizontal="center" vertical="center"/>
    </xf>
    <xf numFmtId="0" fontId="77" fillId="23" borderId="0" xfId="0" applyFont="1" applyFill="1" applyAlignment="1" applyProtection="1">
      <alignment horizontal="right" vertical="center" wrapText="1"/>
    </xf>
    <xf numFmtId="0" fontId="78" fillId="23" borderId="0" xfId="0" applyFont="1" applyFill="1" applyAlignment="1" applyProtection="1">
      <alignment horizontal="right" vertical="center" wrapText="1" readingOrder="2"/>
    </xf>
    <xf numFmtId="0" fontId="24" fillId="0" borderId="0" xfId="0" applyFont="1" applyAlignment="1" applyProtection="1">
      <alignment horizontal="center"/>
    </xf>
    <xf numFmtId="0" fontId="5" fillId="0" borderId="19" xfId="0" applyFont="1" applyBorder="1" applyAlignment="1" applyProtection="1">
      <alignment horizontal="left" vertical="center" shrinkToFit="1" readingOrder="2"/>
    </xf>
    <xf numFmtId="0" fontId="5" fillId="0" borderId="13" xfId="0" applyFont="1" applyBorder="1" applyAlignment="1" applyProtection="1">
      <alignment horizontal="left" vertical="center" shrinkToFit="1" readingOrder="2"/>
    </xf>
    <xf numFmtId="1" fontId="15" fillId="0" borderId="19" xfId="0" applyNumberFormat="1" applyFont="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23" fillId="0" borderId="0" xfId="0" applyFont="1" applyBorder="1" applyAlignment="1" applyProtection="1">
      <alignment horizontal="right" vertical="center" shrinkToFit="1" readingOrder="2"/>
    </xf>
    <xf numFmtId="0" fontId="23" fillId="0" borderId="0" xfId="0" applyFont="1" applyBorder="1" applyAlignment="1" applyProtection="1">
      <alignment horizontal="left" vertical="center" shrinkToFit="1" readingOrder="2"/>
    </xf>
    <xf numFmtId="0" fontId="5" fillId="0" borderId="31" xfId="0" applyFont="1" applyBorder="1" applyAlignment="1" applyProtection="1">
      <alignment horizontal="right" vertical="center" shrinkToFit="1" readingOrder="2"/>
    </xf>
    <xf numFmtId="0" fontId="5" fillId="0" borderId="32" xfId="0" applyFont="1" applyBorder="1" applyAlignment="1" applyProtection="1">
      <alignment horizontal="right" vertical="center" shrinkToFit="1" readingOrder="2"/>
    </xf>
    <xf numFmtId="0" fontId="5" fillId="0" borderId="33" xfId="0" applyFont="1" applyBorder="1" applyAlignment="1" applyProtection="1">
      <alignment horizontal="right" vertical="center" shrinkToFit="1" readingOrder="2"/>
    </xf>
    <xf numFmtId="0" fontId="5" fillId="0" borderId="23" xfId="0" applyFont="1" applyBorder="1" applyAlignment="1" applyProtection="1">
      <alignment horizontal="right" vertical="center" shrinkToFit="1" readingOrder="2"/>
    </xf>
    <xf numFmtId="0" fontId="5" fillId="0" borderId="19" xfId="0" applyFont="1" applyBorder="1" applyAlignment="1" applyProtection="1">
      <alignment horizontal="right" vertical="center" shrinkToFit="1" readingOrder="2"/>
    </xf>
    <xf numFmtId="0" fontId="5" fillId="0" borderId="34" xfId="0" applyFont="1" applyBorder="1" applyAlignment="1" applyProtection="1">
      <alignment horizontal="right" vertical="center" shrinkToFit="1" readingOrder="2"/>
    </xf>
    <xf numFmtId="0" fontId="20" fillId="0" borderId="34" xfId="0" applyFont="1" applyBorder="1" applyAlignment="1" applyProtection="1">
      <alignment horizontal="center" vertical="center" wrapText="1" shrinkToFit="1" readingOrder="2"/>
    </xf>
    <xf numFmtId="0" fontId="20" fillId="0" borderId="32" xfId="0" applyFont="1" applyBorder="1" applyAlignment="1" applyProtection="1">
      <alignment horizontal="center" vertical="center" wrapText="1" shrinkToFit="1" readingOrder="2"/>
    </xf>
    <xf numFmtId="0" fontId="20" fillId="0" borderId="25" xfId="0" applyFont="1" applyBorder="1" applyAlignment="1" applyProtection="1">
      <alignment horizontal="center" vertical="center" wrapText="1" shrinkToFit="1" readingOrder="2"/>
    </xf>
    <xf numFmtId="0" fontId="20" fillId="0" borderId="13" xfId="0" applyFont="1" applyBorder="1" applyAlignment="1" applyProtection="1">
      <alignment horizontal="center" vertical="center" wrapText="1" shrinkToFit="1" readingOrder="2"/>
    </xf>
    <xf numFmtId="1" fontId="15" fillId="0" borderId="13" xfId="0" applyNumberFormat="1" applyFont="1" applyBorder="1" applyAlignment="1" applyProtection="1">
      <alignment horizontal="center" vertical="center" shrinkToFit="1" readingOrder="2"/>
      <protection locked="0"/>
    </xf>
    <xf numFmtId="49" fontId="15" fillId="0" borderId="39" xfId="0" applyNumberFormat="1" applyFont="1" applyBorder="1" applyAlignment="1" applyProtection="1">
      <alignment horizontal="center" vertical="center" shrinkToFit="1" readingOrder="2"/>
      <protection locked="0"/>
    </xf>
    <xf numFmtId="49" fontId="15" fillId="0" borderId="38" xfId="0" applyNumberFormat="1" applyFont="1" applyBorder="1" applyAlignment="1" applyProtection="1">
      <alignment horizontal="center" vertical="center" shrinkToFit="1" readingOrder="2"/>
      <protection locked="0"/>
    </xf>
    <xf numFmtId="0" fontId="5" fillId="14" borderId="47" xfId="0" applyFont="1" applyFill="1" applyBorder="1" applyAlignment="1" applyProtection="1">
      <alignment horizontal="center" vertical="center" shrinkToFit="1" readingOrder="2"/>
    </xf>
    <xf numFmtId="0" fontId="5" fillId="14" borderId="51" xfId="0" applyFont="1" applyFill="1" applyBorder="1" applyAlignment="1" applyProtection="1">
      <alignment horizontal="center" vertical="center" shrinkToFit="1" readingOrder="2"/>
    </xf>
    <xf numFmtId="0" fontId="15" fillId="0" borderId="25" xfId="0" applyFont="1" applyBorder="1" applyAlignment="1" applyProtection="1">
      <alignment horizontal="right" vertical="center" shrinkToFit="1" readingOrder="2"/>
      <protection locked="0"/>
    </xf>
    <xf numFmtId="0" fontId="15" fillId="0" borderId="13" xfId="0" applyFont="1" applyBorder="1" applyAlignment="1" applyProtection="1">
      <alignment horizontal="right" vertical="center" shrinkToFit="1" readingOrder="2"/>
      <protection locked="0"/>
    </xf>
    <xf numFmtId="1" fontId="15" fillId="0" borderId="33" xfId="0" applyNumberFormat="1" applyFont="1" applyBorder="1" applyAlignment="1" applyProtection="1">
      <alignment horizontal="right" vertical="center" shrinkToFit="1" readingOrder="2"/>
      <protection locked="0"/>
    </xf>
    <xf numFmtId="1" fontId="15" fillId="0" borderId="38" xfId="0" applyNumberFormat="1" applyFont="1" applyBorder="1" applyAlignment="1" applyProtection="1">
      <alignment horizontal="right" vertical="center" shrinkToFit="1" readingOrder="2"/>
      <protection locked="0"/>
    </xf>
    <xf numFmtId="0" fontId="5" fillId="0" borderId="34" xfId="0" applyFont="1" applyBorder="1" applyAlignment="1" applyProtection="1">
      <alignment horizontal="center" vertical="center" shrinkToFit="1" readingOrder="2"/>
    </xf>
    <xf numFmtId="0" fontId="5" fillId="0" borderId="32" xfId="0" applyFont="1" applyBorder="1" applyAlignment="1" applyProtection="1">
      <alignment horizontal="center" vertical="center" shrinkToFit="1" readingOrder="2"/>
    </xf>
    <xf numFmtId="0" fontId="5" fillId="0" borderId="39" xfId="0" applyFont="1" applyBorder="1" applyAlignment="1" applyProtection="1">
      <alignment horizontal="center" vertical="center" shrinkToFit="1" readingOrder="2"/>
    </xf>
    <xf numFmtId="0" fontId="5" fillId="0" borderId="37" xfId="0" applyFont="1" applyBorder="1" applyAlignment="1" applyProtection="1">
      <alignment horizontal="center" vertical="center" shrinkToFit="1" readingOrder="2"/>
    </xf>
    <xf numFmtId="0" fontId="23" fillId="14" borderId="48" xfId="0" applyFont="1" applyFill="1" applyBorder="1" applyAlignment="1" applyProtection="1">
      <alignment horizontal="center" vertical="center" shrinkToFit="1" readingOrder="2"/>
    </xf>
    <xf numFmtId="0" fontId="23" fillId="14" borderId="49" xfId="0" applyFont="1" applyFill="1" applyBorder="1" applyAlignment="1" applyProtection="1">
      <alignment horizontal="center" vertical="center" shrinkToFit="1" readingOrder="2"/>
    </xf>
    <xf numFmtId="49" fontId="15" fillId="0" borderId="7" xfId="0" applyNumberFormat="1" applyFont="1" applyBorder="1" applyAlignment="1" applyProtection="1">
      <alignment horizontal="center" vertical="center" shrinkToFit="1" readingOrder="2"/>
      <protection locked="0"/>
    </xf>
    <xf numFmtId="0" fontId="23" fillId="14" borderId="18" xfId="0" applyFont="1" applyFill="1" applyBorder="1" applyAlignment="1" applyProtection="1">
      <alignment horizontal="center" vertical="center" shrinkToFit="1" readingOrder="2"/>
    </xf>
    <xf numFmtId="0" fontId="23" fillId="14" borderId="19" xfId="0" applyFont="1" applyFill="1" applyBorder="1" applyAlignment="1" applyProtection="1">
      <alignment horizontal="center" vertical="center" shrinkToFit="1" readingOrder="2"/>
    </xf>
    <xf numFmtId="0" fontId="23" fillId="14" borderId="20" xfId="0" applyFont="1" applyFill="1" applyBorder="1" applyAlignment="1" applyProtection="1">
      <alignment horizontal="center"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7"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7"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vertical="center" shrinkToFit="1" readingOrder="2"/>
      <protection locked="0"/>
    </xf>
    <xf numFmtId="1" fontId="15" fillId="0" borderId="40" xfId="0" applyNumberFormat="1" applyFont="1" applyBorder="1" applyAlignment="1" applyProtection="1">
      <alignment vertical="center" shrinkToFit="1" readingOrder="2"/>
      <protection locked="0"/>
    </xf>
    <xf numFmtId="49" fontId="15" fillId="0" borderId="42" xfId="0" applyNumberFormat="1" applyFont="1" applyBorder="1" applyAlignment="1" applyProtection="1">
      <alignment horizontal="right" vertical="center" shrinkToFit="1" readingOrder="2"/>
      <protection locked="0"/>
    </xf>
    <xf numFmtId="49" fontId="15" fillId="0" borderId="43" xfId="0" applyNumberFormat="1" applyFont="1" applyBorder="1" applyAlignment="1" applyProtection="1">
      <alignment horizontal="right"/>
      <protection locked="0"/>
    </xf>
    <xf numFmtId="49" fontId="15" fillId="0" borderId="42" xfId="0" applyNumberFormat="1" applyFont="1" applyBorder="1" applyAlignment="1" applyProtection="1">
      <alignment horizontal="center" vertical="center" shrinkToFit="1" readingOrder="2"/>
      <protection locked="0"/>
    </xf>
    <xf numFmtId="49" fontId="15" fillId="0" borderId="4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1" fontId="15" fillId="0" borderId="52" xfId="0" applyNumberFormat="1" applyFont="1" applyBorder="1" applyAlignment="1" applyProtection="1">
      <alignment horizontal="right" vertical="center" shrinkToFit="1" readingOrder="2"/>
      <protection locked="0"/>
    </xf>
    <xf numFmtId="0" fontId="23" fillId="0" borderId="7" xfId="0" applyFont="1" applyBorder="1" applyAlignment="1" applyProtection="1">
      <alignment horizontal="center" vertical="center" shrinkToFit="1" readingOrder="2"/>
    </xf>
    <xf numFmtId="1" fontId="13" fillId="14" borderId="18" xfId="0" applyNumberFormat="1" applyFont="1" applyFill="1" applyBorder="1" applyAlignment="1" applyProtection="1">
      <alignment horizontal="center" vertical="center" shrinkToFit="1" readingOrder="2"/>
      <protection locked="0"/>
    </xf>
    <xf numFmtId="1" fontId="13" fillId="14" borderId="19" xfId="0" applyNumberFormat="1" applyFont="1" applyFill="1" applyBorder="1" applyAlignment="1" applyProtection="1">
      <alignment horizontal="center" vertical="center" shrinkToFit="1" readingOrder="2"/>
      <protection locked="0"/>
    </xf>
    <xf numFmtId="1" fontId="13" fillId="14" borderId="20" xfId="0" applyNumberFormat="1" applyFont="1" applyFill="1" applyBorder="1" applyAlignment="1" applyProtection="1">
      <alignment horizontal="center" vertical="center" shrinkToFit="1" readingOrder="2"/>
      <protection locked="0"/>
    </xf>
    <xf numFmtId="1" fontId="13" fillId="14" borderId="12" xfId="0" applyNumberFormat="1" applyFont="1" applyFill="1" applyBorder="1" applyAlignment="1" applyProtection="1">
      <alignment horizontal="center" vertical="center" shrinkToFit="1" readingOrder="2"/>
      <protection locked="0"/>
    </xf>
    <xf numFmtId="1" fontId="13" fillId="14" borderId="13" xfId="0" applyNumberFormat="1" applyFont="1" applyFill="1" applyBorder="1" applyAlignment="1" applyProtection="1">
      <alignment horizontal="center" vertical="center" shrinkToFit="1" readingOrder="2"/>
      <protection locked="0"/>
    </xf>
    <xf numFmtId="1" fontId="13" fillId="14" borderId="16" xfId="0" applyNumberFormat="1" applyFont="1" applyFill="1" applyBorder="1" applyAlignment="1" applyProtection="1">
      <alignment horizontal="center" vertical="center" shrinkToFit="1" readingOrder="2"/>
      <protection locked="0"/>
    </xf>
    <xf numFmtId="49" fontId="15" fillId="0" borderId="36" xfId="0" applyNumberFormat="1" applyFont="1" applyBorder="1" applyAlignment="1" applyProtection="1">
      <alignment horizontal="center" vertical="center" shrinkToFit="1" readingOrder="2"/>
      <protection locked="0"/>
    </xf>
    <xf numFmtId="49" fontId="15" fillId="0" borderId="37" xfId="0" applyNumberFormat="1" applyFont="1" applyBorder="1" applyAlignment="1" applyProtection="1">
      <alignment horizontal="center" vertical="center" shrinkToFit="1" readingOrder="2"/>
      <protection locked="0"/>
    </xf>
    <xf numFmtId="0" fontId="5" fillId="0" borderId="6" xfId="0" applyFont="1" applyBorder="1" applyAlignment="1" applyProtection="1">
      <alignment horizontal="right" vertical="center" shrinkToFit="1" readingOrder="2"/>
    </xf>
    <xf numFmtId="0" fontId="5" fillId="0" borderId="7" xfId="0" applyFont="1" applyBorder="1" applyAlignment="1" applyProtection="1">
      <alignment horizontal="right" vertical="center" shrinkToFit="1" readingOrder="2"/>
    </xf>
    <xf numFmtId="49" fontId="46" fillId="0" borderId="10" xfId="0" applyNumberFormat="1" applyFont="1" applyBorder="1" applyAlignment="1" applyProtection="1">
      <alignment horizontal="center" vertical="center" wrapText="1" shrinkToFit="1" readingOrder="2"/>
      <protection locked="0"/>
    </xf>
    <xf numFmtId="49" fontId="46" fillId="0" borderId="14" xfId="0" applyNumberFormat="1" applyFont="1" applyBorder="1" applyAlignment="1" applyProtection="1">
      <alignment horizontal="center" vertical="center" wrapText="1" shrinkToFit="1" readingOrder="2"/>
      <protection locked="0"/>
    </xf>
    <xf numFmtId="49" fontId="46" fillId="0" borderId="25" xfId="0" applyNumberFormat="1" applyFont="1" applyBorder="1" applyAlignment="1" applyProtection="1">
      <alignment horizontal="center" vertical="center" wrapText="1" shrinkToFit="1" readingOrder="2"/>
      <protection locked="0"/>
    </xf>
    <xf numFmtId="49" fontId="46" fillId="0" borderId="50" xfId="0" applyNumberFormat="1" applyFont="1" applyBorder="1" applyAlignment="1" applyProtection="1">
      <alignment horizontal="center" vertical="center" wrapText="1" shrinkToFit="1" readingOrder="2"/>
      <protection locked="0"/>
    </xf>
    <xf numFmtId="49" fontId="46" fillId="0" borderId="11" xfId="0" applyNumberFormat="1" applyFont="1" applyBorder="1" applyAlignment="1" applyProtection="1">
      <alignment horizontal="center" vertical="center" wrapText="1" shrinkToFit="1" readingOrder="2"/>
      <protection locked="0"/>
    </xf>
    <xf numFmtId="0" fontId="5" fillId="0" borderId="0" xfId="0" applyFont="1" applyBorder="1" applyAlignment="1" applyProtection="1">
      <alignment horizontal="center" vertical="center" shrinkToFit="1" readingOrder="2"/>
      <protection hidden="1"/>
    </xf>
    <xf numFmtId="49" fontId="15" fillId="0" borderId="44" xfId="0" applyNumberFormat="1" applyFont="1" applyBorder="1" applyAlignment="1" applyProtection="1">
      <alignment horizontal="center" vertical="center" shrinkToFit="1" readingOrder="2"/>
      <protection locked="0"/>
    </xf>
    <xf numFmtId="49" fontId="15" fillId="0" borderId="8" xfId="0" applyNumberFormat="1" applyFont="1" applyBorder="1" applyAlignment="1" applyProtection="1">
      <alignment horizontal="center" vertical="center" shrinkToFit="1" readingOrder="2"/>
      <protection locked="0"/>
    </xf>
    <xf numFmtId="1" fontId="15" fillId="0" borderId="44"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right" vertical="center" shrinkToFit="1" readingOrder="2"/>
      <protection locked="0"/>
    </xf>
    <xf numFmtId="1" fontId="15" fillId="0" borderId="45" xfId="0" applyNumberFormat="1" applyFont="1" applyBorder="1" applyAlignment="1" applyProtection="1">
      <alignment horizontal="right" vertical="center" shrinkToFit="1" readingOrder="2"/>
      <protection locked="0"/>
    </xf>
    <xf numFmtId="0" fontId="24" fillId="0" borderId="0" xfId="0" applyFont="1" applyAlignment="1" applyProtection="1">
      <alignment horizontal="center" shrinkToFit="1"/>
      <protection hidden="1"/>
    </xf>
    <xf numFmtId="0" fontId="5" fillId="0" borderId="0" xfId="0" applyFont="1" applyBorder="1" applyAlignment="1" applyProtection="1">
      <alignment horizontal="right" vertical="center" shrinkToFit="1" readingOrder="2"/>
      <protection hidden="1"/>
    </xf>
    <xf numFmtId="0" fontId="5" fillId="0" borderId="9" xfId="0" applyFont="1" applyBorder="1" applyAlignment="1" applyProtection="1">
      <alignment horizontal="right" vertical="center" shrinkToFit="1" readingOrder="2"/>
    </xf>
    <xf numFmtId="0" fontId="5" fillId="0" borderId="10" xfId="0" applyFont="1" applyBorder="1" applyAlignment="1" applyProtection="1">
      <alignment horizontal="right" vertical="center" shrinkToFit="1" readingOrder="2"/>
    </xf>
    <xf numFmtId="0" fontId="95" fillId="0" borderId="18" xfId="0" applyFont="1" applyBorder="1" applyAlignment="1" applyProtection="1">
      <alignment horizontal="center" vertical="center"/>
      <protection hidden="1"/>
    </xf>
    <xf numFmtId="0" fontId="95" fillId="0" borderId="19" xfId="0" applyFont="1" applyBorder="1" applyAlignment="1" applyProtection="1">
      <alignment horizontal="center" vertical="center"/>
      <protection hidden="1"/>
    </xf>
    <xf numFmtId="0" fontId="95" fillId="0" borderId="20" xfId="0" applyFont="1" applyBorder="1" applyAlignment="1" applyProtection="1">
      <alignment horizontal="center" vertical="center"/>
      <protection hidden="1"/>
    </xf>
    <xf numFmtId="0" fontId="5" fillId="0" borderId="19" xfId="0" applyFont="1" applyBorder="1" applyAlignment="1" applyProtection="1">
      <alignment horizontal="right" vertical="center" shrinkToFit="1" readingOrder="2"/>
      <protection hidden="1"/>
    </xf>
    <xf numFmtId="0" fontId="23" fillId="0" borderId="44" xfId="0" applyFont="1" applyBorder="1" applyAlignment="1" applyProtection="1">
      <alignment horizontal="center" vertical="center" shrinkToFit="1" readingOrder="2"/>
    </xf>
    <xf numFmtId="0" fontId="23" fillId="0" borderId="8" xfId="0" applyFont="1" applyBorder="1" applyAlignment="1" applyProtection="1">
      <alignment horizontal="center" vertical="center" shrinkToFit="1" readingOrder="2"/>
    </xf>
    <xf numFmtId="0" fontId="5" fillId="0" borderId="28" xfId="0" applyFont="1" applyBorder="1" applyAlignment="1" applyProtection="1">
      <alignment horizontal="right" vertical="center" shrinkToFit="1" readingOrder="2"/>
    </xf>
    <xf numFmtId="0" fontId="5" fillId="0" borderId="27" xfId="0" applyFont="1" applyBorder="1" applyAlignment="1" applyProtection="1">
      <alignment horizontal="right" vertical="center" shrinkToFit="1" readingOrder="2"/>
    </xf>
    <xf numFmtId="0" fontId="23" fillId="0" borderId="43" xfId="0" applyFont="1" applyBorder="1" applyAlignment="1" applyProtection="1">
      <alignment horizontal="center" vertical="center" shrinkToFit="1" readingOrder="2"/>
    </xf>
    <xf numFmtId="0" fontId="5" fillId="0" borderId="0" xfId="0" applyFont="1" applyAlignment="1" applyProtection="1">
      <alignment horizontal="center" vertical="center" shrinkToFit="1" readingOrder="2"/>
      <protection hidden="1"/>
    </xf>
    <xf numFmtId="49" fontId="15" fillId="0" borderId="57" xfId="0" applyNumberFormat="1" applyFont="1" applyBorder="1" applyAlignment="1" applyProtection="1">
      <alignment horizontal="center" vertical="center" shrinkToFit="1" readingOrder="2"/>
      <protection locked="0"/>
    </xf>
    <xf numFmtId="49" fontId="15" fillId="0" borderId="34" xfId="0" applyNumberFormat="1" applyFont="1" applyBorder="1" applyAlignment="1" applyProtection="1">
      <alignment horizontal="center" vertical="center" shrinkToFit="1" readingOrder="2"/>
      <protection locked="0"/>
    </xf>
    <xf numFmtId="0" fontId="15" fillId="0" borderId="0" xfId="0" applyFont="1" applyAlignment="1" applyProtection="1">
      <alignment horizontal="center" vertical="center" shrinkToFit="1" readingOrder="2"/>
      <protection locked="0"/>
    </xf>
    <xf numFmtId="0" fontId="15" fillId="0" borderId="0" xfId="0" applyFont="1" applyAlignment="1" applyProtection="1">
      <alignment horizontal="center" vertical="center" shrinkToFit="1" readingOrder="2"/>
      <protection hidden="1"/>
    </xf>
    <xf numFmtId="49" fontId="2" fillId="0" borderId="0" xfId="0" applyNumberFormat="1" applyFont="1" applyAlignment="1" applyProtection="1">
      <alignment horizontal="right" shrinkToFit="1" readingOrder="2"/>
      <protection hidden="1"/>
    </xf>
    <xf numFmtId="0" fontId="2" fillId="0" borderId="0" xfId="0" applyFont="1" applyAlignment="1" applyProtection="1">
      <alignment horizontal="right" shrinkToFit="1" readingOrder="2"/>
      <protection hidden="1"/>
    </xf>
    <xf numFmtId="49" fontId="15" fillId="0" borderId="0" xfId="0" applyNumberFormat="1" applyFont="1" applyAlignment="1" applyProtection="1">
      <alignment horizontal="center" vertical="center" shrinkToFit="1" readingOrder="2"/>
      <protection hidden="1"/>
    </xf>
    <xf numFmtId="0" fontId="0" fillId="0" borderId="13" xfId="0" applyBorder="1" applyAlignment="1" applyProtection="1">
      <alignment horizontal="right"/>
      <protection hidden="1"/>
    </xf>
    <xf numFmtId="0" fontId="2" fillId="0" borderId="0" xfId="0" applyFont="1" applyAlignment="1" applyProtection="1">
      <alignment horizontal="left" shrinkToFit="1" readingOrder="2"/>
      <protection hidden="1"/>
    </xf>
    <xf numFmtId="0" fontId="9" fillId="0" borderId="0" xfId="0" applyFont="1" applyAlignment="1" applyProtection="1">
      <alignment horizontal="right" shrinkToFit="1" readingOrder="2"/>
      <protection hidden="1"/>
    </xf>
    <xf numFmtId="0" fontId="2" fillId="0" borderId="0" xfId="0" applyFont="1" applyAlignment="1" applyProtection="1">
      <alignment horizontal="center" shrinkToFit="1" readingOrder="2"/>
      <protection hidden="1"/>
    </xf>
    <xf numFmtId="49" fontId="92" fillId="0" borderId="7" xfId="1" applyNumberFormat="1" applyFont="1" applyBorder="1" applyAlignment="1" applyProtection="1">
      <alignment horizontal="center" vertical="center" wrapText="1" shrinkToFit="1" readingOrder="2"/>
      <protection locked="0"/>
    </xf>
    <xf numFmtId="49" fontId="91" fillId="0" borderId="7" xfId="1" applyNumberFormat="1" applyFont="1" applyBorder="1" applyAlignment="1" applyProtection="1">
      <alignment horizontal="right" vertical="center" wrapText="1" shrinkToFit="1" readingOrder="2"/>
      <protection locked="0"/>
    </xf>
    <xf numFmtId="49" fontId="92" fillId="0" borderId="23" xfId="1" applyNumberFormat="1" applyFont="1" applyBorder="1" applyAlignment="1" applyProtection="1">
      <alignment horizontal="center" vertical="center" wrapText="1" shrinkToFit="1" readingOrder="2"/>
      <protection locked="0"/>
    </xf>
    <xf numFmtId="49" fontId="92" fillId="0" borderId="2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shrinkToFit="1" readingOrder="2"/>
    </xf>
    <xf numFmtId="49" fontId="10" fillId="0" borderId="13" xfId="1" applyNumberFormat="1" applyFont="1" applyBorder="1" applyAlignment="1" applyProtection="1">
      <alignment horizontal="center" vertical="center" shrinkToFit="1" readingOrder="2"/>
    </xf>
    <xf numFmtId="0" fontId="2" fillId="0" borderId="18" xfId="1" applyFont="1" applyBorder="1" applyAlignment="1" applyProtection="1">
      <alignment horizontal="right" shrinkToFit="1" readingOrder="2"/>
    </xf>
    <xf numFmtId="0" fontId="10" fillId="0" borderId="12" xfId="1" applyFont="1" applyBorder="1" applyAlignment="1" applyProtection="1">
      <alignment horizontal="center" vertical="center" shrinkToFit="1" readingOrder="2"/>
    </xf>
    <xf numFmtId="0" fontId="10" fillId="0" borderId="13" xfId="1" applyFont="1" applyBorder="1" applyAlignment="1" applyProtection="1">
      <alignment horizontal="center" vertical="center" shrinkToFit="1" readingOrder="2"/>
    </xf>
    <xf numFmtId="0" fontId="27" fillId="0" borderId="19" xfId="0" applyFont="1" applyBorder="1" applyAlignment="1" applyProtection="1">
      <alignment horizontal="right" vertical="top" wrapText="1"/>
    </xf>
    <xf numFmtId="0" fontId="27" fillId="0" borderId="19" xfId="0" applyFont="1" applyBorder="1" applyAlignment="1" applyProtection="1">
      <alignment horizontal="right" vertical="top"/>
    </xf>
    <xf numFmtId="0" fontId="2" fillId="0" borderId="50" xfId="1" applyFont="1" applyBorder="1" applyAlignment="1" applyProtection="1">
      <alignment horizontal="center" vertical="center" wrapText="1" shrinkToFit="1" readingOrder="2"/>
    </xf>
    <xf numFmtId="0" fontId="2" fillId="0" borderId="54" xfId="1" applyFont="1" applyBorder="1" applyAlignment="1" applyProtection="1">
      <alignment horizontal="center" vertical="center" wrapText="1" shrinkToFit="1" readingOrder="2"/>
    </xf>
    <xf numFmtId="2" fontId="10" fillId="0" borderId="39" xfId="1" applyNumberFormat="1" applyFont="1" applyFill="1" applyBorder="1" applyAlignment="1" applyProtection="1">
      <alignment horizontal="center" vertical="center" shrinkToFit="1" readingOrder="2"/>
      <protection locked="0"/>
    </xf>
    <xf numFmtId="2" fontId="10" fillId="0" borderId="40" xfId="1" applyNumberFormat="1" applyFont="1" applyFill="1" applyBorder="1" applyAlignment="1" applyProtection="1">
      <alignment horizontal="center" vertical="center" shrinkToFit="1" readingOrder="2"/>
      <protection locked="0"/>
    </xf>
    <xf numFmtId="0" fontId="15" fillId="0" borderId="66" xfId="0" applyFont="1" applyFill="1" applyBorder="1" applyAlignment="1" applyProtection="1">
      <alignment horizontal="center" vertical="center" shrinkToFit="1" readingOrder="2"/>
      <protection locked="0"/>
    </xf>
    <xf numFmtId="0" fontId="15" fillId="0" borderId="67" xfId="0" applyFont="1" applyFill="1" applyBorder="1" applyAlignment="1" applyProtection="1">
      <alignment horizontal="center" vertical="center" shrinkToFit="1" readingOrder="2"/>
      <protection locked="0"/>
    </xf>
    <xf numFmtId="2" fontId="10" fillId="0" borderId="44" xfId="1" applyNumberFormat="1" applyFont="1" applyFill="1" applyBorder="1" applyAlignment="1" applyProtection="1">
      <alignment horizontal="center" vertical="center" shrinkToFit="1" readingOrder="2"/>
      <protection locked="0"/>
    </xf>
    <xf numFmtId="2" fontId="10" fillId="0" borderId="45" xfId="1" applyNumberFormat="1" applyFont="1" applyFill="1" applyBorder="1" applyAlignment="1" applyProtection="1">
      <alignment horizontal="center" vertical="center" shrinkToFit="1" readingOrder="2"/>
      <protection locked="0"/>
    </xf>
    <xf numFmtId="49" fontId="91" fillId="0" borderId="39" xfId="1" applyNumberFormat="1" applyFont="1" applyBorder="1" applyAlignment="1" applyProtection="1">
      <alignment horizontal="right" vertical="center" wrapText="1" shrinkToFit="1" readingOrder="2"/>
      <protection locked="0"/>
    </xf>
    <xf numFmtId="49" fontId="91" fillId="0" borderId="37" xfId="1" applyNumberFormat="1" applyFont="1" applyBorder="1" applyAlignment="1" applyProtection="1">
      <alignment horizontal="right" vertical="center" wrapText="1" shrinkToFit="1" readingOrder="2"/>
      <protection locked="0"/>
    </xf>
    <xf numFmtId="49" fontId="91" fillId="0" borderId="38" xfId="1" applyNumberFormat="1" applyFont="1" applyBorder="1" applyAlignment="1" applyProtection="1">
      <alignment horizontal="right" vertical="center" wrapText="1" shrinkToFit="1" readingOrder="2"/>
      <protection locked="0"/>
    </xf>
    <xf numFmtId="0" fontId="2" fillId="16" borderId="18" xfId="1" applyFont="1" applyFill="1" applyBorder="1" applyAlignment="1" applyProtection="1">
      <alignment horizontal="center" vertical="center" wrapText="1" shrinkToFit="1" readingOrder="2"/>
    </xf>
    <xf numFmtId="0" fontId="2" fillId="16" borderId="19" xfId="1" applyFont="1" applyFill="1" applyBorder="1" applyAlignment="1" applyProtection="1">
      <alignment horizontal="center" vertical="center" wrapText="1" shrinkToFit="1" readingOrder="2"/>
    </xf>
    <xf numFmtId="0" fontId="2" fillId="16" borderId="12" xfId="1" applyFont="1" applyFill="1" applyBorder="1" applyAlignment="1" applyProtection="1">
      <alignment horizontal="center" vertical="center" wrapText="1" shrinkToFit="1" readingOrder="2"/>
    </xf>
    <xf numFmtId="0" fontId="2" fillId="16" borderId="13" xfId="1" applyFont="1" applyFill="1" applyBorder="1" applyAlignment="1" applyProtection="1">
      <alignment horizontal="center" vertical="center" wrapText="1" shrinkToFit="1" readingOrder="2"/>
    </xf>
    <xf numFmtId="0" fontId="2" fillId="0" borderId="19" xfId="1" applyFont="1" applyBorder="1" applyAlignment="1" applyProtection="1">
      <alignment horizontal="right" shrinkToFit="1"/>
    </xf>
    <xf numFmtId="0" fontId="2" fillId="0" borderId="20" xfId="1" applyFont="1" applyBorder="1" applyAlignment="1" applyProtection="1">
      <alignment horizontal="right" shrinkToFit="1" readingOrder="2"/>
    </xf>
    <xf numFmtId="49" fontId="10" fillId="0" borderId="13" xfId="1" applyNumberFormat="1" applyFont="1" applyBorder="1" applyAlignment="1" applyProtection="1">
      <alignment horizontal="center" vertical="center" shrinkToFit="1"/>
    </xf>
    <xf numFmtId="0" fontId="10" fillId="0" borderId="13" xfId="1" applyFont="1" applyBorder="1" applyAlignment="1" applyProtection="1">
      <alignment horizontal="center" vertical="center" shrinkToFit="1"/>
    </xf>
    <xf numFmtId="0" fontId="10" fillId="0" borderId="16" xfId="1" applyFont="1" applyBorder="1" applyAlignment="1" applyProtection="1">
      <alignment horizontal="center" vertical="center" shrinkToFit="1"/>
    </xf>
    <xf numFmtId="0" fontId="6" fillId="0" borderId="0" xfId="1" applyFont="1" applyBorder="1" applyAlignment="1" applyProtection="1">
      <alignment horizontal="right" vertical="center" wrapText="1" shrinkToFit="1" readingOrder="2"/>
    </xf>
    <xf numFmtId="0" fontId="6" fillId="0" borderId="0" xfId="1" applyFont="1" applyBorder="1" applyAlignment="1" applyProtection="1">
      <alignment horizontal="center" vertical="center" shrinkToFit="1" readingOrder="2"/>
    </xf>
    <xf numFmtId="0" fontId="15" fillId="0" borderId="2" xfId="1" applyFont="1" applyBorder="1" applyAlignment="1" applyProtection="1">
      <alignment horizontal="center" vertical="center" textRotation="90" shrinkToFit="1" readingOrder="2"/>
    </xf>
    <xf numFmtId="0" fontId="15" fillId="0" borderId="9" xfId="1" applyFont="1" applyBorder="1" applyAlignment="1" applyProtection="1">
      <alignment horizontal="center" vertical="center" textRotation="90" shrinkToFit="1" readingOrder="2"/>
    </xf>
    <xf numFmtId="0" fontId="15" fillId="0" borderId="23"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shrinkToFit="1" readingOrder="2"/>
    </xf>
    <xf numFmtId="0" fontId="15" fillId="0" borderId="25" xfId="1" applyFont="1" applyBorder="1" applyAlignment="1" applyProtection="1">
      <alignment horizontal="center" vertical="center" shrinkToFit="1" readingOrder="2"/>
    </xf>
    <xf numFmtId="0" fontId="15" fillId="0" borderId="13" xfId="1" applyFont="1" applyBorder="1" applyAlignment="1" applyProtection="1">
      <alignment horizontal="center" vertical="center" shrinkToFit="1" readingOrder="2"/>
    </xf>
    <xf numFmtId="0" fontId="15" fillId="0" borderId="26" xfId="1" applyFont="1" applyBorder="1" applyAlignment="1" applyProtection="1">
      <alignment horizontal="center" vertical="center" shrinkToFit="1" readingOrder="2"/>
    </xf>
    <xf numFmtId="0" fontId="15" fillId="0" borderId="4" xfId="1" applyFont="1" applyBorder="1" applyAlignment="1" applyProtection="1">
      <alignment horizontal="center" vertical="center" wrapText="1" shrinkToFit="1" readingOrder="2"/>
    </xf>
    <xf numFmtId="0" fontId="15" fillId="0" borderId="14"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13" xfId="1" applyFont="1" applyBorder="1" applyAlignment="1" applyProtection="1">
      <alignment horizontal="center" vertical="center" wrapText="1" shrinkToFit="1" readingOrder="2"/>
    </xf>
    <xf numFmtId="0" fontId="15" fillId="0" borderId="21" xfId="1" applyFont="1" applyBorder="1" applyAlignment="1" applyProtection="1">
      <alignment horizontal="center" vertical="center" shrinkToFit="1" readingOrder="2"/>
    </xf>
    <xf numFmtId="0" fontId="15" fillId="0" borderId="48" xfId="1" applyFont="1" applyBorder="1" applyAlignment="1" applyProtection="1">
      <alignment horizontal="center" vertical="center" shrinkToFit="1" readingOrder="2"/>
    </xf>
    <xf numFmtId="0" fontId="15" fillId="0" borderId="4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wrapText="1" shrinkToFit="1" readingOrder="2"/>
    </xf>
    <xf numFmtId="0" fontId="15" fillId="0" borderId="26" xfId="1" applyFont="1" applyBorder="1" applyAlignment="1" applyProtection="1">
      <alignment horizontal="center" vertical="center" wrapText="1" shrinkToFit="1" readingOrder="2"/>
    </xf>
    <xf numFmtId="0" fontId="2" fillId="0" borderId="24" xfId="1" applyFont="1" applyBorder="1" applyAlignment="1" applyProtection="1">
      <alignment horizontal="center" vertical="center" wrapText="1" shrinkToFit="1" readingOrder="2"/>
    </xf>
    <xf numFmtId="0" fontId="2" fillId="0" borderId="26" xfId="1" applyFont="1" applyBorder="1" applyAlignment="1" applyProtection="1">
      <alignment horizontal="center" vertical="center" wrapText="1" shrinkToFit="1" readingOrder="2"/>
    </xf>
    <xf numFmtId="49" fontId="91" fillId="0" borderId="23" xfId="1" applyNumberFormat="1" applyFont="1" applyBorder="1" applyAlignment="1" applyProtection="1">
      <alignment horizontal="right" vertical="center" wrapText="1" shrinkToFit="1" readingOrder="2"/>
      <protection locked="0"/>
    </xf>
    <xf numFmtId="49" fontId="91" fillId="0" borderId="19" xfId="1" applyNumberFormat="1" applyFont="1" applyBorder="1" applyAlignment="1" applyProtection="1">
      <alignment horizontal="right" vertical="center" wrapText="1" shrinkToFit="1" readingOrder="2"/>
      <protection locked="0"/>
    </xf>
    <xf numFmtId="49" fontId="91" fillId="0" borderId="24" xfId="1" applyNumberFormat="1" applyFont="1" applyBorder="1" applyAlignment="1" applyProtection="1">
      <alignment horizontal="right" vertical="center" wrapText="1" shrinkToFit="1" readingOrder="2"/>
      <protection locked="0"/>
    </xf>
    <xf numFmtId="0" fontId="23" fillId="13" borderId="61" xfId="0" applyFont="1" applyFill="1" applyBorder="1" applyAlignment="1" applyProtection="1">
      <alignment horizontal="left" vertical="center" shrinkToFit="1" readingOrder="2"/>
      <protection hidden="1"/>
    </xf>
    <xf numFmtId="0" fontId="23" fillId="13" borderId="1" xfId="0" applyFont="1" applyFill="1" applyBorder="1" applyAlignment="1" applyProtection="1">
      <alignment horizontal="left" vertical="center" shrinkToFit="1" readingOrder="2"/>
      <protection hidden="1"/>
    </xf>
    <xf numFmtId="0" fontId="23" fillId="13" borderId="30" xfId="0" applyFont="1" applyFill="1" applyBorder="1" applyAlignment="1" applyProtection="1">
      <alignment horizontal="left" vertical="center" shrinkToFit="1" readingOrder="2"/>
      <protection hidden="1"/>
    </xf>
    <xf numFmtId="49" fontId="92" fillId="0" borderId="39" xfId="1" applyNumberFormat="1" applyFont="1" applyBorder="1" applyAlignment="1" applyProtection="1">
      <alignment horizontal="center" vertical="center" wrapText="1" shrinkToFit="1" readingOrder="2"/>
      <protection locked="0"/>
    </xf>
    <xf numFmtId="49" fontId="92" fillId="0" borderId="38" xfId="1" applyNumberFormat="1" applyFont="1" applyBorder="1" applyAlignment="1" applyProtection="1">
      <alignment horizontal="center" vertical="center" wrapText="1" shrinkToFit="1" readingOrder="2"/>
      <protection locked="0"/>
    </xf>
    <xf numFmtId="0" fontId="2" fillId="0" borderId="18" xfId="1" applyFont="1" applyBorder="1" applyAlignment="1" applyProtection="1">
      <alignment horizontal="center" vertical="center" shrinkToFit="1" readingOrder="2"/>
    </xf>
    <xf numFmtId="0" fontId="2" fillId="0" borderId="19" xfId="1" applyFont="1" applyBorder="1" applyAlignment="1" applyProtection="1">
      <alignment horizontal="center" vertical="center" shrinkToFit="1" readingOrder="2"/>
    </xf>
    <xf numFmtId="0" fontId="2" fillId="0" borderId="20" xfId="1" applyFont="1" applyBorder="1" applyAlignment="1" applyProtection="1">
      <alignment horizontal="center" vertical="center" shrinkToFit="1" readingOrder="2"/>
    </xf>
    <xf numFmtId="49" fontId="2" fillId="0" borderId="12" xfId="1" applyNumberFormat="1" applyFont="1" applyBorder="1" applyAlignment="1" applyProtection="1">
      <alignment horizontal="center" vertical="center" shrinkToFit="1" readingOrder="2"/>
    </xf>
    <xf numFmtId="0" fontId="2" fillId="0" borderId="13" xfId="1" applyNumberFormat="1" applyFont="1" applyBorder="1" applyAlignment="1" applyProtection="1">
      <alignment horizontal="center" vertical="center" shrinkToFit="1" readingOrder="2"/>
    </xf>
    <xf numFmtId="0" fontId="2" fillId="0" borderId="13" xfId="1" applyFont="1" applyBorder="1" applyAlignment="1" applyProtection="1">
      <alignment horizontal="center" vertical="center" shrinkToFit="1" readingOrder="2"/>
    </xf>
    <xf numFmtId="0" fontId="2" fillId="0" borderId="16" xfId="1" applyFont="1" applyBorder="1" applyAlignment="1" applyProtection="1">
      <alignment horizontal="center" vertical="center" shrinkToFit="1" readingOrder="2"/>
    </xf>
    <xf numFmtId="2" fontId="10" fillId="0" borderId="50" xfId="1" applyNumberFormat="1" applyFont="1" applyFill="1" applyBorder="1" applyAlignment="1" applyProtection="1">
      <alignment horizontal="center" vertical="center" shrinkToFit="1" readingOrder="2"/>
      <protection locked="0"/>
    </xf>
    <xf numFmtId="2" fontId="10" fillId="0" borderId="54" xfId="1" applyNumberFormat="1" applyFont="1" applyFill="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shrinkToFit="1" readingOrder="2"/>
      <protection locked="0"/>
    </xf>
    <xf numFmtId="2" fontId="10" fillId="0" borderId="34" xfId="1" applyNumberFormat="1" applyFont="1" applyFill="1" applyBorder="1" applyAlignment="1" applyProtection="1">
      <alignment horizontal="center" vertical="center" shrinkToFit="1" readingOrder="2"/>
      <protection locked="0"/>
    </xf>
    <xf numFmtId="2" fontId="10" fillId="0" borderId="35" xfId="1" applyNumberFormat="1" applyFont="1" applyFill="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horizontal="center" vertical="center" wrapText="1" shrinkToFit="1" readingOrder="2"/>
      <protection locked="0"/>
    </xf>
    <xf numFmtId="0" fontId="15" fillId="0" borderId="66" xfId="0" applyFont="1" applyFill="1" applyBorder="1" applyAlignment="1" applyProtection="1">
      <alignment horizontal="center" vertical="center" shrinkToFit="1" readingOrder="2"/>
    </xf>
    <xf numFmtId="0" fontId="15" fillId="0" borderId="67" xfId="0" applyFont="1" applyFill="1" applyBorder="1" applyAlignment="1" applyProtection="1">
      <alignment horizontal="center" vertical="center" shrinkToFit="1" readingOrder="2"/>
    </xf>
    <xf numFmtId="49" fontId="19" fillId="0" borderId="7" xfId="1" applyNumberFormat="1" applyFont="1" applyBorder="1" applyAlignment="1" applyProtection="1">
      <alignment horizontal="right"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hidden="1"/>
    </xf>
    <xf numFmtId="49" fontId="19" fillId="0" borderId="43" xfId="1" applyNumberFormat="1" applyFont="1" applyBorder="1" applyAlignment="1" applyProtection="1">
      <alignment horizontal="center" vertical="center" wrapText="1" shrinkToFit="1" readingOrder="2"/>
      <protection hidden="1"/>
    </xf>
    <xf numFmtId="49" fontId="19" fillId="0" borderId="59" xfId="1" applyNumberFormat="1" applyFont="1" applyBorder="1" applyAlignment="1" applyProtection="1">
      <alignment horizontal="right" vertical="center" wrapText="1" shrinkToFit="1" readingOrder="2"/>
      <protection locked="0"/>
    </xf>
    <xf numFmtId="49" fontId="19" fillId="0" borderId="0" xfId="1" applyNumberFormat="1" applyFont="1" applyBorder="1" applyAlignment="1" applyProtection="1">
      <alignment horizontal="right" vertical="center" wrapText="1" shrinkToFit="1" readingOrder="2"/>
      <protection locked="0"/>
    </xf>
    <xf numFmtId="49" fontId="19" fillId="0" borderId="60" xfId="1" applyNumberFormat="1" applyFont="1" applyBorder="1" applyAlignment="1" applyProtection="1">
      <alignment horizontal="right" vertical="center" wrapText="1" shrinkToFit="1" readingOrder="2"/>
      <protection locked="0"/>
    </xf>
    <xf numFmtId="49" fontId="19" fillId="0" borderId="50" xfId="1" applyNumberFormat="1" applyFont="1" applyBorder="1" applyAlignment="1" applyProtection="1">
      <alignment horizontal="center" vertical="center" wrapText="1" shrinkToFit="1" readingOrder="2"/>
      <protection hidden="1"/>
    </xf>
    <xf numFmtId="49" fontId="19" fillId="0" borderId="52" xfId="1" applyNumberFormat="1" applyFont="1" applyBorder="1" applyAlignment="1" applyProtection="1">
      <alignment horizontal="center" vertical="center" wrapText="1" shrinkToFit="1" readingOrder="2"/>
      <protection hidden="1"/>
    </xf>
    <xf numFmtId="2" fontId="10" fillId="0" borderId="21" xfId="1" applyNumberFormat="1" applyFont="1" applyFill="1" applyBorder="1" applyAlignment="1" applyProtection="1">
      <alignment horizontal="center" vertical="center" shrinkToFit="1" readingOrder="2"/>
      <protection locked="0"/>
    </xf>
    <xf numFmtId="2" fontId="10" fillId="0" borderId="49" xfId="1" applyNumberFormat="1" applyFont="1" applyFill="1" applyBorder="1" applyAlignment="1" applyProtection="1">
      <alignment horizontal="center" vertical="center" shrinkToFit="1" readingOrder="2"/>
      <protection locked="0"/>
    </xf>
    <xf numFmtId="0" fontId="6" fillId="0" borderId="19" xfId="1" applyFont="1" applyBorder="1" applyAlignment="1" applyProtection="1">
      <alignment horizontal="right" vertical="center" wrapText="1" shrinkToFit="1" readingOrder="2"/>
    </xf>
    <xf numFmtId="49" fontId="19" fillId="0" borderId="23" xfId="1" applyNumberFormat="1" applyFont="1" applyBorder="1" applyAlignment="1" applyProtection="1">
      <alignment horizontal="right" vertical="center" wrapText="1" shrinkToFit="1" readingOrder="2"/>
      <protection locked="0"/>
    </xf>
    <xf numFmtId="49" fontId="19" fillId="0" borderId="19" xfId="1" applyNumberFormat="1" applyFont="1" applyBorder="1" applyAlignment="1" applyProtection="1">
      <alignment horizontal="right" vertical="center" wrapText="1" shrinkToFit="1" readingOrder="2"/>
      <protection locked="0"/>
    </xf>
    <xf numFmtId="49" fontId="19" fillId="0" borderId="24" xfId="1" applyNumberFormat="1" applyFont="1" applyBorder="1" applyAlignment="1" applyProtection="1">
      <alignment horizontal="right" vertical="center" wrapText="1"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24" xfId="1" applyNumberFormat="1" applyFont="1" applyBorder="1" applyAlignment="1" applyProtection="1">
      <alignment horizontal="center" vertical="center" wrapText="1" shrinkToFit="1" readingOrder="2"/>
      <protection hidden="1"/>
    </xf>
    <xf numFmtId="49" fontId="19" fillId="0" borderId="23" xfId="1" applyNumberFormat="1" applyFont="1" applyBorder="1" applyAlignment="1" applyProtection="1">
      <alignment horizontal="center" vertical="center" wrapText="1" shrinkToFit="1" readingOrder="2"/>
      <protection locked="0"/>
    </xf>
    <xf numFmtId="49" fontId="19" fillId="0" borderId="24"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0" fontId="31" fillId="0" borderId="7" xfId="1" applyNumberFormat="1" applyFont="1" applyBorder="1" applyAlignment="1" applyProtection="1">
      <alignment horizontal="center" vertical="center" wrapText="1" shrinkToFit="1" readingOrder="2"/>
      <protection hidden="1"/>
    </xf>
    <xf numFmtId="49" fontId="19" fillId="0" borderId="44" xfId="1" applyNumberFormat="1" applyFont="1" applyBorder="1" applyAlignment="1" applyProtection="1">
      <alignment horizontal="right" vertical="center" wrapText="1" shrinkToFit="1" readingOrder="2"/>
      <protection locked="0"/>
    </xf>
    <xf numFmtId="49" fontId="19" fillId="0" borderId="42" xfId="1" applyNumberFormat="1" applyFont="1" applyBorder="1" applyAlignment="1" applyProtection="1">
      <alignment horizontal="right" vertical="center" wrapText="1" shrinkToFit="1" readingOrder="2"/>
      <protection locked="0"/>
    </xf>
    <xf numFmtId="49" fontId="19" fillId="0" borderId="33" xfId="1" applyNumberFormat="1" applyFont="1" applyBorder="1" applyAlignment="1" applyProtection="1">
      <alignment horizontal="right" vertical="center" wrapText="1" shrinkToFit="1" readingOrder="2"/>
      <protection locked="0"/>
    </xf>
    <xf numFmtId="49" fontId="19" fillId="0" borderId="43" xfId="1" applyNumberFormat="1" applyFont="1" applyBorder="1" applyAlignment="1" applyProtection="1">
      <alignment horizontal="right" vertical="center" wrapText="1" shrinkToFit="1" readingOrder="2"/>
      <protection locked="0"/>
    </xf>
    <xf numFmtId="0" fontId="23" fillId="13" borderId="1" xfId="0" applyFont="1" applyFill="1" applyBorder="1" applyAlignment="1" applyProtection="1">
      <alignment horizontal="center" vertical="center" shrinkToFit="1" readingOrder="2"/>
      <protection hidden="1"/>
    </xf>
    <xf numFmtId="0" fontId="23" fillId="13" borderId="30" xfId="0" applyFont="1" applyFill="1" applyBorder="1" applyAlignment="1" applyProtection="1">
      <alignment horizontal="center" vertical="center" shrinkToFit="1" readingOrder="2"/>
      <protection hidden="1"/>
    </xf>
    <xf numFmtId="0" fontId="15" fillId="0" borderId="47" xfId="1" applyFont="1" applyBorder="1" applyAlignment="1" applyProtection="1">
      <alignment horizontal="center" vertical="center" textRotation="90" shrinkToFit="1" readingOrder="2"/>
    </xf>
    <xf numFmtId="0" fontId="15" fillId="0" borderId="51" xfId="1" applyFont="1" applyBorder="1" applyAlignment="1" applyProtection="1">
      <alignment horizontal="center" vertical="center" textRotation="90" shrinkToFit="1" readingOrder="2"/>
    </xf>
    <xf numFmtId="0" fontId="15" fillId="0" borderId="18" xfId="1" applyFont="1" applyBorder="1" applyAlignment="1" applyProtection="1">
      <alignment horizontal="center" vertical="center" wrapText="1" shrinkToFit="1" readingOrder="2"/>
    </xf>
    <xf numFmtId="0" fontId="15" fillId="0" borderId="12" xfId="1" applyFont="1" applyBorder="1" applyAlignment="1" applyProtection="1">
      <alignment horizontal="center" vertical="center" shrinkToFit="1" readingOrder="2"/>
    </xf>
    <xf numFmtId="0" fontId="31" fillId="0" borderId="19" xfId="1" applyNumberFormat="1" applyFont="1" applyBorder="1" applyAlignment="1" applyProtection="1">
      <alignment horizontal="center" vertical="center" wrapText="1" shrinkToFit="1" readingOrder="2"/>
      <protection hidden="1"/>
    </xf>
    <xf numFmtId="49" fontId="19" fillId="0" borderId="19"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right" vertical="center" wrapText="1" shrinkToFit="1" readingOrder="2"/>
      <protection locked="0"/>
    </xf>
    <xf numFmtId="49" fontId="19" fillId="0" borderId="37" xfId="1" applyNumberFormat="1" applyFont="1" applyBorder="1" applyAlignment="1" applyProtection="1">
      <alignment horizontal="right" vertical="center" wrapText="1" shrinkToFit="1" readingOrder="2"/>
      <protection locked="0"/>
    </xf>
    <xf numFmtId="49" fontId="19" fillId="0" borderId="38" xfId="1" applyNumberFormat="1" applyFont="1" applyBorder="1" applyAlignment="1" applyProtection="1">
      <alignment horizontal="right" vertical="center" wrapText="1" shrinkToFit="1" readingOrder="2"/>
      <protection locked="0"/>
    </xf>
    <xf numFmtId="0" fontId="31" fillId="0" borderId="39" xfId="1" applyNumberFormat="1" applyFont="1" applyBorder="1" applyAlignment="1" applyProtection="1">
      <alignment horizontal="center" vertical="center" wrapText="1" shrinkToFit="1" readingOrder="2"/>
      <protection hidden="1"/>
    </xf>
    <xf numFmtId="0" fontId="31" fillId="0" borderId="37" xfId="1" applyNumberFormat="1" applyFont="1" applyBorder="1" applyAlignment="1" applyProtection="1">
      <alignment horizontal="center" vertical="center" wrapText="1" shrinkToFit="1" readingOrder="2"/>
      <protection hidden="1"/>
    </xf>
    <xf numFmtId="49" fontId="19" fillId="0" borderId="37" xfId="1" applyNumberFormat="1" applyFont="1" applyBorder="1" applyAlignment="1" applyProtection="1">
      <alignment horizontal="center"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42"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3" fillId="13" borderId="62" xfId="0" applyFont="1" applyFill="1" applyBorder="1" applyAlignment="1" applyProtection="1">
      <alignment horizontal="center" vertical="center" shrinkToFit="1" readingOrder="2"/>
      <protection hidden="1"/>
    </xf>
    <xf numFmtId="2" fontId="10" fillId="0" borderId="44" xfId="1" applyNumberFormat="1" applyFont="1" applyFill="1" applyBorder="1" applyAlignment="1" applyProtection="1">
      <alignment horizontal="center" vertical="center" wrapText="1" shrinkToFit="1" readingOrder="2"/>
      <protection locked="0"/>
    </xf>
    <xf numFmtId="2" fontId="10" fillId="0" borderId="45" xfId="1" applyNumberFormat="1" applyFont="1" applyFill="1" applyBorder="1" applyAlignment="1" applyProtection="1">
      <alignment horizontal="center" vertical="center" wrapText="1" shrinkToFit="1" readingOrder="2"/>
      <protection locked="0"/>
    </xf>
    <xf numFmtId="2" fontId="10" fillId="0" borderId="50" xfId="1" applyNumberFormat="1" applyFont="1" applyFill="1" applyBorder="1" applyAlignment="1" applyProtection="1">
      <alignment horizontal="center" vertical="center" wrapText="1" shrinkToFit="1" readingOrder="2"/>
      <protection locked="0"/>
    </xf>
    <xf numFmtId="2" fontId="10" fillId="0" borderId="54" xfId="1" applyNumberFormat="1" applyFont="1" applyFill="1" applyBorder="1" applyAlignment="1" applyProtection="1">
      <alignment horizontal="center" vertical="center" wrapText="1" shrinkToFit="1" readingOrder="2"/>
      <protection locked="0"/>
    </xf>
    <xf numFmtId="0" fontId="15" fillId="0" borderId="53"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0" fontId="15" fillId="0" borderId="50" xfId="1" applyFont="1" applyBorder="1" applyAlignment="1" applyProtection="1">
      <alignment horizontal="center" vertical="center" wrapText="1" shrinkToFit="1" readingOrder="2"/>
    </xf>
    <xf numFmtId="2" fontId="10" fillId="0" borderId="39" xfId="1" applyNumberFormat="1" applyFont="1" applyFill="1" applyBorder="1" applyAlignment="1" applyProtection="1">
      <alignment horizontal="center" vertical="center" wrapText="1" shrinkToFit="1" readingOrder="2"/>
      <protection locked="0"/>
    </xf>
    <xf numFmtId="2" fontId="10" fillId="0" borderId="40" xfId="1" applyNumberFormat="1" applyFont="1" applyFill="1" applyBorder="1" applyAlignment="1" applyProtection="1">
      <alignment horizontal="center" vertical="center" wrapText="1" shrinkToFit="1" readingOrder="2"/>
      <protection locked="0"/>
    </xf>
    <xf numFmtId="0" fontId="15" fillId="0" borderId="66" xfId="0" applyFont="1" applyFill="1" applyBorder="1" applyAlignment="1" applyProtection="1">
      <alignment horizontal="center" vertical="center" wrapText="1" shrinkToFit="1" readingOrder="2"/>
      <protection locked="0"/>
    </xf>
    <xf numFmtId="0" fontId="15" fillId="0" borderId="67" xfId="0" applyFont="1" applyFill="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2" fontId="10" fillId="0" borderId="8" xfId="1" applyNumberFormat="1" applyFont="1" applyFill="1" applyBorder="1" applyAlignment="1" applyProtection="1">
      <alignment horizontal="center" vertical="center" shrinkToFit="1" readingOrder="2"/>
      <protection locked="0"/>
    </xf>
    <xf numFmtId="0" fontId="2" fillId="16" borderId="20" xfId="1" applyFont="1" applyFill="1" applyBorder="1" applyAlignment="1" applyProtection="1">
      <alignment horizontal="center" vertical="center" wrapText="1" shrinkToFit="1" readingOrder="2"/>
    </xf>
    <xf numFmtId="0" fontId="2" fillId="16" borderId="16" xfId="1" applyFont="1" applyFill="1" applyBorder="1" applyAlignment="1" applyProtection="1">
      <alignment horizontal="center" vertical="center" wrapText="1" shrinkToFit="1" readingOrder="2"/>
    </xf>
    <xf numFmtId="49" fontId="10" fillId="0" borderId="16" xfId="1" applyNumberFormat="1" applyFont="1" applyBorder="1" applyAlignment="1" applyProtection="1">
      <alignment horizontal="center" vertical="center" shrinkToFit="1"/>
    </xf>
    <xf numFmtId="0" fontId="6" fillId="0" borderId="1" xfId="1" applyFont="1" applyBorder="1" applyAlignment="1" applyProtection="1">
      <alignment horizontal="right" vertical="center" wrapText="1" shrinkToFit="1" readingOrder="2"/>
    </xf>
    <xf numFmtId="0" fontId="6" fillId="0" borderId="1" xfId="1" applyFont="1" applyBorder="1" applyAlignment="1" applyProtection="1">
      <alignment horizontal="center" vertical="center" shrinkToFit="1" readingOrder="2"/>
    </xf>
    <xf numFmtId="0" fontId="15" fillId="0" borderId="70" xfId="1" applyFont="1" applyBorder="1" applyAlignment="1" applyProtection="1">
      <alignment horizontal="center" vertical="center" textRotation="90" shrinkToFit="1" readingOrder="2"/>
    </xf>
    <xf numFmtId="0" fontId="15" fillId="0" borderId="68" xfId="1" applyFont="1" applyBorder="1" applyAlignment="1" applyProtection="1">
      <alignment horizontal="center" vertical="center" textRotation="90" shrinkToFit="1" readingOrder="2"/>
    </xf>
    <xf numFmtId="0" fontId="15" fillId="0" borderId="21" xfId="1" applyFont="1" applyBorder="1" applyAlignment="1" applyProtection="1">
      <alignment horizontal="center" vertical="center" wrapText="1" shrinkToFit="1" readingOrder="2"/>
    </xf>
    <xf numFmtId="0" fontId="15" fillId="0" borderId="48" xfId="1" applyFont="1" applyBorder="1" applyAlignment="1" applyProtection="1">
      <alignment horizontal="center" vertical="center" wrapText="1" shrinkToFit="1" readingOrder="2"/>
    </xf>
    <xf numFmtId="0" fontId="29" fillId="0" borderId="10" xfId="1" applyFont="1" applyBorder="1" applyAlignment="1" applyProtection="1">
      <alignment horizontal="center" vertical="center" wrapText="1" shrinkToFit="1" readingOrder="2"/>
    </xf>
    <xf numFmtId="0" fontId="29" fillId="0" borderId="10" xfId="1" applyFont="1" applyBorder="1" applyAlignment="1" applyProtection="1">
      <alignment horizontal="right" vertical="center" wrapText="1" shrinkToFit="1" readingOrder="2"/>
    </xf>
    <xf numFmtId="0" fontId="29" fillId="0" borderId="50" xfId="1" applyFont="1" applyBorder="1" applyAlignment="1" applyProtection="1">
      <alignment horizontal="right" vertical="center" wrapText="1" shrinkToFit="1" readingOrder="2"/>
    </xf>
    <xf numFmtId="49" fontId="2" fillId="0" borderId="13" xfId="1" applyNumberFormat="1" applyFont="1" applyBorder="1" applyAlignment="1" applyProtection="1">
      <alignment horizontal="center" vertical="center" shrinkToFit="1" readingOrder="2"/>
    </xf>
    <xf numFmtId="49" fontId="19" fillId="0" borderId="25" xfId="1" applyNumberFormat="1" applyFont="1" applyBorder="1" applyAlignment="1" applyProtection="1">
      <alignment horizontal="center" vertical="center" wrapText="1" shrinkToFit="1" readingOrder="2"/>
      <protection locked="0"/>
    </xf>
    <xf numFmtId="49" fontId="19" fillId="0" borderId="13" xfId="1" applyNumberFormat="1" applyFont="1" applyBorder="1" applyAlignment="1" applyProtection="1">
      <alignment horizontal="center" vertical="center" wrapText="1" shrinkToFit="1" readingOrder="2"/>
      <protection locked="0"/>
    </xf>
    <xf numFmtId="49" fontId="19" fillId="0" borderId="26" xfId="1" applyNumberFormat="1" applyFont="1" applyBorder="1" applyAlignment="1" applyProtection="1">
      <alignment horizontal="center" vertical="center" wrapText="1" shrinkToFit="1" readingOrder="2"/>
      <protection locked="0"/>
    </xf>
    <xf numFmtId="0" fontId="15" fillId="0" borderId="54" xfId="1" applyFont="1" applyBorder="1" applyAlignment="1" applyProtection="1">
      <alignment horizontal="center" vertical="center" wrapText="1" shrinkToFit="1" readingOrder="2"/>
    </xf>
    <xf numFmtId="49" fontId="19" fillId="0" borderId="39" xfId="1" applyNumberFormat="1" applyFont="1" applyBorder="1" applyAlignment="1" applyProtection="1">
      <alignment horizontal="center" vertical="center" wrapText="1" shrinkToFit="1" readingOrder="2"/>
    </xf>
    <xf numFmtId="49" fontId="19" fillId="0" borderId="37" xfId="1" applyNumberFormat="1" applyFont="1" applyBorder="1" applyAlignment="1" applyProtection="1">
      <alignment horizontal="center" vertical="center" wrapText="1" shrinkToFit="1" readingOrder="2"/>
    </xf>
    <xf numFmtId="49" fontId="19" fillId="0" borderId="38" xfId="1" applyNumberFormat="1" applyFont="1" applyBorder="1" applyAlignment="1" applyProtection="1">
      <alignment horizontal="center" vertical="center" wrapText="1" shrinkToFit="1" readingOrder="2"/>
    </xf>
    <xf numFmtId="0" fontId="6" fillId="0" borderId="19" xfId="1" applyFont="1" applyBorder="1" applyAlignment="1" applyProtection="1">
      <alignment horizontal="right" vertical="center" wrapText="1" shrinkToFit="1" readingOrder="2"/>
      <protection locked="0"/>
    </xf>
    <xf numFmtId="0" fontId="6" fillId="0" borderId="0" xfId="1" applyFont="1" applyBorder="1" applyAlignment="1" applyProtection="1">
      <alignment horizontal="right" vertical="center" wrapText="1" shrinkToFit="1" readingOrder="2"/>
      <protection locked="0"/>
    </xf>
    <xf numFmtId="49" fontId="19" fillId="0" borderId="44" xfId="1" applyNumberFormat="1" applyFont="1" applyBorder="1" applyAlignment="1" applyProtection="1">
      <alignment horizontal="center" vertical="center" wrapText="1" shrinkToFit="1" readingOrder="2"/>
    </xf>
    <xf numFmtId="49" fontId="19" fillId="0" borderId="43" xfId="1" applyNumberFormat="1" applyFont="1" applyBorder="1" applyAlignment="1" applyProtection="1">
      <alignment horizontal="center" vertical="center" wrapText="1" shrinkToFit="1" readingOrder="2"/>
    </xf>
    <xf numFmtId="49" fontId="19" fillId="0" borderId="42" xfId="1" applyNumberFormat="1" applyFont="1" applyBorder="1" applyAlignment="1" applyProtection="1">
      <alignment horizontal="center" vertical="center" wrapText="1" shrinkToFit="1" readingOrder="2"/>
    </xf>
    <xf numFmtId="49" fontId="19" fillId="0" borderId="34" xfId="1" applyNumberFormat="1" applyFont="1" applyBorder="1" applyAlignment="1" applyProtection="1">
      <alignment horizontal="center" vertical="center" wrapText="1" shrinkToFit="1" readingOrder="2"/>
      <protection locked="0"/>
    </xf>
    <xf numFmtId="49" fontId="19" fillId="0" borderId="32" xfId="1" applyNumberFormat="1" applyFont="1" applyBorder="1" applyAlignment="1" applyProtection="1">
      <alignment horizontal="center" vertical="center" wrapText="1" shrinkToFit="1" readingOrder="2"/>
      <protection locked="0"/>
    </xf>
    <xf numFmtId="49" fontId="19" fillId="0" borderId="33" xfId="1" applyNumberFormat="1" applyFont="1" applyBorder="1" applyAlignment="1" applyProtection="1">
      <alignment horizontal="center" vertical="center" wrapText="1" shrinkToFit="1" readingOrder="2"/>
      <protection locked="0"/>
    </xf>
    <xf numFmtId="49" fontId="31" fillId="0" borderId="42" xfId="1" applyNumberFormat="1" applyFont="1" applyBorder="1" applyAlignment="1" applyProtection="1">
      <alignment horizontal="center" vertical="center" wrapText="1" shrinkToFit="1" readingOrder="2"/>
      <protection locked="0"/>
    </xf>
    <xf numFmtId="49" fontId="31" fillId="0" borderId="43" xfId="1" applyNumberFormat="1" applyFont="1" applyBorder="1" applyAlignment="1" applyProtection="1">
      <alignment horizontal="center" vertical="center" wrapText="1" shrinkToFit="1" readingOrder="2"/>
      <protection locked="0"/>
    </xf>
    <xf numFmtId="0" fontId="19" fillId="0" borderId="39" xfId="1" applyNumberFormat="1" applyFont="1" applyBorder="1" applyAlignment="1" applyProtection="1">
      <alignment horizontal="center" vertical="center" wrapText="1" shrinkToFit="1" readingOrder="2"/>
      <protection hidden="1"/>
    </xf>
    <xf numFmtId="0" fontId="19" fillId="0" borderId="38" xfId="1" applyNumberFormat="1" applyFont="1" applyBorder="1" applyAlignment="1" applyProtection="1">
      <alignment horizontal="center" vertical="center" wrapText="1" shrinkToFit="1" readingOrder="2"/>
      <protection hidden="1"/>
    </xf>
    <xf numFmtId="49" fontId="31" fillId="0" borderId="32" xfId="1" applyNumberFormat="1" applyFont="1" applyBorder="1" applyAlignment="1" applyProtection="1">
      <alignment horizontal="center" vertical="center" wrapText="1" shrinkToFit="1" readingOrder="2"/>
      <protection locked="0"/>
    </xf>
    <xf numFmtId="49" fontId="31" fillId="0" borderId="33"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horizontal="center" vertical="center" wrapText="1" shrinkToFit="1" readingOrder="2"/>
      <protection hidden="1"/>
    </xf>
    <xf numFmtId="49" fontId="19" fillId="0" borderId="50" xfId="1" applyNumberFormat="1" applyFont="1" applyBorder="1" applyAlignment="1" applyProtection="1">
      <alignment horizontal="center" vertical="center" wrapText="1" shrinkToFit="1" readingOrder="2"/>
      <protection locked="0"/>
    </xf>
    <xf numFmtId="49" fontId="19" fillId="0" borderId="53" xfId="1" applyNumberFormat="1" applyFont="1" applyBorder="1" applyAlignment="1" applyProtection="1">
      <alignment horizontal="center" vertical="center" wrapText="1" shrinkToFit="1" readingOrder="2"/>
      <protection locked="0"/>
    </xf>
    <xf numFmtId="49" fontId="19" fillId="0" borderId="52" xfId="1" applyNumberFormat="1" applyFont="1" applyBorder="1" applyAlignment="1" applyProtection="1">
      <alignment horizontal="center" vertical="center" wrapText="1" shrinkToFit="1" readingOrder="2"/>
      <protection locked="0"/>
    </xf>
    <xf numFmtId="0" fontId="94" fillId="0" borderId="39" xfId="1" applyNumberFormat="1" applyFont="1" applyBorder="1" applyAlignment="1" applyProtection="1">
      <alignment horizontal="center" vertical="center" wrapText="1" shrinkToFit="1" readingOrder="2"/>
      <protection hidden="1"/>
    </xf>
    <xf numFmtId="0" fontId="94" fillId="0" borderId="38" xfId="1" applyNumberFormat="1" applyFont="1" applyBorder="1" applyAlignment="1" applyProtection="1">
      <alignment horizontal="center" vertical="center" wrapText="1" shrinkToFit="1" readingOrder="2"/>
      <protection hidden="1"/>
    </xf>
    <xf numFmtId="49" fontId="19" fillId="0" borderId="57" xfId="1" applyNumberFormat="1" applyFont="1" applyBorder="1" applyAlignment="1" applyProtection="1">
      <alignment horizontal="right" vertical="center" wrapText="1" shrinkToFit="1" readingOrder="2"/>
      <protection locked="0"/>
    </xf>
    <xf numFmtId="0" fontId="2" fillId="0" borderId="0" xfId="1" applyFont="1" applyBorder="1" applyAlignment="1" applyProtection="1">
      <alignment horizontal="right" shrinkToFit="1" readingOrder="2"/>
    </xf>
    <xf numFmtId="0" fontId="15" fillId="0" borderId="64" xfId="1" applyFont="1" applyBorder="1" applyAlignment="1" applyProtection="1">
      <alignment horizontal="center" vertical="center" textRotation="90" shrinkToFit="1" readingOrder="2"/>
    </xf>
    <xf numFmtId="0" fontId="15" fillId="0" borderId="59" xfId="1" applyFont="1" applyBorder="1" applyAlignment="1" applyProtection="1">
      <alignment horizontal="center" vertical="center" wrapText="1" shrinkToFit="1" readingOrder="2"/>
    </xf>
    <xf numFmtId="0" fontId="15" fillId="0" borderId="0" xfId="1" applyFont="1" applyBorder="1" applyAlignment="1" applyProtection="1">
      <alignment horizontal="center" vertical="center" wrapText="1" shrinkToFit="1" readingOrder="2"/>
    </xf>
    <xf numFmtId="0" fontId="15" fillId="0" borderId="60" xfId="1" applyFont="1" applyBorder="1" applyAlignment="1" applyProtection="1">
      <alignment horizontal="center" vertical="center" wrapText="1" shrinkToFit="1" readingOrder="2"/>
    </xf>
    <xf numFmtId="0" fontId="2" fillId="0" borderId="7" xfId="1" applyFont="1" applyBorder="1" applyAlignment="1" applyProtection="1">
      <alignment horizontal="center" vertical="center" wrapText="1" shrinkToFit="1" readingOrder="2"/>
    </xf>
    <xf numFmtId="0" fontId="2" fillId="0" borderId="10" xfId="1" applyFont="1" applyBorder="1" applyAlignment="1" applyProtection="1">
      <alignment horizontal="center" vertical="center" wrapText="1" shrinkToFit="1" readingOrder="2"/>
    </xf>
    <xf numFmtId="0" fontId="15" fillId="0" borderId="3" xfId="1" applyFont="1" applyBorder="1" applyAlignment="1" applyProtection="1">
      <alignment horizontal="center" vertical="center" shrinkToFit="1" readingOrder="2"/>
    </xf>
    <xf numFmtId="0" fontId="15" fillId="0" borderId="5" xfId="1" applyFont="1" applyBorder="1" applyAlignment="1" applyProtection="1">
      <alignment horizontal="center" vertical="center" shrinkToFit="1" readingOrder="2"/>
    </xf>
    <xf numFmtId="0" fontId="2" fillId="0" borderId="7" xfId="1" applyFont="1" applyBorder="1" applyAlignment="1" applyProtection="1">
      <alignment horizontal="center" vertical="center" textRotation="90" wrapText="1" shrinkToFit="1" readingOrder="2"/>
    </xf>
    <xf numFmtId="0" fontId="2" fillId="0" borderId="10" xfId="1" applyFont="1" applyBorder="1" applyAlignment="1" applyProtection="1">
      <alignment horizontal="center" vertical="center" textRotation="90" wrapText="1" shrinkToFit="1" readingOrder="2"/>
    </xf>
    <xf numFmtId="0" fontId="15" fillId="0" borderId="55" xfId="1" applyFont="1" applyBorder="1" applyAlignment="1" applyProtection="1">
      <alignment horizontal="center" vertical="center" wrapText="1" shrinkToFit="1" readingOrder="2"/>
    </xf>
    <xf numFmtId="0" fontId="15" fillId="0" borderId="37" xfId="1" applyFont="1" applyBorder="1" applyAlignment="1" applyProtection="1">
      <alignment horizontal="center" vertical="center" wrapText="1" shrinkToFit="1" readingOrder="2"/>
    </xf>
    <xf numFmtId="0" fontId="15" fillId="0" borderId="38" xfId="1" applyFont="1" applyBorder="1" applyAlignment="1" applyProtection="1">
      <alignment horizontal="center" vertical="center" wrapText="1" shrinkToFit="1" readingOrder="2"/>
    </xf>
    <xf numFmtId="0" fontId="2" fillId="0" borderId="8" xfId="1" applyFont="1" applyBorder="1" applyAlignment="1" applyProtection="1">
      <alignment horizontal="center" vertical="center" wrapText="1" shrinkToFit="1" readingOrder="2"/>
    </xf>
    <xf numFmtId="0" fontId="2" fillId="0" borderId="11" xfId="1" applyFont="1" applyBorder="1" applyAlignment="1" applyProtection="1">
      <alignment horizontal="center" vertical="center" wrapText="1" shrinkToFit="1" readingOrder="2"/>
    </xf>
    <xf numFmtId="0" fontId="2" fillId="0" borderId="12" xfId="1" applyFont="1" applyBorder="1" applyAlignment="1" applyProtection="1">
      <alignment horizontal="center" vertical="center" shrinkToFit="1" readingOrder="2"/>
    </xf>
    <xf numFmtId="0" fontId="37" fillId="0" borderId="6" xfId="1" applyFont="1" applyBorder="1" applyAlignment="1" applyProtection="1">
      <alignment horizontal="center" vertical="center" wrapText="1" readingOrder="2"/>
    </xf>
    <xf numFmtId="0" fontId="37" fillId="0" borderId="7" xfId="1" applyFont="1" applyBorder="1" applyAlignment="1" applyProtection="1">
      <alignment horizontal="center" vertical="center" wrapText="1" readingOrder="2"/>
    </xf>
    <xf numFmtId="0" fontId="37" fillId="0" borderId="9" xfId="1" applyFont="1" applyBorder="1" applyAlignment="1" applyProtection="1">
      <alignment horizontal="center" vertical="center" wrapText="1" readingOrder="2"/>
    </xf>
    <xf numFmtId="0" fontId="37" fillId="0" borderId="10" xfId="1" applyFont="1" applyBorder="1" applyAlignment="1" applyProtection="1">
      <alignment horizontal="center" vertical="center" wrapText="1" readingOrder="2"/>
    </xf>
    <xf numFmtId="0" fontId="6" fillId="0" borderId="13" xfId="1" applyFont="1" applyBorder="1" applyAlignment="1" applyProtection="1">
      <alignment horizontal="center" vertical="center" wrapText="1" shrinkToFit="1" readingOrder="2"/>
    </xf>
    <xf numFmtId="0" fontId="6" fillId="0" borderId="13" xfId="1" applyFont="1" applyBorder="1" applyAlignment="1" applyProtection="1">
      <alignment horizontal="right" vertical="center" wrapText="1" shrinkToFit="1" readingOrder="2"/>
    </xf>
    <xf numFmtId="0" fontId="37" fillId="0" borderId="47" xfId="1" applyFont="1" applyBorder="1" applyAlignment="1" applyProtection="1">
      <alignment horizontal="center" vertical="center" wrapText="1" readingOrder="2"/>
    </xf>
    <xf numFmtId="0" fontId="37" fillId="0" borderId="48" xfId="1" applyFont="1" applyBorder="1" applyAlignment="1" applyProtection="1">
      <alignment horizontal="center" vertical="center" wrapText="1" readingOrder="2"/>
    </xf>
    <xf numFmtId="0" fontId="37" fillId="0" borderId="22" xfId="1" applyFont="1" applyBorder="1" applyAlignment="1" applyProtection="1">
      <alignment horizontal="center" vertical="center" wrapText="1" readingOrder="2"/>
    </xf>
    <xf numFmtId="0" fontId="37" fillId="0" borderId="3" xfId="1" applyFont="1" applyBorder="1" applyAlignment="1" applyProtection="1">
      <alignment horizontal="center" vertical="center" wrapText="1" readingOrder="2"/>
    </xf>
    <xf numFmtId="0" fontId="37" fillId="0" borderId="5" xfId="1" applyFont="1" applyBorder="1" applyAlignment="1" applyProtection="1">
      <alignment horizontal="center" vertical="center" wrapText="1" readingOrder="2"/>
    </xf>
    <xf numFmtId="0" fontId="37" fillId="0" borderId="8" xfId="1" applyFont="1" applyBorder="1" applyAlignment="1" applyProtection="1">
      <alignment horizontal="center" vertical="center" wrapText="1" readingOrder="2"/>
    </xf>
    <xf numFmtId="0" fontId="37" fillId="0" borderId="11" xfId="1" applyFont="1" applyBorder="1" applyAlignment="1" applyProtection="1">
      <alignment horizontal="center" vertical="center" wrapText="1" readingOrder="2"/>
    </xf>
    <xf numFmtId="0" fontId="38" fillId="0" borderId="7" xfId="1" applyFont="1" applyBorder="1" applyAlignment="1" applyProtection="1">
      <alignment horizontal="center" vertical="center" textRotation="90" wrapText="1" readingOrder="2"/>
    </xf>
    <xf numFmtId="0" fontId="38" fillId="0" borderId="10" xfId="1" applyFont="1" applyBorder="1" applyAlignment="1" applyProtection="1">
      <alignment horizontal="center" vertical="center" textRotation="90" wrapText="1" readingOrder="2"/>
    </xf>
    <xf numFmtId="2" fontId="10" fillId="0" borderId="27" xfId="1" applyNumberFormat="1" applyFont="1" applyBorder="1" applyAlignment="1" applyProtection="1">
      <alignment horizontal="center" vertical="center" wrapText="1" readingOrder="2"/>
    </xf>
    <xf numFmtId="2" fontId="10" fillId="0" borderId="7" xfId="1" applyNumberFormat="1" applyFont="1" applyBorder="1" applyAlignment="1" applyProtection="1">
      <alignment horizontal="center" vertical="center" wrapText="1" readingOrder="2"/>
    </xf>
    <xf numFmtId="2" fontId="10" fillId="0" borderId="57" xfId="1" applyNumberFormat="1" applyFont="1" applyBorder="1" applyAlignment="1" applyProtection="1">
      <alignment horizontal="center" vertical="center" wrapText="1" readingOrder="2"/>
    </xf>
    <xf numFmtId="0" fontId="37" fillId="0" borderId="27" xfId="1" applyFont="1" applyBorder="1" applyAlignment="1" applyProtection="1">
      <alignment horizontal="center" vertical="center" wrapText="1" readingOrder="2"/>
    </xf>
    <xf numFmtId="0" fontId="37" fillId="0" borderId="57" xfId="1" applyFont="1" applyBorder="1" applyAlignment="1" applyProtection="1">
      <alignment horizontal="center" vertical="center" wrapText="1" readingOrder="2"/>
    </xf>
    <xf numFmtId="0" fontId="37" fillId="0" borderId="39" xfId="1" applyFont="1" applyBorder="1" applyAlignment="1" applyProtection="1">
      <alignment horizontal="center" vertical="center" wrapText="1" readingOrder="2"/>
    </xf>
    <xf numFmtId="0" fontId="37" fillId="0" borderId="44" xfId="1" applyFont="1" applyBorder="1" applyAlignment="1" applyProtection="1">
      <alignment horizontal="center" vertical="center" wrapText="1" readingOrder="2"/>
    </xf>
    <xf numFmtId="0" fontId="37" fillId="0" borderId="34" xfId="1" applyFont="1" applyBorder="1" applyAlignment="1" applyProtection="1">
      <alignment horizontal="center" vertical="center" wrapText="1" readingOrder="2"/>
    </xf>
    <xf numFmtId="2" fontId="30" fillId="0" borderId="27" xfId="1" applyNumberFormat="1" applyFont="1" applyBorder="1" applyAlignment="1" applyProtection="1">
      <alignment horizontal="center" vertical="center" wrapText="1" shrinkToFit="1" readingOrder="2"/>
    </xf>
    <xf numFmtId="2" fontId="30" fillId="0" borderId="7" xfId="1" applyNumberFormat="1" applyFont="1" applyBorder="1" applyAlignment="1" applyProtection="1">
      <alignment horizontal="center" vertical="center" wrapText="1" shrinkToFit="1" readingOrder="2"/>
    </xf>
    <xf numFmtId="2" fontId="30" fillId="0" borderId="57" xfId="1" applyNumberFormat="1" applyFont="1" applyBorder="1" applyAlignment="1" applyProtection="1">
      <alignment horizontal="center" vertical="center" wrapText="1" shrinkToFit="1" readingOrder="2"/>
    </xf>
    <xf numFmtId="0" fontId="37" fillId="0" borderId="55" xfId="1" applyFont="1" applyBorder="1" applyAlignment="1" applyProtection="1">
      <alignment horizontal="center" vertical="center" wrapText="1" readingOrder="2"/>
    </xf>
    <xf numFmtId="0" fontId="2" fillId="0" borderId="0" xfId="1" applyFont="1" applyBorder="1" applyAlignment="1" applyProtection="1">
      <alignment horizontal="right" vertical="top" wrapText="1" readingOrder="2"/>
    </xf>
    <xf numFmtId="0" fontId="2" fillId="0" borderId="18" xfId="1" applyFont="1" applyBorder="1" applyAlignment="1" applyProtection="1">
      <alignment horizontal="left" vertical="center" shrinkToFit="1" readingOrder="2"/>
    </xf>
    <xf numFmtId="0" fontId="2" fillId="0" borderId="19" xfId="1" applyFont="1" applyBorder="1" applyAlignment="1" applyProtection="1">
      <alignment horizontal="left" vertical="center" shrinkToFit="1" readingOrder="2"/>
    </xf>
    <xf numFmtId="49" fontId="2" fillId="0" borderId="19" xfId="1" applyNumberFormat="1" applyFont="1" applyBorder="1" applyAlignment="1" applyProtection="1">
      <alignment horizontal="right" vertical="center" shrinkToFit="1" readingOrder="2"/>
    </xf>
    <xf numFmtId="0" fontId="2" fillId="0" borderId="19" xfId="1" applyNumberFormat="1" applyFont="1" applyBorder="1" applyAlignment="1" applyProtection="1">
      <alignment horizontal="right" vertical="center" shrinkToFit="1" readingOrder="2"/>
    </xf>
    <xf numFmtId="0" fontId="37" fillId="0" borderId="59" xfId="1" applyFont="1" applyBorder="1" applyAlignment="1" applyProtection="1">
      <alignment horizontal="center" vertical="center" wrapText="1" readingOrder="2"/>
    </xf>
    <xf numFmtId="0" fontId="37" fillId="0" borderId="0" xfId="1" applyFont="1" applyBorder="1" applyAlignment="1" applyProtection="1">
      <alignment horizontal="center" vertical="center" wrapText="1" readingOrder="2"/>
    </xf>
    <xf numFmtId="0" fontId="37" fillId="0" borderId="46" xfId="1" applyFont="1" applyBorder="1" applyAlignment="1" applyProtection="1">
      <alignment horizontal="center" vertical="center" wrapText="1" readingOrder="2"/>
    </xf>
    <xf numFmtId="0" fontId="2" fillId="0" borderId="19" xfId="1" applyFont="1" applyBorder="1" applyAlignment="1" applyProtection="1">
      <alignment horizontal="right" vertical="center" shrinkToFit="1" readingOrder="2"/>
    </xf>
    <xf numFmtId="0" fontId="2" fillId="0" borderId="20" xfId="1" applyFont="1" applyBorder="1" applyAlignment="1" applyProtection="1">
      <alignment horizontal="right" vertical="center" shrinkToFit="1" readingOrder="2"/>
    </xf>
    <xf numFmtId="0" fontId="37" fillId="0" borderId="28" xfId="1" applyNumberFormat="1" applyFont="1" applyBorder="1" applyAlignment="1" applyProtection="1">
      <alignment horizontal="center" vertical="center" wrapText="1" readingOrder="2"/>
    </xf>
    <xf numFmtId="0" fontId="37" fillId="0" borderId="27" xfId="1" applyNumberFormat="1" applyFont="1" applyBorder="1" applyAlignment="1" applyProtection="1">
      <alignment horizontal="center" vertical="center" wrapText="1" readingOrder="2"/>
    </xf>
    <xf numFmtId="0" fontId="37" fillId="0" borderId="6" xfId="1" applyNumberFormat="1" applyFont="1" applyBorder="1" applyAlignment="1" applyProtection="1">
      <alignment horizontal="center" vertical="center" wrapText="1" readingOrder="2"/>
    </xf>
    <xf numFmtId="0" fontId="37" fillId="0" borderId="7" xfId="1" applyNumberFormat="1" applyFont="1" applyBorder="1" applyAlignment="1" applyProtection="1">
      <alignment horizontal="center" vertical="center" wrapText="1" readingOrder="2"/>
    </xf>
    <xf numFmtId="2" fontId="37" fillId="0" borderId="31" xfId="1" applyNumberFormat="1" applyFont="1" applyBorder="1" applyAlignment="1" applyProtection="1">
      <alignment horizontal="center" vertical="center" wrapText="1" readingOrder="2"/>
    </xf>
    <xf numFmtId="2" fontId="37" fillId="0" borderId="32" xfId="1" applyNumberFormat="1" applyFont="1" applyBorder="1" applyAlignment="1" applyProtection="1">
      <alignment horizontal="center" vertical="center" wrapText="1" readingOrder="2"/>
    </xf>
    <xf numFmtId="2" fontId="37" fillId="0" borderId="33" xfId="1" applyNumberFormat="1" applyFont="1" applyBorder="1" applyAlignment="1" applyProtection="1">
      <alignment horizontal="center" vertical="center" wrapText="1" readingOrder="2"/>
    </xf>
    <xf numFmtId="2" fontId="39" fillId="0" borderId="31" xfId="1" applyNumberFormat="1" applyFont="1" applyBorder="1" applyAlignment="1" applyProtection="1">
      <alignment horizontal="center" vertical="center" wrapText="1" readingOrder="2"/>
      <protection locked="0"/>
    </xf>
    <xf numFmtId="2" fontId="39" fillId="0" borderId="33" xfId="1" applyNumberFormat="1" applyFont="1" applyBorder="1" applyAlignment="1" applyProtection="1">
      <alignment horizontal="center" vertical="center" wrapText="1" readingOrder="2"/>
      <protection locked="0"/>
    </xf>
    <xf numFmtId="0" fontId="23" fillId="13" borderId="18" xfId="1" applyFont="1" applyFill="1" applyBorder="1" applyAlignment="1" applyProtection="1">
      <alignment horizontal="left" vertical="center" wrapText="1" readingOrder="2"/>
    </xf>
    <xf numFmtId="0" fontId="23" fillId="13" borderId="19" xfId="1" applyFont="1" applyFill="1" applyBorder="1" applyAlignment="1" applyProtection="1">
      <alignment horizontal="left" vertical="center" wrapText="1" readingOrder="2"/>
    </xf>
    <xf numFmtId="2" fontId="14" fillId="14" borderId="19" xfId="1" applyNumberFormat="1" applyFont="1" applyFill="1" applyBorder="1" applyAlignment="1" applyProtection="1">
      <alignment horizontal="right" vertical="center" shrinkToFit="1" readingOrder="2"/>
    </xf>
    <xf numFmtId="2" fontId="14" fillId="14" borderId="20" xfId="1" applyNumberFormat="1" applyFont="1" applyFill="1" applyBorder="1" applyAlignment="1" applyProtection="1">
      <alignment horizontal="right" vertical="center" shrinkToFit="1" readingOrder="2"/>
    </xf>
    <xf numFmtId="0" fontId="40" fillId="0" borderId="59" xfId="1" applyFont="1" applyBorder="1" applyAlignment="1" applyProtection="1">
      <alignment horizontal="center" vertical="center" wrapText="1" readingOrder="2"/>
    </xf>
    <xf numFmtId="0" fontId="40" fillId="0" borderId="0" xfId="1" applyFont="1" applyBorder="1" applyAlignment="1" applyProtection="1">
      <alignment horizontal="center" vertical="center" wrapText="1" readingOrder="2"/>
    </xf>
    <xf numFmtId="0" fontId="40" fillId="0" borderId="46" xfId="1" applyFont="1" applyBorder="1" applyAlignment="1" applyProtection="1">
      <alignment horizontal="center" vertical="center" wrapText="1" readingOrder="2"/>
    </xf>
    <xf numFmtId="0" fontId="40" fillId="0" borderId="25" xfId="1" applyFont="1" applyBorder="1" applyAlignment="1" applyProtection="1">
      <alignment horizontal="center" vertical="center" wrapText="1" readingOrder="2"/>
    </xf>
    <xf numFmtId="0" fontId="40" fillId="0" borderId="13" xfId="1" applyFont="1" applyBorder="1" applyAlignment="1" applyProtection="1">
      <alignment horizontal="center" vertical="center" wrapText="1" readingOrder="2"/>
    </xf>
    <xf numFmtId="0" fontId="40" fillId="0" borderId="16" xfId="1" applyFont="1" applyBorder="1" applyAlignment="1" applyProtection="1">
      <alignment horizontal="center" vertical="center" wrapText="1" readingOrder="2"/>
    </xf>
    <xf numFmtId="0" fontId="23" fillId="13" borderId="69" xfId="1" applyFont="1" applyFill="1" applyBorder="1" applyAlignment="1" applyProtection="1">
      <alignment horizontal="left" vertical="center" wrapText="1" readingOrder="2"/>
    </xf>
    <xf numFmtId="0" fontId="23" fillId="13" borderId="62" xfId="1" applyFont="1" applyFill="1" applyBorder="1" applyAlignment="1" applyProtection="1">
      <alignment horizontal="left" vertical="center" wrapText="1" readingOrder="2"/>
    </xf>
    <xf numFmtId="2" fontId="30" fillId="0" borderId="27" xfId="1" applyNumberFormat="1" applyFont="1" applyBorder="1" applyAlignment="1" applyProtection="1">
      <alignment horizontal="center" vertical="center" wrapText="1" readingOrder="1"/>
    </xf>
    <xf numFmtId="2" fontId="30" fillId="0" borderId="7" xfId="1" applyNumberFormat="1" applyFont="1" applyBorder="1" applyAlignment="1" applyProtection="1">
      <alignment horizontal="center" vertical="center" wrapText="1" readingOrder="1"/>
    </xf>
    <xf numFmtId="2" fontId="30" fillId="0" borderId="57" xfId="1" applyNumberFormat="1" applyFont="1" applyBorder="1" applyAlignment="1" applyProtection="1">
      <alignment horizontal="center" vertical="center" wrapText="1" readingOrder="1"/>
    </xf>
    <xf numFmtId="2" fontId="23" fillId="13" borderId="55" xfId="1" applyNumberFormat="1" applyFont="1" applyFill="1" applyBorder="1" applyAlignment="1" applyProtection="1">
      <alignment horizontal="center" vertical="center" wrapText="1" readingOrder="2"/>
    </xf>
    <xf numFmtId="2" fontId="23" fillId="13" borderId="14" xfId="1" applyNumberFormat="1" applyFont="1" applyFill="1" applyBorder="1" applyAlignment="1" applyProtection="1">
      <alignment horizontal="center" vertical="center" wrapText="1" readingOrder="2"/>
    </xf>
    <xf numFmtId="2" fontId="14" fillId="13" borderId="55" xfId="1" applyNumberFormat="1" applyFont="1" applyFill="1" applyBorder="1" applyAlignment="1" applyProtection="1">
      <alignment horizontal="center" vertical="center" wrapText="1" readingOrder="1"/>
    </xf>
    <xf numFmtId="2" fontId="14" fillId="13" borderId="14" xfId="1" applyNumberFormat="1" applyFont="1" applyFill="1" applyBorder="1" applyAlignment="1" applyProtection="1">
      <alignment horizontal="center" vertical="center" wrapText="1" readingOrder="1"/>
    </xf>
    <xf numFmtId="0" fontId="40" fillId="0" borderId="3" xfId="1" applyFont="1" applyBorder="1" applyAlignment="1" applyProtection="1">
      <alignment horizontal="center" vertical="center" wrapText="1" readingOrder="2"/>
    </xf>
    <xf numFmtId="0" fontId="40" fillId="0" borderId="5" xfId="1" applyFont="1" applyBorder="1" applyAlignment="1" applyProtection="1">
      <alignment horizontal="center" vertical="center" wrapText="1" readingOrder="2"/>
    </xf>
    <xf numFmtId="0" fontId="40" fillId="0" borderId="10" xfId="1" applyFont="1" applyBorder="1" applyAlignment="1" applyProtection="1">
      <alignment horizontal="center" vertical="center" wrapText="1" readingOrder="2"/>
    </xf>
    <xf numFmtId="0" fontId="40" fillId="0" borderId="11" xfId="1" applyFont="1" applyBorder="1" applyAlignment="1" applyProtection="1">
      <alignment horizontal="center" vertical="center" wrapText="1" readingOrder="2"/>
    </xf>
    <xf numFmtId="0" fontId="41" fillId="0" borderId="70" xfId="1" applyFont="1" applyBorder="1" applyAlignment="1" applyProtection="1">
      <alignment horizontal="center" vertical="center" textRotation="90" wrapText="1" readingOrder="2"/>
    </xf>
    <xf numFmtId="0" fontId="1" fillId="0" borderId="68" xfId="1" applyBorder="1" applyProtection="1"/>
    <xf numFmtId="0" fontId="15" fillId="0" borderId="44" xfId="1" applyFont="1" applyBorder="1" applyAlignment="1" applyProtection="1">
      <alignment horizontal="center" vertical="center" shrinkToFit="1"/>
    </xf>
    <xf numFmtId="0" fontId="15" fillId="0" borderId="43" xfId="1" applyFont="1" applyBorder="1" applyAlignment="1" applyProtection="1">
      <alignment horizontal="center" vertical="center" shrinkToFit="1"/>
    </xf>
    <xf numFmtId="0" fontId="15" fillId="0" borderId="44" xfId="1" applyFont="1" applyBorder="1" applyAlignment="1" applyProtection="1">
      <alignment horizontal="center" vertical="center" shrinkToFit="1"/>
      <protection locked="0"/>
    </xf>
    <xf numFmtId="0" fontId="15" fillId="0" borderId="43" xfId="1" applyFont="1" applyBorder="1" applyAlignment="1" applyProtection="1">
      <alignment horizontal="center" vertical="center" shrinkToFit="1"/>
      <protection locked="0"/>
    </xf>
    <xf numFmtId="0" fontId="15" fillId="0" borderId="21" xfId="1" applyFont="1" applyBorder="1" applyAlignment="1" applyProtection="1">
      <alignment horizontal="center" vertical="center" shrinkToFit="1"/>
      <protection locked="0"/>
    </xf>
    <xf numFmtId="0" fontId="15" fillId="0" borderId="22" xfId="1" applyFont="1" applyBorder="1" applyAlignment="1" applyProtection="1">
      <alignment horizontal="center" vertical="center" shrinkToFit="1"/>
      <protection locked="0"/>
    </xf>
    <xf numFmtId="0" fontId="15" fillId="0" borderId="34" xfId="1" applyFont="1" applyBorder="1" applyAlignment="1" applyProtection="1">
      <alignment horizontal="center" vertical="center" shrinkToFit="1"/>
    </xf>
    <xf numFmtId="0" fontId="15" fillId="0" borderId="33" xfId="1" applyFont="1" applyBorder="1" applyAlignment="1" applyProtection="1">
      <alignment horizontal="center" vertical="center" shrinkToFit="1"/>
    </xf>
    <xf numFmtId="0" fontId="15" fillId="0" borderId="34" xfId="1" applyFont="1" applyBorder="1" applyAlignment="1" applyProtection="1">
      <alignment horizontal="center" vertical="center" shrinkToFit="1"/>
      <protection locked="0"/>
    </xf>
    <xf numFmtId="0" fontId="15" fillId="0" borderId="33" xfId="1" applyFont="1" applyBorder="1" applyAlignment="1" applyProtection="1">
      <alignment horizontal="center" vertical="center" shrinkToFit="1"/>
      <protection locked="0"/>
    </xf>
    <xf numFmtId="0" fontId="30" fillId="14" borderId="61" xfId="1" applyFont="1" applyFill="1" applyBorder="1" applyAlignment="1" applyProtection="1">
      <alignment horizontal="left" vertical="center" shrinkToFit="1"/>
    </xf>
    <xf numFmtId="0" fontId="30" fillId="14" borderId="1" xfId="1" applyFont="1" applyFill="1" applyBorder="1" applyAlignment="1" applyProtection="1">
      <alignment horizontal="left" vertical="center" shrinkToFit="1"/>
    </xf>
    <xf numFmtId="0" fontId="30" fillId="14" borderId="1" xfId="1" applyFont="1" applyFill="1" applyBorder="1" applyAlignment="1" applyProtection="1">
      <alignment horizontal="center" vertical="center" shrinkToFit="1"/>
    </xf>
    <xf numFmtId="0" fontId="30" fillId="14" borderId="30" xfId="1" applyFont="1" applyFill="1" applyBorder="1" applyAlignment="1" applyProtection="1">
      <alignment horizontal="center" vertical="center" shrinkToFit="1"/>
    </xf>
    <xf numFmtId="0" fontId="15" fillId="0" borderId="21" xfId="1" applyFont="1" applyFill="1" applyBorder="1" applyAlignment="1" applyProtection="1">
      <alignment horizontal="center" vertical="center" shrinkToFit="1"/>
      <protection locked="0"/>
    </xf>
    <xf numFmtId="0" fontId="15" fillId="0" borderId="22" xfId="1" applyFont="1" applyFill="1" applyBorder="1" applyAlignment="1" applyProtection="1">
      <alignment horizontal="center" vertical="center" shrinkToFit="1"/>
      <protection locked="0"/>
    </xf>
    <xf numFmtId="49" fontId="19" fillId="0" borderId="27" xfId="1" applyNumberFormat="1" applyFont="1" applyBorder="1" applyAlignment="1" applyProtection="1">
      <alignment horizontal="center" vertical="center" shrinkToFit="1" readingOrder="2"/>
      <protection locked="0"/>
    </xf>
    <xf numFmtId="0" fontId="30" fillId="14" borderId="18" xfId="1" applyFont="1" applyFill="1" applyBorder="1" applyAlignment="1" applyProtection="1">
      <alignment horizontal="left" vertical="center" shrinkToFit="1"/>
    </xf>
    <xf numFmtId="0" fontId="30" fillId="14" borderId="19" xfId="1" applyFont="1" applyFill="1" applyBorder="1" applyAlignment="1" applyProtection="1">
      <alignment horizontal="left" vertical="center" shrinkToFit="1"/>
    </xf>
    <xf numFmtId="0" fontId="23" fillId="13" borderId="61" xfId="1" applyNumberFormat="1" applyFont="1" applyFill="1" applyBorder="1" applyAlignment="1" applyProtection="1">
      <alignment horizontal="left" vertical="center" shrinkToFit="1" readingOrder="2"/>
    </xf>
    <xf numFmtId="0" fontId="23" fillId="13" borderId="1" xfId="1" applyNumberFormat="1" applyFont="1" applyFill="1" applyBorder="1" applyAlignment="1" applyProtection="1">
      <alignment horizontal="left" vertical="center" shrinkToFit="1" readingOrder="2"/>
    </xf>
    <xf numFmtId="0" fontId="6" fillId="0" borderId="0" xfId="1" applyFont="1" applyBorder="1" applyAlignment="1" applyProtection="1">
      <alignment horizontal="center" vertical="center" wrapText="1" shrinkToFit="1" readingOrder="2"/>
    </xf>
    <xf numFmtId="0" fontId="2" fillId="0" borderId="66" xfId="1" applyFont="1" applyFill="1" applyBorder="1" applyAlignment="1" applyProtection="1">
      <alignment horizontal="center" vertical="center" wrapText="1" shrinkToFit="1"/>
    </xf>
    <xf numFmtId="0" fontId="2" fillId="0" borderId="30" xfId="1" applyFont="1" applyFill="1" applyBorder="1" applyAlignment="1" applyProtection="1">
      <alignment horizontal="center" vertical="center" wrapText="1" shrinkToFit="1"/>
    </xf>
    <xf numFmtId="0" fontId="15" fillId="0" borderId="27" xfId="1" applyFont="1" applyFill="1" applyBorder="1" applyAlignment="1" applyProtection="1">
      <alignment horizontal="center" vertical="center" shrinkToFit="1"/>
      <protection locked="0"/>
    </xf>
    <xf numFmtId="49" fontId="13" fillId="0" borderId="13" xfId="1" applyNumberFormat="1" applyFont="1" applyBorder="1" applyAlignment="1" applyProtection="1">
      <alignment horizontal="center" vertical="center" shrinkToFit="1" readingOrder="2"/>
    </xf>
    <xf numFmtId="0" fontId="13" fillId="0" borderId="13" xfId="1" applyFont="1" applyBorder="1" applyAlignment="1" applyProtection="1">
      <alignment horizontal="center" vertical="center" shrinkToFit="1" readingOrder="2"/>
    </xf>
    <xf numFmtId="0" fontId="13" fillId="0" borderId="16" xfId="1" applyFont="1" applyBorder="1" applyAlignment="1" applyProtection="1">
      <alignment horizontal="center" vertical="center" shrinkToFit="1" readingOrder="2"/>
    </xf>
    <xf numFmtId="0" fontId="2" fillId="0" borderId="66" xfId="1" applyFont="1" applyBorder="1" applyAlignment="1" applyProtection="1">
      <alignment horizontal="center" vertical="center" shrinkToFit="1"/>
    </xf>
    <xf numFmtId="0" fontId="2" fillId="0" borderId="30" xfId="1" applyFont="1" applyBorder="1" applyAlignment="1" applyProtection="1">
      <alignment horizontal="center" vertical="center" shrinkToFit="1"/>
    </xf>
    <xf numFmtId="0" fontId="15" fillId="0" borderId="27" xfId="1" applyFont="1" applyBorder="1" applyAlignment="1" applyProtection="1">
      <alignment horizontal="center" vertical="center" shrinkToFit="1"/>
      <protection locked="0"/>
    </xf>
    <xf numFmtId="0" fontId="23" fillId="19" borderId="1" xfId="1" applyNumberFormat="1" applyFont="1" applyFill="1" applyBorder="1" applyAlignment="1" applyProtection="1">
      <alignment horizontal="center" vertical="center" shrinkToFit="1" readingOrder="2"/>
    </xf>
    <xf numFmtId="0" fontId="23" fillId="19" borderId="30" xfId="1" applyNumberFormat="1" applyFont="1" applyFill="1" applyBorder="1" applyAlignment="1" applyProtection="1">
      <alignment horizontal="center" vertical="center" shrinkToFit="1" readingOrder="2"/>
    </xf>
    <xf numFmtId="0" fontId="30" fillId="14" borderId="19" xfId="1" applyFont="1" applyFill="1" applyBorder="1" applyAlignment="1" applyProtection="1">
      <alignment horizontal="center" vertical="center" shrinkToFit="1"/>
    </xf>
    <xf numFmtId="0" fontId="30" fillId="14" borderId="24" xfId="1" applyFont="1" applyFill="1" applyBorder="1" applyAlignment="1" applyProtection="1">
      <alignment horizontal="center" vertical="center" shrinkToFit="1"/>
    </xf>
    <xf numFmtId="49" fontId="19" fillId="0" borderId="44" xfId="1" applyNumberFormat="1" applyFont="1" applyBorder="1" applyAlignment="1" applyProtection="1">
      <alignment horizontal="center" vertical="center" wrapText="1" readingOrder="2"/>
      <protection locked="0"/>
    </xf>
    <xf numFmtId="49" fontId="19" fillId="0" borderId="42" xfId="1" applyNumberFormat="1" applyFont="1" applyBorder="1" applyAlignment="1" applyProtection="1">
      <alignment horizontal="center" vertical="center" wrapText="1" readingOrder="2"/>
      <protection locked="0"/>
    </xf>
    <xf numFmtId="49" fontId="19" fillId="0" borderId="43" xfId="1" applyNumberFormat="1" applyFont="1" applyBorder="1" applyAlignment="1" applyProtection="1">
      <alignment horizontal="center" vertical="center" wrapText="1" readingOrder="2"/>
      <protection locked="0"/>
    </xf>
    <xf numFmtId="49" fontId="19" fillId="0" borderId="44" xfId="1" applyNumberFormat="1" applyFont="1" applyBorder="1" applyAlignment="1" applyProtection="1">
      <alignment horizontal="center" vertical="center" wrapText="1"/>
      <protection locked="0"/>
    </xf>
    <xf numFmtId="49" fontId="19" fillId="0" borderId="42" xfId="1" applyNumberFormat="1" applyFont="1" applyBorder="1" applyAlignment="1" applyProtection="1">
      <alignment horizontal="center" vertical="center" wrapText="1"/>
      <protection locked="0"/>
    </xf>
    <xf numFmtId="49" fontId="19" fillId="0" borderId="43" xfId="1" applyNumberFormat="1" applyFont="1" applyBorder="1" applyAlignment="1" applyProtection="1">
      <alignment horizontal="center" vertical="center" wrapText="1"/>
      <protection locked="0"/>
    </xf>
    <xf numFmtId="0" fontId="2" fillId="0" borderId="0" xfId="1" applyFont="1" applyBorder="1" applyAlignment="1" applyProtection="1">
      <alignment horizontal="right" vertical="center" shrinkToFit="1" readingOrder="2"/>
    </xf>
    <xf numFmtId="0" fontId="2" fillId="0" borderId="46" xfId="1" applyFont="1" applyBorder="1" applyAlignment="1" applyProtection="1">
      <alignment horizontal="right" vertical="center" shrinkToFit="1" readingOrder="2"/>
    </xf>
    <xf numFmtId="0" fontId="15" fillId="0" borderId="22" xfId="1" applyFont="1" applyBorder="1" applyAlignment="1" applyProtection="1">
      <alignment horizontal="center" vertical="center" wrapText="1" shrinkToFit="1" readingOrder="2"/>
    </xf>
    <xf numFmtId="0" fontId="23" fillId="13" borderId="61" xfId="0" applyFont="1" applyFill="1" applyBorder="1" applyAlignment="1" applyProtection="1">
      <alignment horizontal="left" vertical="center" shrinkToFit="1" readingOrder="2"/>
    </xf>
    <xf numFmtId="0" fontId="23" fillId="13" borderId="1" xfId="0" applyFont="1" applyFill="1" applyBorder="1" applyAlignment="1" applyProtection="1">
      <alignment horizontal="left" vertical="center" shrinkToFit="1" readingOrder="2"/>
    </xf>
    <xf numFmtId="0" fontId="23" fillId="13" borderId="30" xfId="0" applyFont="1" applyFill="1" applyBorder="1" applyAlignment="1" applyProtection="1">
      <alignment horizontal="center" vertical="center" shrinkToFit="1" readingOrder="2"/>
    </xf>
    <xf numFmtId="0" fontId="23" fillId="13" borderId="62" xfId="0" applyFont="1" applyFill="1" applyBorder="1" applyAlignment="1" applyProtection="1">
      <alignment horizontal="center" vertical="center" shrinkToFit="1" readingOrder="2"/>
    </xf>
    <xf numFmtId="0" fontId="2" fillId="0" borderId="17" xfId="1" applyFont="1" applyBorder="1" applyAlignment="1" applyProtection="1">
      <alignment horizontal="center" vertical="center" shrinkToFit="1" readingOrder="2"/>
    </xf>
    <xf numFmtId="0" fontId="2" fillId="0" borderId="0" xfId="1" applyFont="1" applyBorder="1" applyAlignment="1" applyProtection="1">
      <alignment horizontal="center" vertical="center" shrinkToFit="1" readingOrder="2"/>
    </xf>
    <xf numFmtId="0" fontId="2" fillId="0" borderId="0" xfId="1" applyFont="1" applyBorder="1" applyAlignment="1" applyProtection="1">
      <alignment horizontal="left" vertical="center" shrinkToFit="1" readingOrder="2"/>
    </xf>
    <xf numFmtId="49" fontId="2" fillId="0" borderId="0" xfId="1" applyNumberFormat="1" applyFont="1" applyBorder="1" applyAlignment="1" applyProtection="1">
      <alignment horizontal="right" vertical="center" shrinkToFit="1" readingOrder="2"/>
    </xf>
    <xf numFmtId="0" fontId="15" fillId="0" borderId="5" xfId="1" applyFont="1" applyBorder="1" applyAlignment="1" applyProtection="1">
      <alignment horizontal="center" vertical="center" wrapText="1" shrinkToFit="1" readingOrder="2"/>
    </xf>
    <xf numFmtId="0" fontId="15" fillId="0" borderId="11" xfId="1" applyFont="1" applyBorder="1" applyAlignment="1" applyProtection="1">
      <alignment horizontal="center" vertical="center" wrapText="1" shrinkToFit="1" readingOrder="2"/>
    </xf>
    <xf numFmtId="0" fontId="15" fillId="0" borderId="23" xfId="1" applyFont="1" applyBorder="1" applyAlignment="1" applyProtection="1">
      <alignment horizontal="center"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readingOrder="2"/>
      <protection locked="0"/>
    </xf>
    <xf numFmtId="49" fontId="19" fillId="0" borderId="37" xfId="1" applyNumberFormat="1" applyFont="1" applyBorder="1" applyAlignment="1" applyProtection="1">
      <alignment horizontal="center" vertical="center" wrapText="1" readingOrder="2"/>
      <protection locked="0"/>
    </xf>
    <xf numFmtId="49" fontId="19" fillId="0" borderId="38" xfId="1" applyNumberFormat="1" applyFont="1" applyBorder="1" applyAlignment="1" applyProtection="1">
      <alignment horizontal="center" vertical="center" wrapText="1" readingOrder="2"/>
      <protection locked="0"/>
    </xf>
    <xf numFmtId="49" fontId="19" fillId="0" borderId="39" xfId="1" applyNumberFormat="1" applyFont="1" applyBorder="1" applyAlignment="1" applyProtection="1">
      <alignment horizontal="center" vertical="center" wrapText="1"/>
      <protection locked="0"/>
    </xf>
    <xf numFmtId="49" fontId="19" fillId="0" borderId="37" xfId="1" applyNumberFormat="1" applyFont="1" applyBorder="1" applyAlignment="1" applyProtection="1">
      <alignment horizontal="center" vertical="center" wrapText="1"/>
      <protection locked="0"/>
    </xf>
    <xf numFmtId="49" fontId="19" fillId="0" borderId="38" xfId="1" applyNumberFormat="1" applyFont="1" applyBorder="1" applyAlignment="1" applyProtection="1">
      <alignment horizontal="center" vertical="center" wrapText="1"/>
      <protection locked="0"/>
    </xf>
    <xf numFmtId="0" fontId="13" fillId="13" borderId="13" xfId="1" applyFont="1" applyFill="1" applyBorder="1" applyAlignment="1" applyProtection="1">
      <alignment horizontal="center" vertical="center" shrinkToFit="1" readingOrder="2"/>
      <protection hidden="1"/>
    </xf>
    <xf numFmtId="0" fontId="13" fillId="13" borderId="26" xfId="1" applyFont="1" applyFill="1" applyBorder="1" applyAlignment="1" applyProtection="1">
      <alignment horizontal="center" vertical="center" shrinkToFit="1" readingOrder="2"/>
      <protection hidden="1"/>
    </xf>
    <xf numFmtId="0" fontId="13" fillId="13" borderId="12" xfId="1" applyFont="1" applyFill="1" applyBorder="1" applyAlignment="1" applyProtection="1">
      <alignment horizontal="center" vertical="center" shrinkToFit="1" readingOrder="2"/>
      <protection hidden="1"/>
    </xf>
    <xf numFmtId="49" fontId="9" fillId="0" borderId="8" xfId="1" applyNumberFormat="1" applyFont="1" applyBorder="1" applyAlignment="1" applyProtection="1">
      <alignment horizontal="center" vertical="center" wrapText="1" shrinkToFit="1" readingOrder="2"/>
      <protection locked="0"/>
    </xf>
    <xf numFmtId="49" fontId="9" fillId="0" borderId="45"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pplyProtection="1">
      <alignment horizontal="center" vertical="center" shrinkToFit="1"/>
    </xf>
    <xf numFmtId="0" fontId="2" fillId="10" borderId="7" xfId="1" applyFont="1" applyFill="1" applyBorder="1" applyAlignment="1" applyProtection="1">
      <alignment horizontal="center" vertical="center" shrinkToFit="1"/>
    </xf>
    <xf numFmtId="0" fontId="2" fillId="10" borderId="44" xfId="1" applyFont="1" applyFill="1" applyBorder="1" applyAlignment="1" applyProtection="1">
      <alignment horizontal="center" vertical="center" shrinkToFit="1"/>
    </xf>
    <xf numFmtId="0" fontId="2" fillId="12" borderId="7" xfId="1" applyFont="1" applyFill="1" applyBorder="1" applyAlignment="1" applyProtection="1">
      <alignment horizontal="center" vertical="center" shrinkToFit="1" readingOrder="2"/>
      <protection locked="0"/>
    </xf>
    <xf numFmtId="0" fontId="2" fillId="2" borderId="6" xfId="1" applyFont="1" applyFill="1" applyBorder="1" applyAlignment="1" applyProtection="1">
      <alignment horizontal="center" vertical="center" shrinkToFit="1"/>
    </xf>
    <xf numFmtId="0" fontId="2" fillId="2" borderId="7" xfId="1" applyFont="1" applyFill="1" applyBorder="1" applyAlignment="1" applyProtection="1">
      <alignment horizontal="center" vertical="center" shrinkToFit="1"/>
    </xf>
    <xf numFmtId="0" fontId="2" fillId="2" borderId="44" xfId="1" applyFont="1" applyFill="1" applyBorder="1" applyAlignment="1" applyProtection="1">
      <alignment horizontal="center" vertical="center" shrinkToFit="1"/>
    </xf>
    <xf numFmtId="0" fontId="2" fillId="7" borderId="7" xfId="1" applyFont="1" applyFill="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 fillId="0" borderId="13" xfId="1" applyFont="1" applyBorder="1" applyAlignment="1" applyProtection="1">
      <alignment horizontal="center" vertical="center" shrinkToFit="1" readingOrder="2"/>
      <protection hidden="1"/>
    </xf>
    <xf numFmtId="0" fontId="2" fillId="0" borderId="16" xfId="1" applyFont="1" applyBorder="1" applyAlignment="1" applyProtection="1">
      <alignment horizontal="center" vertical="center" shrinkToFit="1" readingOrder="2"/>
      <protection hidden="1"/>
    </xf>
    <xf numFmtId="0" fontId="13" fillId="13" borderId="18"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right" vertical="center" shrinkToFit="1" readingOrder="2"/>
      <protection hidden="1"/>
    </xf>
    <xf numFmtId="0" fontId="2" fillId="0" borderId="0" xfId="1" applyFont="1" applyBorder="1" applyAlignment="1" applyProtection="1">
      <alignment horizontal="left" vertical="center" shrinkToFit="1" readingOrder="2"/>
      <protection hidden="1"/>
    </xf>
    <xf numFmtId="49" fontId="2" fillId="0" borderId="0" xfId="1" applyNumberFormat="1" applyFont="1" applyBorder="1" applyAlignment="1" applyProtection="1">
      <alignment horizontal="right" vertical="center" shrinkToFit="1" readingOrder="2"/>
      <protection hidden="1"/>
    </xf>
    <xf numFmtId="0" fontId="2" fillId="0" borderId="0" xfId="1" applyFont="1" applyBorder="1" applyAlignment="1" applyProtection="1">
      <alignment horizontal="right" vertical="center" shrinkToFit="1" readingOrder="2"/>
      <protection hidden="1"/>
    </xf>
    <xf numFmtId="0" fontId="29" fillId="0" borderId="0" xfId="1" applyFont="1" applyBorder="1" applyAlignment="1" applyProtection="1">
      <alignment horizontal="right" vertical="center" shrinkToFit="1" readingOrder="2"/>
      <protection hidden="1"/>
    </xf>
    <xf numFmtId="0" fontId="29" fillId="0" borderId="46" xfId="1" applyFont="1" applyBorder="1" applyAlignment="1" applyProtection="1">
      <alignment horizontal="right" vertical="center" shrinkToFit="1" readingOrder="2"/>
      <protection hidden="1"/>
    </xf>
    <xf numFmtId="0" fontId="2" fillId="0" borderId="18" xfId="1" applyFont="1" applyBorder="1" applyAlignment="1" applyProtection="1">
      <alignment horizontal="center" vertical="center" shrinkToFit="1" readingOrder="2"/>
      <protection hidden="1"/>
    </xf>
    <xf numFmtId="0" fontId="2" fillId="0" borderId="19" xfId="1" applyFont="1" applyBorder="1" applyAlignment="1" applyProtection="1">
      <alignment horizontal="center" vertical="center" shrinkToFit="1" readingOrder="2"/>
      <protection hidden="1"/>
    </xf>
    <xf numFmtId="49" fontId="2" fillId="0" borderId="12" xfId="1" applyNumberFormat="1" applyFont="1" applyBorder="1" applyAlignment="1" applyProtection="1">
      <alignment horizontal="center" vertical="center" shrinkToFit="1" readingOrder="2"/>
      <protection hidden="1"/>
    </xf>
    <xf numFmtId="0" fontId="47" fillId="13" borderId="13" xfId="1" applyFont="1" applyFill="1" applyBorder="1" applyAlignment="1" applyProtection="1">
      <alignment horizontal="center" vertical="center" shrinkToFit="1" readingOrder="2"/>
      <protection hidden="1"/>
    </xf>
    <xf numFmtId="0" fontId="47" fillId="13" borderId="12" xfId="1" applyFont="1" applyFill="1" applyBorder="1" applyAlignment="1" applyProtection="1">
      <alignment horizontal="center" vertical="center" shrinkToFit="1" readingOrder="2"/>
      <protection hidden="1"/>
    </xf>
    <xf numFmtId="0" fontId="47" fillId="13" borderId="13" xfId="1" applyFont="1" applyFill="1" applyBorder="1" applyAlignment="1" applyProtection="1">
      <alignment horizontal="right" vertical="center" shrinkToFit="1" readingOrder="2"/>
      <protection hidden="1"/>
    </xf>
    <xf numFmtId="0" fontId="47" fillId="13" borderId="16" xfId="1" applyFont="1" applyFill="1" applyBorder="1" applyAlignment="1" applyProtection="1">
      <alignment horizontal="right" vertical="center" shrinkToFit="1"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11" borderId="10"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8" borderId="10" xfId="1" applyNumberFormat="1" applyFont="1" applyFill="1" applyBorder="1" applyAlignment="1" applyProtection="1">
      <alignment horizontal="center" vertical="center" shrinkToFit="1" readingOrder="2"/>
      <protection hidden="1"/>
    </xf>
    <xf numFmtId="165" fontId="15" fillId="0" borderId="3" xfId="1" applyNumberFormat="1" applyFont="1" applyFill="1" applyBorder="1" applyAlignment="1" applyProtection="1">
      <alignment horizontal="center" vertical="center" shrinkToFit="1" readingOrder="2"/>
      <protection hidden="1"/>
    </xf>
    <xf numFmtId="165" fontId="15" fillId="0" borderId="10" xfId="1" applyNumberFormat="1" applyFont="1" applyFill="1" applyBorder="1" applyAlignment="1" applyProtection="1">
      <alignment horizontal="center" vertical="center" shrinkToFit="1" readingOrder="2"/>
      <protection hidden="1"/>
    </xf>
    <xf numFmtId="165" fontId="9" fillId="0" borderId="5" xfId="1" applyNumberFormat="1" applyFont="1" applyFill="1" applyBorder="1" applyAlignment="1" applyProtection="1">
      <alignment horizontal="center" vertical="center" shrinkToFit="1" readingOrder="2"/>
    </xf>
    <xf numFmtId="165" fontId="9" fillId="0" borderId="11" xfId="1" applyNumberFormat="1" applyFont="1" applyFill="1" applyBorder="1" applyAlignment="1" applyProtection="1">
      <alignment horizontal="center" vertical="center" shrinkToFit="1" readingOrder="2"/>
    </xf>
    <xf numFmtId="49" fontId="19" fillId="0" borderId="4" xfId="1" applyNumberFormat="1" applyFont="1" applyBorder="1" applyAlignment="1" applyProtection="1">
      <alignment horizontal="center" vertical="center" wrapText="1" shrinkToFit="1" readingOrder="2"/>
      <protection locked="0"/>
    </xf>
    <xf numFmtId="0" fontId="15" fillId="0" borderId="5" xfId="1" applyFont="1" applyBorder="1" applyAlignment="1" applyProtection="1">
      <alignment horizontal="center" vertical="center" textRotation="90" wrapText="1" shrinkToFit="1" readingOrder="2"/>
      <protection hidden="1"/>
    </xf>
    <xf numFmtId="0" fontId="15" fillId="0" borderId="11" xfId="1" applyFont="1" applyBorder="1" applyAlignment="1" applyProtection="1">
      <alignment horizontal="center" vertical="center" textRotation="90" wrapText="1" shrinkToFit="1" readingOrder="2"/>
      <protection hidden="1"/>
    </xf>
    <xf numFmtId="0" fontId="15" fillId="0" borderId="23" xfId="1" applyFont="1" applyBorder="1" applyAlignment="1" applyProtection="1">
      <alignment horizontal="center" vertical="center" wrapText="1" shrinkToFit="1" readingOrder="2"/>
      <protection hidden="1"/>
    </xf>
    <xf numFmtId="0" fontId="15" fillId="0" borderId="24"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49" fontId="19" fillId="0" borderId="4" xfId="1" applyNumberFormat="1" applyFont="1" applyBorder="1" applyAlignment="1" applyProtection="1">
      <alignment horizontal="center" vertical="center" wrapText="1" readingOrder="2"/>
      <protection locked="0"/>
    </xf>
    <xf numFmtId="0" fontId="2" fillId="2" borderId="56" xfId="1" applyFont="1" applyFill="1" applyBorder="1" applyAlignment="1" applyProtection="1">
      <alignment horizontal="center" vertical="center" shrinkToFit="1"/>
    </xf>
    <xf numFmtId="0" fontId="2" fillId="2" borderId="57" xfId="1" applyFont="1" applyFill="1" applyBorder="1" applyAlignment="1" applyProtection="1">
      <alignment horizontal="center" vertical="center" shrinkToFit="1"/>
    </xf>
    <xf numFmtId="0" fontId="2" fillId="2" borderId="34" xfId="1" applyFont="1" applyFill="1" applyBorder="1" applyAlignment="1" applyProtection="1">
      <alignment horizontal="center" vertical="center" shrinkToFit="1"/>
    </xf>
    <xf numFmtId="0" fontId="2" fillId="0" borderId="57" xfId="1" applyFont="1" applyBorder="1" applyAlignment="1" applyProtection="1">
      <alignment horizontal="center" vertical="center" wrapText="1" shrinkToFit="1" readingOrder="2"/>
    </xf>
    <xf numFmtId="0" fontId="2" fillId="7" borderId="57" xfId="1" applyFont="1" applyFill="1" applyBorder="1" applyAlignment="1" applyProtection="1">
      <alignment horizontal="center" vertical="center" shrinkToFit="1" readingOrder="2"/>
      <protection locked="0"/>
    </xf>
    <xf numFmtId="49" fontId="9" fillId="0" borderId="5" xfId="1" applyNumberFormat="1" applyFont="1" applyBorder="1" applyAlignment="1" applyProtection="1">
      <alignment horizontal="center" vertical="center" wrapText="1" shrinkToFit="1" readingOrder="2"/>
      <protection locked="0"/>
    </xf>
    <xf numFmtId="49" fontId="9" fillId="0" borderId="35" xfId="1" applyNumberFormat="1" applyFont="1" applyBorder="1" applyAlignment="1" applyProtection="1">
      <alignment horizontal="center" vertical="center" wrapText="1" shrinkToFit="1" readingOrder="2"/>
      <protection locked="0"/>
    </xf>
    <xf numFmtId="49" fontId="19" fillId="0" borderId="3" xfId="1" applyNumberFormat="1" applyFont="1" applyBorder="1" applyAlignment="1" applyProtection="1">
      <alignment horizontal="center" vertical="center" wrapText="1" shrinkToFit="1" readingOrder="2"/>
      <protection locked="0"/>
    </xf>
    <xf numFmtId="0" fontId="2" fillId="16" borderId="18" xfId="1" applyFont="1" applyFill="1" applyBorder="1" applyAlignment="1" applyProtection="1">
      <alignment horizontal="center" vertical="center" wrapText="1" shrinkToFit="1" readingOrder="2"/>
      <protection hidden="1"/>
    </xf>
    <xf numFmtId="0" fontId="2" fillId="16" borderId="19" xfId="1" applyFont="1" applyFill="1" applyBorder="1" applyAlignment="1" applyProtection="1">
      <alignment horizontal="center" vertical="center" wrapText="1" shrinkToFit="1" readingOrder="2"/>
      <protection hidden="1"/>
    </xf>
    <xf numFmtId="0" fontId="2" fillId="16" borderId="12" xfId="1" applyFont="1" applyFill="1" applyBorder="1" applyAlignment="1" applyProtection="1">
      <alignment horizontal="center" vertical="center" wrapText="1" shrinkToFit="1" readingOrder="2"/>
      <protection hidden="1"/>
    </xf>
    <xf numFmtId="0" fontId="2" fillId="16" borderId="13" xfId="1" applyFont="1" applyFill="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textRotation="90" shrinkToFit="1"/>
      <protection hidden="1"/>
    </xf>
    <xf numFmtId="0" fontId="15" fillId="0" borderId="14" xfId="1" applyFont="1" applyBorder="1" applyAlignment="1" applyProtection="1">
      <alignment horizontal="center" vertical="center" textRotation="90" shrinkToFit="1"/>
      <protection hidden="1"/>
    </xf>
    <xf numFmtId="0" fontId="15" fillId="0" borderId="4" xfId="1" applyFont="1" applyBorder="1" applyAlignment="1" applyProtection="1">
      <alignment horizontal="center" vertical="center" textRotation="90" shrinkToFit="1" readingOrder="2"/>
      <protection hidden="1"/>
    </xf>
    <xf numFmtId="0" fontId="15" fillId="0" borderId="14" xfId="1" applyFont="1" applyBorder="1" applyAlignment="1" applyProtection="1">
      <alignment horizontal="center" vertical="center" textRotation="90" shrinkToFit="1" readingOrder="2"/>
      <protection hidden="1"/>
    </xf>
    <xf numFmtId="0" fontId="15" fillId="0" borderId="21" xfId="1" applyFont="1" applyBorder="1" applyAlignment="1" applyProtection="1">
      <alignment horizontal="center" vertical="center" shrinkToFit="1" readingOrder="2"/>
      <protection hidden="1"/>
    </xf>
    <xf numFmtId="0" fontId="15" fillId="0" borderId="22"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wrapText="1" shrinkToFit="1" readingOrder="2"/>
      <protection hidden="1"/>
    </xf>
    <xf numFmtId="0" fontId="15" fillId="0" borderId="14" xfId="1" applyFont="1" applyBorder="1" applyAlignment="1" applyProtection="1">
      <alignment horizontal="center" vertical="center" wrapText="1" shrinkToFit="1" readingOrder="2"/>
      <protection hidden="1"/>
    </xf>
    <xf numFmtId="0" fontId="15" fillId="0" borderId="2" xfId="1" applyFont="1" applyBorder="1" applyAlignment="1" applyProtection="1">
      <alignment horizontal="center" vertical="center" textRotation="90" shrinkToFit="1" readingOrder="2"/>
      <protection hidden="1"/>
    </xf>
    <xf numFmtId="0" fontId="15" fillId="0" borderId="9"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3"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textRotation="90" wrapText="1" shrinkToFit="1" readingOrder="2"/>
      <protection hidden="1"/>
    </xf>
    <xf numFmtId="0" fontId="15" fillId="0" borderId="10" xfId="1" applyFont="1" applyBorder="1" applyAlignment="1" applyProtection="1">
      <alignment horizontal="center" vertical="center" textRotation="90" wrapText="1" shrinkToFit="1" readingOrder="2"/>
      <protection hidden="1"/>
    </xf>
    <xf numFmtId="0" fontId="2" fillId="0" borderId="19" xfId="1" applyFont="1" applyBorder="1" applyAlignment="1" applyProtection="1">
      <alignment horizontal="right" shrinkToFit="1" readingOrder="2"/>
      <protection hidden="1"/>
    </xf>
    <xf numFmtId="0" fontId="2" fillId="0" borderId="20" xfId="1" applyFont="1" applyBorder="1" applyAlignment="1" applyProtection="1">
      <alignment horizontal="right" shrinkToFit="1" readingOrder="2"/>
      <protection hidden="1"/>
    </xf>
    <xf numFmtId="49" fontId="10" fillId="0" borderId="13" xfId="1" applyNumberFormat="1" applyFont="1" applyBorder="1" applyAlignment="1" applyProtection="1">
      <alignment horizontal="center" vertical="center" shrinkToFit="1"/>
      <protection hidden="1"/>
    </xf>
    <xf numFmtId="0" fontId="10" fillId="0" borderId="13" xfId="1" applyFont="1" applyBorder="1" applyAlignment="1" applyProtection="1">
      <alignment horizontal="center" vertical="center" shrinkToFit="1"/>
      <protection hidden="1"/>
    </xf>
    <xf numFmtId="0" fontId="10" fillId="0" borderId="16" xfId="1" applyFont="1" applyBorder="1" applyAlignment="1" applyProtection="1">
      <alignment horizontal="center" vertical="center" shrinkToFit="1"/>
      <protection hidden="1"/>
    </xf>
    <xf numFmtId="0" fontId="2" fillId="0" borderId="19" xfId="1" applyFont="1" applyBorder="1" applyAlignment="1" applyProtection="1">
      <alignment horizontal="right" shrinkToFit="1"/>
      <protection hidden="1"/>
    </xf>
    <xf numFmtId="49" fontId="10" fillId="0" borderId="13" xfId="1" applyNumberFormat="1" applyFont="1" applyBorder="1" applyAlignment="1" applyProtection="1">
      <alignment horizontal="center" vertical="center" shrinkToFit="1" readingOrder="2"/>
      <protection hidden="1"/>
    </xf>
    <xf numFmtId="0" fontId="10" fillId="0" borderId="13" xfId="1" applyFont="1" applyBorder="1" applyAlignment="1" applyProtection="1">
      <alignment horizontal="center" vertical="center" shrinkToFit="1" readingOrder="2"/>
      <protection hidden="1"/>
    </xf>
    <xf numFmtId="0" fontId="2" fillId="0" borderId="18" xfId="1" applyFont="1" applyBorder="1" applyAlignment="1" applyProtection="1">
      <alignment horizontal="right" shrinkToFit="1" readingOrder="2"/>
      <protection hidden="1"/>
    </xf>
    <xf numFmtId="0" fontId="10" fillId="0" borderId="12" xfId="1" applyFont="1" applyBorder="1" applyAlignment="1" applyProtection="1">
      <alignment horizontal="center" vertical="center" shrinkToFit="1" readingOrder="2"/>
      <protection hidden="1"/>
    </xf>
    <xf numFmtId="0" fontId="6" fillId="0" borderId="1"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center" vertical="center" wrapText="1" shrinkToFit="1" readingOrder="2"/>
      <protection hidden="1"/>
    </xf>
    <xf numFmtId="0" fontId="2" fillId="10" borderId="42" xfId="1" applyFont="1" applyFill="1" applyBorder="1" applyAlignment="1" applyProtection="1">
      <alignment horizontal="left" vertical="center" shrinkToFit="1" readingOrder="2"/>
    </xf>
    <xf numFmtId="0" fontId="2" fillId="2" borderId="42" xfId="1" applyFont="1" applyFill="1" applyBorder="1" applyAlignment="1" applyProtection="1">
      <alignment horizontal="left" vertical="center" shrinkToFit="1" readingOrder="2"/>
    </xf>
    <xf numFmtId="49" fontId="19" fillId="0" borderId="55" xfId="1" applyNumberFormat="1" applyFont="1" applyBorder="1" applyAlignment="1" applyProtection="1">
      <alignment horizontal="center" vertical="center" wrapText="1" readingOrder="2"/>
      <protection locked="0"/>
    </xf>
    <xf numFmtId="0" fontId="23" fillId="13" borderId="48" xfId="0" applyFont="1" applyFill="1" applyBorder="1" applyAlignment="1" applyProtection="1">
      <alignment horizontal="center" vertical="center" shrinkToFit="1" readingOrder="2"/>
      <protection hidden="1"/>
    </xf>
    <xf numFmtId="0" fontId="23" fillId="13" borderId="22" xfId="0" applyFont="1" applyFill="1" applyBorder="1" applyAlignment="1" applyProtection="1">
      <alignment horizontal="center" vertical="center" shrinkToFit="1" readingOrder="2"/>
      <protection hidden="1"/>
    </xf>
    <xf numFmtId="0" fontId="23" fillId="13" borderId="53" xfId="0" applyFont="1" applyFill="1" applyBorder="1" applyAlignment="1" applyProtection="1">
      <alignment horizontal="center" vertical="center" shrinkToFit="1" readingOrder="2"/>
      <protection hidden="1"/>
    </xf>
    <xf numFmtId="0" fontId="23" fillId="13" borderId="52" xfId="0" applyFont="1" applyFill="1" applyBorder="1" applyAlignment="1" applyProtection="1">
      <alignment horizontal="center" vertical="center" shrinkToFit="1" readingOrder="2"/>
      <protection hidden="1"/>
    </xf>
    <xf numFmtId="0" fontId="2" fillId="0" borderId="46" xfId="1" applyFont="1" applyBorder="1" applyAlignment="1" applyProtection="1">
      <alignment horizontal="right" vertical="center" shrinkToFit="1" readingOrder="2"/>
      <protection hidden="1"/>
    </xf>
    <xf numFmtId="0" fontId="2" fillId="0" borderId="17" xfId="1" applyFont="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23" fillId="13" borderId="47" xfId="0" applyFont="1" applyFill="1" applyBorder="1" applyAlignment="1" applyProtection="1">
      <alignment horizontal="left" vertical="center" shrinkToFit="1" readingOrder="2"/>
      <protection hidden="1"/>
    </xf>
    <xf numFmtId="0" fontId="23" fillId="13" borderId="48" xfId="0" applyFont="1" applyFill="1" applyBorder="1" applyAlignment="1" applyProtection="1">
      <alignment horizontal="left" vertical="center" shrinkToFit="1" readingOrder="2"/>
      <protection hidden="1"/>
    </xf>
    <xf numFmtId="0" fontId="23" fillId="13" borderId="51" xfId="0" applyFont="1" applyFill="1" applyBorder="1" applyAlignment="1" applyProtection="1">
      <alignment horizontal="left" vertical="center" shrinkToFit="1" readingOrder="2"/>
      <protection hidden="1"/>
    </xf>
    <xf numFmtId="0" fontId="23" fillId="13" borderId="53" xfId="0" applyFont="1" applyFill="1" applyBorder="1" applyAlignment="1" applyProtection="1">
      <alignment horizontal="left" vertical="center" shrinkToFit="1" readingOrder="2"/>
      <protection hidden="1"/>
    </xf>
    <xf numFmtId="49" fontId="9" fillId="0" borderId="58" xfId="1" applyNumberFormat="1" applyFont="1" applyBorder="1" applyAlignment="1" applyProtection="1">
      <alignment horizontal="center" vertical="center" wrapText="1" shrinkToFit="1" readingOrder="2"/>
      <protection locked="0"/>
    </xf>
    <xf numFmtId="49" fontId="19" fillId="0" borderId="55" xfId="1" applyNumberFormat="1" applyFont="1" applyBorder="1" applyAlignment="1" applyProtection="1">
      <alignment horizontal="center" vertical="center" wrapText="1" shrinkToFit="1" readingOrder="2"/>
      <protection locked="0"/>
    </xf>
    <xf numFmtId="2" fontId="10" fillId="10" borderId="7" xfId="1" applyNumberFormat="1" applyFont="1" applyFill="1" applyBorder="1" applyAlignment="1" applyProtection="1">
      <alignment horizontal="center" vertical="center" shrinkToFit="1" readingOrder="2"/>
      <protection hidden="1"/>
    </xf>
    <xf numFmtId="2" fontId="10" fillId="10" borderId="57" xfId="1" applyNumberFormat="1" applyFont="1" applyFill="1" applyBorder="1" applyAlignment="1" applyProtection="1">
      <alignment horizontal="center" vertical="center" shrinkToFit="1" readingOrder="2"/>
      <protection hidden="1"/>
    </xf>
    <xf numFmtId="2" fontId="10" fillId="2" borderId="7" xfId="1" applyNumberFormat="1" applyFont="1" applyFill="1" applyBorder="1" applyAlignment="1" applyProtection="1">
      <alignment horizontal="center" vertical="center" shrinkToFit="1" readingOrder="2"/>
      <protection hidden="1"/>
    </xf>
    <xf numFmtId="2" fontId="10" fillId="2" borderId="57" xfId="1" applyNumberFormat="1" applyFont="1" applyFill="1" applyBorder="1" applyAlignment="1" applyProtection="1">
      <alignment horizontal="center" vertical="center" shrinkToFit="1" readingOrder="2"/>
      <protection hidden="1"/>
    </xf>
    <xf numFmtId="2" fontId="10" fillId="0" borderId="57" xfId="1" applyNumberFormat="1" applyFont="1" applyFill="1" applyBorder="1" applyAlignment="1" applyProtection="1">
      <alignment horizontal="center" vertical="center" shrinkToFit="1" readingOrder="2"/>
      <protection locked="0"/>
    </xf>
    <xf numFmtId="2" fontId="10" fillId="0" borderId="27" xfId="1" applyNumberFormat="1" applyFont="1" applyFill="1" applyBorder="1" applyAlignment="1" applyProtection="1">
      <alignment horizontal="center" vertical="center" shrinkToFit="1" readingOrder="2"/>
      <protection locked="0"/>
    </xf>
    <xf numFmtId="2" fontId="10" fillId="10" borderId="27" xfId="1" applyNumberFormat="1" applyFont="1" applyFill="1" applyBorder="1" applyAlignment="1" applyProtection="1">
      <alignment horizontal="center" vertical="center" shrinkToFit="1" readingOrder="2"/>
      <protection hidden="1"/>
    </xf>
    <xf numFmtId="2" fontId="10" fillId="10" borderId="43" xfId="1" applyNumberFormat="1" applyFont="1" applyFill="1" applyBorder="1" applyAlignment="1" applyProtection="1">
      <alignment horizontal="center" vertical="center" shrinkToFit="1" readingOrder="2"/>
      <protection hidden="1"/>
    </xf>
    <xf numFmtId="2" fontId="10" fillId="2" borderId="27"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wrapText="1" shrinkToFit="1" readingOrder="2"/>
      <protection hidden="1"/>
    </xf>
    <xf numFmtId="0" fontId="15" fillId="0" borderId="11" xfId="1" applyFont="1" applyBorder="1" applyAlignment="1" applyProtection="1">
      <alignment horizontal="center" vertical="center" wrapText="1" shrinkToFit="1" readingOrder="2"/>
      <protection hidden="1"/>
    </xf>
    <xf numFmtId="49" fontId="9" fillId="0" borderId="29" xfId="1" applyNumberFormat="1" applyFont="1" applyBorder="1" applyAlignment="1" applyProtection="1">
      <alignment horizontal="center" vertical="center" wrapText="1" shrinkToFit="1" readingOrder="2"/>
      <protection locked="0"/>
    </xf>
    <xf numFmtId="0" fontId="6" fillId="0" borderId="0" xfId="1" applyFont="1" applyBorder="1" applyAlignment="1" applyProtection="1">
      <alignment horizontal="center" vertical="center" shrinkToFit="1" readingOrder="2"/>
      <protection hidden="1"/>
    </xf>
    <xf numFmtId="0" fontId="6" fillId="0" borderId="19" xfId="1" applyFont="1" applyBorder="1" applyAlignment="1" applyProtection="1">
      <alignment horizontal="right" vertical="center" wrapText="1" shrinkToFit="1" readingOrder="2"/>
      <protection hidden="1"/>
    </xf>
    <xf numFmtId="0" fontId="6" fillId="0" borderId="0" xfId="1" applyFont="1" applyBorder="1" applyAlignment="1" applyProtection="1">
      <alignment horizontal="right" vertical="center" wrapText="1" shrinkToFit="1" readingOrder="2"/>
      <protection hidden="1"/>
    </xf>
    <xf numFmtId="0" fontId="15" fillId="0" borderId="56" xfId="1" applyFont="1" applyBorder="1" applyAlignment="1" applyProtection="1">
      <alignment horizontal="center" vertical="center" textRotation="90" shrinkToFit="1" readingOrder="2"/>
      <protection hidden="1"/>
    </xf>
    <xf numFmtId="0" fontId="15" fillId="0" borderId="57" xfId="1" applyFont="1" applyBorder="1" applyAlignment="1" applyProtection="1">
      <alignment horizontal="center" vertical="center" shrinkToFit="1" readingOrder="2"/>
      <protection hidden="1"/>
    </xf>
    <xf numFmtId="0" fontId="15" fillId="0" borderId="57"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wrapText="1" shrinkToFit="1" readingOrder="2"/>
      <protection hidden="1"/>
    </xf>
    <xf numFmtId="49" fontId="19" fillId="0" borderId="7" xfId="1" applyNumberFormat="1" applyFont="1" applyBorder="1" applyAlignment="1" applyProtection="1">
      <alignment horizontal="center" vertical="center" wrapText="1" readingOrder="2"/>
      <protection locked="0"/>
    </xf>
    <xf numFmtId="0" fontId="15" fillId="0" borderId="58" xfId="1" applyFont="1" applyBorder="1" applyAlignment="1" applyProtection="1">
      <alignment horizontal="center" vertical="center" wrapText="1" shrinkToFit="1" readingOrder="2"/>
      <protection hidden="1"/>
    </xf>
    <xf numFmtId="49" fontId="9"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readingOrder="2"/>
      <protection locked="0"/>
    </xf>
    <xf numFmtId="49" fontId="5" fillId="0" borderId="7" xfId="1" applyNumberFormat="1" applyFont="1" applyBorder="1" applyAlignment="1" applyProtection="1">
      <alignment horizontal="center" vertical="center" textRotation="90" wrapText="1" shrinkToFit="1" readingOrder="2"/>
      <protection locked="0"/>
    </xf>
    <xf numFmtId="49" fontId="5" fillId="0" borderId="57" xfId="1" applyNumberFormat="1" applyFont="1" applyBorder="1" applyAlignment="1" applyProtection="1">
      <alignment horizontal="center" vertical="center" textRotation="90" wrapText="1" shrinkToFit="1" readingOrder="2"/>
      <protection locked="0"/>
    </xf>
    <xf numFmtId="49" fontId="5" fillId="0" borderId="3" xfId="1" applyNumberFormat="1" applyFont="1" applyBorder="1" applyAlignment="1" applyProtection="1">
      <alignment horizontal="center" vertical="center" wrapText="1" shrinkToFit="1" readingOrder="2"/>
      <protection locked="0"/>
    </xf>
    <xf numFmtId="49" fontId="5" fillId="0" borderId="7" xfId="1" applyNumberFormat="1" applyFont="1" applyBorder="1" applyAlignment="1" applyProtection="1">
      <alignment horizontal="center" vertical="center" wrapText="1" shrinkToFit="1" readingOrder="2"/>
      <protection locked="0"/>
    </xf>
    <xf numFmtId="49" fontId="5" fillId="0" borderId="57" xfId="1" applyNumberFormat="1" applyFont="1" applyBorder="1" applyAlignment="1" applyProtection="1">
      <alignment horizontal="center" vertical="center" wrapText="1" shrinkToFit="1" readingOrder="2"/>
      <protection locked="0"/>
    </xf>
    <xf numFmtId="49" fontId="5" fillId="0" borderId="55" xfId="1" applyNumberFormat="1" applyFont="1" applyBorder="1" applyAlignment="1" applyProtection="1">
      <alignment horizontal="center" vertical="center" textRotation="90" wrapText="1" shrinkToFit="1" readingOrder="2"/>
      <protection locked="0"/>
    </xf>
    <xf numFmtId="49" fontId="5" fillId="0" borderId="27" xfId="1" applyNumberFormat="1" applyFont="1" applyBorder="1" applyAlignment="1" applyProtection="1">
      <alignment horizontal="center" vertical="center" textRotation="90" wrapText="1" shrinkToFit="1" readingOrder="2"/>
      <protection locked="0"/>
    </xf>
    <xf numFmtId="49" fontId="5" fillId="0" borderId="34" xfId="1" applyNumberFormat="1" applyFont="1" applyBorder="1" applyAlignment="1" applyProtection="1">
      <alignment horizontal="center" vertical="center" wrapText="1" shrinkToFit="1" readingOrder="2"/>
      <protection locked="0"/>
    </xf>
    <xf numFmtId="49" fontId="5" fillId="0" borderId="32" xfId="1" applyNumberFormat="1" applyFont="1" applyBorder="1" applyAlignment="1" applyProtection="1">
      <alignment horizontal="center" vertical="center" wrapText="1" shrinkToFit="1" readingOrder="2"/>
      <protection locked="0"/>
    </xf>
    <xf numFmtId="49" fontId="5" fillId="0" borderId="33" xfId="1" applyNumberFormat="1" applyFont="1" applyBorder="1" applyAlignment="1" applyProtection="1">
      <alignment horizontal="center" vertical="center" wrapText="1" shrinkToFit="1" readingOrder="2"/>
      <protection locked="0"/>
    </xf>
    <xf numFmtId="49" fontId="5" fillId="0" borderId="59" xfId="1" applyNumberFormat="1" applyFont="1" applyBorder="1" applyAlignment="1" applyProtection="1">
      <alignment horizontal="center" vertical="center" wrapText="1" shrinkToFit="1" readingOrder="2"/>
      <protection locked="0"/>
    </xf>
    <xf numFmtId="49" fontId="5" fillId="0" borderId="0" xfId="1" applyNumberFormat="1" applyFont="1" applyBorder="1" applyAlignment="1" applyProtection="1">
      <alignment horizontal="center" vertical="center" wrapText="1" shrinkToFit="1" readingOrder="2"/>
      <protection locked="0"/>
    </xf>
    <xf numFmtId="49" fontId="5" fillId="0" borderId="60" xfId="1" applyNumberFormat="1" applyFont="1" applyBorder="1" applyAlignment="1" applyProtection="1">
      <alignment horizontal="center" vertical="center" wrapText="1" shrinkToFit="1" readingOrder="2"/>
      <protection locked="0"/>
    </xf>
    <xf numFmtId="49" fontId="5" fillId="0" borderId="39" xfId="1" applyNumberFormat="1" applyFont="1" applyBorder="1" applyAlignment="1" applyProtection="1">
      <alignment horizontal="center" vertical="center" wrapText="1" shrinkToFit="1" readingOrder="2"/>
      <protection locked="0"/>
    </xf>
    <xf numFmtId="49" fontId="5" fillId="0" borderId="37" xfId="1" applyNumberFormat="1" applyFont="1" applyBorder="1" applyAlignment="1" applyProtection="1">
      <alignment horizontal="center" vertical="center" wrapText="1" shrinkToFit="1" readingOrder="2"/>
      <protection locked="0"/>
    </xf>
    <xf numFmtId="49" fontId="5" fillId="0" borderId="38" xfId="1" applyNumberFormat="1" applyFont="1" applyBorder="1" applyAlignment="1" applyProtection="1">
      <alignment horizontal="center" vertical="center" wrapText="1" shrinkToFit="1" readingOrder="2"/>
      <protection locked="0"/>
    </xf>
    <xf numFmtId="49" fontId="15" fillId="0" borderId="57" xfId="1" applyNumberFormat="1" applyFont="1" applyBorder="1" applyAlignment="1" applyProtection="1">
      <alignment horizontal="center" vertical="center" wrapText="1" shrinkToFit="1" readingOrder="2"/>
      <protection locked="0"/>
    </xf>
    <xf numFmtId="49" fontId="15" fillId="0" borderId="55" xfId="1" applyNumberFormat="1" applyFont="1" applyBorder="1" applyAlignment="1" applyProtection="1">
      <alignment horizontal="center" vertical="center" wrapText="1" shrinkToFit="1" readingOrder="2"/>
      <protection locked="0"/>
    </xf>
    <xf numFmtId="49" fontId="15" fillId="0" borderId="27" xfId="1" applyNumberFormat="1" applyFont="1" applyBorder="1" applyAlignment="1" applyProtection="1">
      <alignment horizontal="center" vertical="center" wrapText="1" shrinkToFit="1" readingOrder="2"/>
      <protection locked="0"/>
    </xf>
    <xf numFmtId="4" fontId="13" fillId="2" borderId="3" xfId="1" applyNumberFormat="1" applyFont="1" applyFill="1" applyBorder="1" applyAlignment="1" applyProtection="1">
      <alignment horizontal="center" vertical="center" shrinkToFit="1" readingOrder="2"/>
      <protection hidden="1"/>
    </xf>
    <xf numFmtId="4" fontId="13" fillId="2" borderId="7" xfId="1" applyNumberFormat="1" applyFont="1" applyFill="1" applyBorder="1" applyAlignment="1" applyProtection="1">
      <alignment horizontal="center" vertical="center" shrinkToFit="1" readingOrder="2"/>
      <protection hidden="1"/>
    </xf>
    <xf numFmtId="4" fontId="13" fillId="2" borderId="57"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shrinkToFit="1" readingOrder="2"/>
      <protection hidden="1"/>
    </xf>
    <xf numFmtId="0" fontId="15" fillId="0" borderId="11" xfId="1" applyFont="1" applyBorder="1" applyAlignment="1" applyProtection="1">
      <alignment horizontal="center" vertical="center" shrinkToFit="1" readingOrder="2"/>
      <protection hidden="1"/>
    </xf>
    <xf numFmtId="0" fontId="15" fillId="0" borderId="23" xfId="1" applyFont="1" applyBorder="1" applyAlignment="1" applyProtection="1">
      <alignment horizontal="center" vertical="center" shrinkToFit="1"/>
      <protection hidden="1"/>
    </xf>
    <xf numFmtId="0" fontId="15" fillId="0" borderId="24" xfId="1" applyFont="1" applyBorder="1" applyAlignment="1" applyProtection="1">
      <alignment horizontal="center" vertical="center" shrinkToFit="1"/>
      <protection hidden="1"/>
    </xf>
    <xf numFmtId="0" fontId="15" fillId="0" borderId="22" xfId="1" applyFont="1" applyBorder="1" applyAlignment="1" applyProtection="1">
      <alignment horizontal="center" vertical="center" shrinkToFit="1"/>
      <protection hidden="1"/>
    </xf>
    <xf numFmtId="0" fontId="15" fillId="0" borderId="3" xfId="1" applyFont="1" applyBorder="1" applyAlignment="1" applyProtection="1">
      <alignment horizontal="center" vertical="center" shrinkToFit="1"/>
      <protection hidden="1"/>
    </xf>
    <xf numFmtId="0" fontId="15" fillId="0" borderId="52" xfId="1" applyFont="1" applyBorder="1" applyAlignment="1" applyProtection="1">
      <alignment horizontal="center" vertical="center" shrinkToFit="1"/>
      <protection hidden="1"/>
    </xf>
    <xf numFmtId="0" fontId="15" fillId="0" borderId="10" xfId="1" applyFont="1" applyBorder="1" applyAlignment="1" applyProtection="1">
      <alignment horizontal="center" vertical="center" shrinkToFit="1"/>
      <protection hidden="1"/>
    </xf>
    <xf numFmtId="0" fontId="29" fillId="12" borderId="42" xfId="1" applyFont="1" applyFill="1" applyBorder="1" applyAlignment="1" applyProtection="1">
      <alignment horizontal="right" vertical="center" wrapText="1" shrinkToFit="1" readingOrder="2"/>
      <protection locked="0"/>
    </xf>
    <xf numFmtId="0" fontId="29" fillId="12" borderId="45" xfId="1" applyFont="1" applyFill="1" applyBorder="1" applyAlignment="1" applyProtection="1">
      <alignment horizontal="right" vertical="center" wrapText="1" shrinkToFit="1" readingOrder="2"/>
      <protection locked="0"/>
    </xf>
    <xf numFmtId="0" fontId="2" fillId="0" borderId="42" xfId="1" applyFont="1" applyBorder="1" applyAlignment="1" applyProtection="1">
      <alignment horizontal="left" vertical="center" shrinkToFit="1" readingOrder="2"/>
      <protection hidden="1"/>
    </xf>
    <xf numFmtId="0" fontId="2" fillId="0" borderId="37" xfId="1" applyFont="1" applyBorder="1" applyAlignment="1" applyProtection="1">
      <alignment horizontal="left" vertical="center" shrinkToFit="1" readingOrder="2"/>
      <protection hidden="1"/>
    </xf>
    <xf numFmtId="0" fontId="29" fillId="7" borderId="42" xfId="1" applyFont="1" applyFill="1" applyBorder="1" applyAlignment="1" applyProtection="1">
      <alignment horizontal="right" vertical="center" wrapText="1" shrinkToFit="1" readingOrder="2"/>
      <protection locked="0"/>
    </xf>
    <xf numFmtId="0" fontId="29" fillId="7" borderId="45" xfId="1" applyFont="1" applyFill="1" applyBorder="1" applyAlignment="1" applyProtection="1">
      <alignment horizontal="right" vertical="center" wrapText="1" shrinkToFit="1" readingOrder="2"/>
      <protection locked="0"/>
    </xf>
    <xf numFmtId="1" fontId="2" fillId="0" borderId="6" xfId="1" applyNumberFormat="1" applyFont="1" applyBorder="1" applyAlignment="1" applyProtection="1">
      <alignment horizontal="center" vertical="center" shrinkToFit="1" readingOrder="2"/>
    </xf>
    <xf numFmtId="49" fontId="9" fillId="0" borderId="7" xfId="1" applyNumberFormat="1" applyFont="1" applyBorder="1" applyAlignment="1" applyProtection="1">
      <alignment horizontal="center" vertical="center" wrapText="1" shrinkToFit="1" readingOrder="2"/>
      <protection locked="0"/>
    </xf>
    <xf numFmtId="49" fontId="5" fillId="0" borderId="27" xfId="1" applyNumberFormat="1" applyFont="1" applyBorder="1" applyAlignment="1" applyProtection="1">
      <alignment horizontal="center" vertical="center" wrapText="1" shrinkToFit="1" readingOrder="2"/>
      <protection locked="0"/>
    </xf>
    <xf numFmtId="4" fontId="13" fillId="2" borderId="27" xfId="1" applyNumberFormat="1" applyFont="1" applyFill="1" applyBorder="1" applyAlignment="1" applyProtection="1">
      <alignment horizontal="center" vertical="center" shrinkToFit="1" readingOrder="2"/>
      <protection hidden="1"/>
    </xf>
    <xf numFmtId="4" fontId="13" fillId="2" borderId="55" xfId="1" applyNumberFormat="1" applyFont="1" applyFill="1" applyBorder="1" applyAlignment="1" applyProtection="1">
      <alignment horizontal="center" vertical="center" shrinkToFit="1" readingOrder="2"/>
      <protection hidden="1"/>
    </xf>
    <xf numFmtId="4" fontId="13" fillId="10" borderId="57" xfId="1" applyNumberFormat="1" applyFont="1" applyFill="1" applyBorder="1" applyAlignment="1" applyProtection="1">
      <alignment horizontal="center" vertical="center" shrinkToFit="1" readingOrder="2"/>
      <protection hidden="1"/>
    </xf>
    <xf numFmtId="4" fontId="13" fillId="10" borderId="55" xfId="1" applyNumberFormat="1" applyFont="1" applyFill="1" applyBorder="1" applyAlignment="1" applyProtection="1">
      <alignment horizontal="center" vertical="center" shrinkToFit="1" readingOrder="2"/>
      <protection hidden="1"/>
    </xf>
    <xf numFmtId="4" fontId="13" fillId="10" borderId="27" xfId="1" applyNumberFormat="1" applyFont="1" applyFill="1" applyBorder="1" applyAlignment="1" applyProtection="1">
      <alignment horizontal="center" vertical="center" shrinkToFit="1" readingOrder="2"/>
      <protection hidden="1"/>
    </xf>
    <xf numFmtId="165" fontId="2" fillId="0" borderId="57" xfId="1" applyNumberFormat="1" applyFont="1" applyBorder="1" applyAlignment="1" applyProtection="1">
      <alignment horizontal="center" vertical="center" shrinkToFit="1" readingOrder="2"/>
      <protection locked="0"/>
    </xf>
    <xf numFmtId="165" fontId="2" fillId="0" borderId="55" xfId="1" applyNumberFormat="1" applyFont="1" applyBorder="1" applyAlignment="1" applyProtection="1">
      <alignment horizontal="center" vertical="center" shrinkToFit="1" readingOrder="2"/>
      <protection locked="0"/>
    </xf>
    <xf numFmtId="165" fontId="2" fillId="0" borderId="27" xfId="1" applyNumberFormat="1" applyFont="1" applyBorder="1" applyAlignment="1" applyProtection="1">
      <alignment horizontal="center" vertical="center" shrinkToFit="1" readingOrder="2"/>
      <protection locked="0"/>
    </xf>
    <xf numFmtId="49" fontId="5" fillId="0" borderId="35" xfId="1" applyNumberFormat="1" applyFont="1" applyBorder="1" applyAlignment="1" applyProtection="1">
      <alignment horizontal="center" vertical="center" wrapText="1" shrinkToFit="1" readingOrder="2"/>
      <protection locked="0"/>
    </xf>
    <xf numFmtId="49" fontId="5" fillId="0" borderId="46" xfId="1" applyNumberFormat="1" applyFont="1" applyBorder="1" applyAlignment="1" applyProtection="1">
      <alignment horizontal="center" vertical="center" wrapText="1" shrinkToFit="1" readingOrder="2"/>
      <protection locked="0"/>
    </xf>
    <xf numFmtId="49" fontId="5" fillId="0" borderId="40"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pplyProtection="1">
      <alignment horizontal="right" vertical="center" shrinkToFit="1"/>
    </xf>
    <xf numFmtId="0" fontId="2" fillId="10" borderId="7" xfId="1" applyFont="1" applyFill="1" applyBorder="1" applyAlignment="1" applyProtection="1">
      <alignment horizontal="right" vertical="center" shrinkToFit="1"/>
    </xf>
    <xf numFmtId="0" fontId="2" fillId="10" borderId="44" xfId="1" applyFont="1" applyFill="1" applyBorder="1" applyAlignment="1" applyProtection="1">
      <alignment horizontal="left" vertical="center" shrinkToFit="1"/>
    </xf>
    <xf numFmtId="0" fontId="2" fillId="10" borderId="42" xfId="1" applyFont="1" applyFill="1" applyBorder="1" applyAlignment="1" applyProtection="1">
      <alignment horizontal="left" vertical="center" shrinkToFit="1"/>
    </xf>
    <xf numFmtId="0" fontId="2" fillId="2" borderId="6" xfId="1" applyFont="1" applyFill="1" applyBorder="1" applyAlignment="1" applyProtection="1">
      <alignment horizontal="right" vertical="center" shrinkToFit="1"/>
    </xf>
    <xf numFmtId="0" fontId="2" fillId="2" borderId="7" xfId="1" applyFont="1" applyFill="1" applyBorder="1" applyAlignment="1" applyProtection="1">
      <alignment horizontal="right" vertical="center" shrinkToFit="1"/>
    </xf>
    <xf numFmtId="0" fontId="2" fillId="2" borderId="44" xfId="1" applyFont="1" applyFill="1" applyBorder="1" applyAlignment="1" applyProtection="1">
      <alignment horizontal="left" vertical="center" shrinkToFit="1"/>
    </xf>
    <xf numFmtId="0" fontId="2" fillId="2" borderId="42" xfId="1" applyFont="1" applyFill="1" applyBorder="1" applyAlignment="1" applyProtection="1">
      <alignment horizontal="left" vertical="center" shrinkToFit="1"/>
    </xf>
    <xf numFmtId="1" fontId="2" fillId="0" borderId="28" xfId="1" applyNumberFormat="1" applyFont="1" applyBorder="1" applyAlignment="1" applyProtection="1">
      <alignment horizontal="center" vertical="center" shrinkToFit="1" readingOrder="2"/>
    </xf>
    <xf numFmtId="49" fontId="9" fillId="0" borderId="27" xfId="1" applyNumberFormat="1" applyFont="1" applyBorder="1" applyAlignment="1" applyProtection="1">
      <alignment horizontal="center" vertical="center" wrapText="1" shrinkToFit="1" readingOrder="2"/>
      <protection locked="0"/>
    </xf>
    <xf numFmtId="4" fontId="13" fillId="10" borderId="7" xfId="1" applyNumberFormat="1" applyFont="1" applyFill="1" applyBorder="1" applyAlignment="1" applyProtection="1">
      <alignment horizontal="center" vertical="center" shrinkToFit="1" readingOrder="2"/>
      <protection hidden="1"/>
    </xf>
    <xf numFmtId="165" fontId="2" fillId="0" borderId="7" xfId="1" applyNumberFormat="1" applyFont="1" applyBorder="1" applyAlignment="1" applyProtection="1">
      <alignment horizontal="center" vertical="center" shrinkToFit="1" readingOrder="2"/>
      <protection locked="0"/>
    </xf>
    <xf numFmtId="49" fontId="5" fillId="0" borderId="29" xfId="1" applyNumberFormat="1" applyFont="1" applyBorder="1" applyAlignment="1" applyProtection="1">
      <alignment horizontal="center" vertical="center" wrapText="1" shrinkToFit="1" readingOrder="2"/>
      <protection locked="0"/>
    </xf>
    <xf numFmtId="49" fontId="5" fillId="0" borderId="8" xfId="1" applyNumberFormat="1" applyFont="1" applyBorder="1" applyAlignment="1" applyProtection="1">
      <alignment horizontal="center" vertical="center" wrapText="1" shrinkToFit="1" readingOrder="2"/>
      <protection locked="0"/>
    </xf>
    <xf numFmtId="49" fontId="5" fillId="0" borderId="58" xfId="1" applyNumberFormat="1" applyFont="1" applyBorder="1" applyAlignment="1" applyProtection="1">
      <alignment horizontal="center" vertical="center" wrapText="1" shrinkToFit="1" readingOrder="2"/>
      <protection locked="0"/>
    </xf>
    <xf numFmtId="0" fontId="2" fillId="2" borderId="39" xfId="1" applyFont="1" applyFill="1" applyBorder="1" applyAlignment="1" applyProtection="1">
      <alignment horizontal="left" vertical="center" shrinkToFit="1"/>
    </xf>
    <xf numFmtId="0" fontId="2" fillId="2" borderId="37" xfId="1" applyFont="1" applyFill="1" applyBorder="1" applyAlignment="1" applyProtection="1">
      <alignment horizontal="left" vertical="center" shrinkToFit="1"/>
    </xf>
    <xf numFmtId="0" fontId="29" fillId="7" borderId="37" xfId="1" applyFont="1" applyFill="1" applyBorder="1" applyAlignment="1" applyProtection="1">
      <alignment horizontal="right" vertical="center" wrapText="1" shrinkToFit="1" readingOrder="2"/>
      <protection locked="0"/>
    </xf>
    <xf numFmtId="0" fontId="29" fillId="7" borderId="40" xfId="1" applyFont="1" applyFill="1" applyBorder="1" applyAlignment="1" applyProtection="1">
      <alignment horizontal="right" vertical="center" wrapText="1" shrinkToFit="1" readingOrder="2"/>
      <protection locked="0"/>
    </xf>
    <xf numFmtId="0" fontId="2" fillId="2" borderId="37" xfId="1" applyFont="1" applyFill="1" applyBorder="1" applyAlignment="1" applyProtection="1">
      <alignment horizontal="left" vertical="center" shrinkToFit="1" readingOrder="2"/>
    </xf>
    <xf numFmtId="0" fontId="2" fillId="2" borderId="44" xfId="1" applyFont="1" applyFill="1" applyBorder="1" applyAlignment="1" applyProtection="1">
      <alignment horizontal="right" vertical="center" shrinkToFit="1"/>
    </xf>
    <xf numFmtId="0" fontId="15" fillId="0" borderId="3" xfId="1" applyFont="1" applyFill="1" applyBorder="1" applyAlignment="1" applyProtection="1">
      <alignment horizontal="center" vertical="center" shrinkToFit="1" readingOrder="2"/>
      <protection locked="0" hidden="1"/>
    </xf>
    <xf numFmtId="0" fontId="15" fillId="0" borderId="5" xfId="1" applyFont="1" applyFill="1" applyBorder="1" applyAlignment="1" applyProtection="1">
      <alignment horizontal="center" vertical="center" shrinkToFit="1" readingOrder="2"/>
      <protection locked="0" hidden="1"/>
    </xf>
    <xf numFmtId="0" fontId="15" fillId="0" borderId="14" xfId="1" applyFont="1" applyFill="1" applyBorder="1" applyAlignment="1" applyProtection="1">
      <alignment horizontal="center" vertical="center" shrinkToFit="1" readingOrder="2"/>
      <protection locked="0" hidden="1"/>
    </xf>
    <xf numFmtId="0" fontId="15" fillId="0" borderId="15" xfId="1" applyFont="1" applyFill="1" applyBorder="1" applyAlignment="1" applyProtection="1">
      <alignment horizontal="center" vertical="center" shrinkToFit="1" readingOrder="2"/>
      <protection locked="0" hidden="1"/>
    </xf>
    <xf numFmtId="0" fontId="13" fillId="14" borderId="48" xfId="1" applyFont="1" applyFill="1" applyBorder="1" applyAlignment="1" applyProtection="1">
      <alignment horizontal="center" vertical="center"/>
      <protection hidden="1"/>
    </xf>
    <xf numFmtId="0" fontId="13" fillId="14" borderId="22" xfId="1" applyFont="1" applyFill="1" applyBorder="1" applyAlignment="1" applyProtection="1">
      <alignment horizontal="center" vertical="center"/>
      <protection hidden="1"/>
    </xf>
    <xf numFmtId="0" fontId="13" fillId="14" borderId="13" xfId="1" applyFont="1" applyFill="1" applyBorder="1" applyAlignment="1" applyProtection="1">
      <alignment horizontal="center" vertical="center"/>
      <protection hidden="1"/>
    </xf>
    <xf numFmtId="0" fontId="13" fillId="14" borderId="26" xfId="1" applyFont="1" applyFill="1" applyBorder="1" applyAlignment="1" applyProtection="1">
      <alignment horizontal="center" vertical="center"/>
      <protection hidden="1"/>
    </xf>
    <xf numFmtId="0" fontId="23" fillId="13" borderId="47" xfId="1" applyFont="1" applyFill="1" applyBorder="1" applyAlignment="1" applyProtection="1">
      <alignment horizontal="left" vertical="center" shrinkToFit="1" readingOrder="2"/>
      <protection hidden="1"/>
    </xf>
    <xf numFmtId="0" fontId="23" fillId="13" borderId="48" xfId="1" applyFont="1" applyFill="1" applyBorder="1" applyAlignment="1" applyProtection="1">
      <alignment horizontal="left" vertical="center" shrinkToFit="1" readingOrder="2"/>
      <protection hidden="1"/>
    </xf>
    <xf numFmtId="0" fontId="23" fillId="13" borderId="51" xfId="1" applyFont="1" applyFill="1" applyBorder="1" applyAlignment="1" applyProtection="1">
      <alignment horizontal="left" vertical="center" shrinkToFit="1" readingOrder="2"/>
      <protection hidden="1"/>
    </xf>
    <xf numFmtId="0" fontId="23" fillId="13" borderId="53" xfId="1" applyFont="1" applyFill="1" applyBorder="1" applyAlignment="1" applyProtection="1">
      <alignment horizontal="left" vertical="center" shrinkToFit="1" readingOrder="2"/>
      <protection hidden="1"/>
    </xf>
    <xf numFmtId="49" fontId="15" fillId="0" borderId="4" xfId="1" applyNumberFormat="1" applyFont="1" applyBorder="1" applyAlignment="1" applyProtection="1">
      <alignment horizontal="center" vertical="center" wrapText="1" shrinkToFit="1" readingOrder="2"/>
      <protection locked="0"/>
    </xf>
    <xf numFmtId="0" fontId="15" fillId="0" borderId="3" xfId="1" applyFont="1" applyBorder="1" applyAlignment="1" applyProtection="1">
      <alignment horizontal="center" vertical="center" wrapText="1" shrinkToFit="1"/>
      <protection hidden="1"/>
    </xf>
    <xf numFmtId="0" fontId="15" fillId="0" borderId="10" xfId="1" applyFont="1" applyBorder="1" applyAlignment="1" applyProtection="1">
      <alignment horizontal="center" vertical="center" wrapText="1" shrinkToFit="1"/>
      <protection hidden="1"/>
    </xf>
    <xf numFmtId="0" fontId="15" fillId="0" borderId="14" xfId="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wrapText="1" shrinkToFit="1" readingOrder="2"/>
      <protection locked="0"/>
    </xf>
    <xf numFmtId="49" fontId="5" fillId="0" borderId="19" xfId="1" applyNumberFormat="1" applyFont="1" applyBorder="1" applyAlignment="1" applyProtection="1">
      <alignment horizontal="center" vertical="center" wrapText="1" shrinkToFit="1" readingOrder="2"/>
      <protection locked="0"/>
    </xf>
    <xf numFmtId="49" fontId="5" fillId="0" borderId="24" xfId="1" applyNumberFormat="1" applyFont="1" applyBorder="1" applyAlignment="1" applyProtection="1">
      <alignment horizontal="center" vertical="center" wrapText="1" shrinkToFit="1" readingOrder="2"/>
      <protection locked="0"/>
    </xf>
    <xf numFmtId="0" fontId="15" fillId="0" borderId="21" xfId="1" applyFont="1" applyBorder="1" applyAlignment="1" applyProtection="1">
      <alignment horizontal="center" vertical="center" wrapText="1" shrinkToFit="1" readingOrder="2"/>
      <protection hidden="1"/>
    </xf>
    <xf numFmtId="0" fontId="15" fillId="0" borderId="50" xfId="1" applyFont="1" applyBorder="1" applyAlignment="1" applyProtection="1">
      <alignment horizontal="center" vertical="center" wrapText="1" shrinkToFit="1" readingOrder="2"/>
      <protection hidden="1"/>
    </xf>
    <xf numFmtId="4" fontId="13" fillId="10" borderId="3" xfId="1" applyNumberFormat="1" applyFont="1" applyFill="1" applyBorder="1" applyAlignment="1" applyProtection="1">
      <alignment horizontal="center" vertical="center" shrinkToFit="1" readingOrder="2"/>
      <protection hidden="1"/>
    </xf>
    <xf numFmtId="165" fontId="2" fillId="0" borderId="3" xfId="1" applyNumberFormat="1" applyFont="1" applyBorder="1" applyAlignment="1" applyProtection="1">
      <alignment horizontal="center" vertical="center" shrinkToFit="1" readingOrder="2"/>
      <protection locked="0"/>
    </xf>
    <xf numFmtId="49" fontId="5" fillId="0" borderId="5" xfId="1" applyNumberFormat="1" applyFont="1" applyBorder="1" applyAlignment="1" applyProtection="1">
      <alignment horizontal="center" vertical="center" wrapText="1" shrinkToFit="1" readingOrder="2"/>
      <protection locked="0"/>
    </xf>
    <xf numFmtId="0" fontId="2" fillId="10" borderId="41" xfId="1" applyFont="1" applyFill="1" applyBorder="1" applyAlignment="1" applyProtection="1">
      <alignment horizontal="right" vertical="center" shrinkToFit="1"/>
    </xf>
    <xf numFmtId="0" fontId="2" fillId="10" borderId="42" xfId="1" applyFont="1" applyFill="1" applyBorder="1" applyAlignment="1" applyProtection="1">
      <alignment horizontal="right" vertical="center" shrinkToFit="1"/>
    </xf>
    <xf numFmtId="0" fontId="2" fillId="10" borderId="43" xfId="1" applyFont="1" applyFill="1" applyBorder="1" applyAlignment="1" applyProtection="1">
      <alignment horizontal="right" vertical="center" shrinkToFit="1"/>
    </xf>
    <xf numFmtId="0" fontId="2" fillId="2" borderId="28" xfId="1" applyFont="1" applyFill="1" applyBorder="1" applyAlignment="1" applyProtection="1">
      <alignment horizontal="right" vertical="center" shrinkToFit="1"/>
    </xf>
    <xf numFmtId="0" fontId="2" fillId="2" borderId="27" xfId="1" applyFont="1" applyFill="1" applyBorder="1" applyAlignment="1" applyProtection="1">
      <alignment horizontal="right" vertical="center" shrinkToFit="1"/>
    </xf>
    <xf numFmtId="0" fontId="2" fillId="2" borderId="39" xfId="1" applyFont="1" applyFill="1" applyBorder="1" applyAlignment="1" applyProtection="1">
      <alignment horizontal="right" vertical="center" shrinkToFit="1"/>
    </xf>
    <xf numFmtId="1" fontId="2" fillId="0" borderId="2" xfId="1" applyNumberFormat="1" applyFont="1" applyBorder="1" applyAlignment="1" applyProtection="1">
      <alignment horizontal="center" vertical="center" shrinkToFit="1" readingOrder="2"/>
    </xf>
    <xf numFmtId="1" fontId="2" fillId="0" borderId="56" xfId="1" applyNumberFormat="1" applyFont="1" applyBorder="1" applyAlignment="1" applyProtection="1">
      <alignment horizontal="center" vertical="center" shrinkToFit="1" readingOrder="2"/>
    </xf>
    <xf numFmtId="49" fontId="19" fillId="0" borderId="34" xfId="1" applyNumberFormat="1" applyFont="1" applyBorder="1" applyAlignment="1" applyProtection="1">
      <alignment horizontal="center" vertical="center" wrapText="1"/>
      <protection locked="0"/>
    </xf>
    <xf numFmtId="49" fontId="19" fillId="0" borderId="33" xfId="1" applyNumberFormat="1" applyFont="1" applyBorder="1" applyAlignment="1" applyProtection="1">
      <alignment horizontal="center" vertical="center" wrapText="1"/>
      <protection locked="0"/>
    </xf>
    <xf numFmtId="49" fontId="19" fillId="0" borderId="27" xfId="1" applyNumberFormat="1" applyFont="1" applyBorder="1" applyAlignment="1" applyProtection="1">
      <alignment horizontal="center" vertical="center" wrapText="1" readingOrder="2"/>
      <protection locked="0"/>
    </xf>
    <xf numFmtId="0" fontId="15" fillId="0" borderId="23"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shrinkToFit="1" readingOrder="2"/>
      <protection hidden="1"/>
    </xf>
    <xf numFmtId="0" fontId="15" fillId="0" borderId="24" xfId="1" applyFont="1" applyBorder="1" applyAlignment="1" applyProtection="1">
      <alignment horizontal="center" vertical="center" shrinkToFit="1" readingOrder="2"/>
      <protection hidden="1"/>
    </xf>
    <xf numFmtId="0" fontId="15" fillId="0" borderId="25" xfId="1" applyFont="1" applyBorder="1" applyAlignment="1" applyProtection="1">
      <alignment horizontal="center" vertical="center" shrinkToFit="1" readingOrder="2"/>
      <protection hidden="1"/>
    </xf>
    <xf numFmtId="0" fontId="15" fillId="0" borderId="13"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wrapText="1" shrinkToFit="1" readingOrder="2"/>
      <protection hidden="1"/>
    </xf>
    <xf numFmtId="0" fontId="15" fillId="0" borderId="13" xfId="1" applyFont="1" applyBorder="1" applyAlignment="1" applyProtection="1">
      <alignment horizontal="center" vertical="center" wrapText="1" shrinkToFit="1" readingOrder="2"/>
      <protection hidden="1"/>
    </xf>
    <xf numFmtId="0" fontId="2" fillId="0" borderId="6" xfId="1" applyFont="1" applyBorder="1" applyAlignment="1" applyProtection="1">
      <alignment horizontal="right" vertical="center" wrapText="1" shrinkToFit="1" readingOrder="2"/>
      <protection locked="0"/>
    </xf>
    <xf numFmtId="0" fontId="2" fillId="0" borderId="7" xfId="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wrapText="1" shrinkToFit="1" readingOrder="2"/>
      <protection locked="0"/>
    </xf>
    <xf numFmtId="0" fontId="13" fillId="14" borderId="19" xfId="1" applyFont="1" applyFill="1" applyBorder="1" applyAlignment="1" applyProtection="1">
      <alignment horizontal="center" vertical="center" shrinkToFit="1" readingOrder="2"/>
      <protection hidden="1"/>
    </xf>
    <xf numFmtId="0" fontId="13" fillId="14" borderId="13" xfId="1" applyFont="1" applyFill="1" applyBorder="1" applyAlignment="1" applyProtection="1">
      <alignment horizontal="center" vertical="center" shrinkToFit="1" readingOrder="2"/>
      <protection hidden="1"/>
    </xf>
    <xf numFmtId="2" fontId="13" fillId="14" borderId="19" xfId="1" applyNumberFormat="1" applyFont="1" applyFill="1" applyBorder="1" applyAlignment="1" applyProtection="1">
      <alignment horizontal="center" vertical="center" wrapText="1" shrinkToFit="1" readingOrder="2"/>
      <protection hidden="1"/>
    </xf>
    <xf numFmtId="2" fontId="13" fillId="14" borderId="13" xfId="1" applyNumberFormat="1" applyFont="1" applyFill="1" applyBorder="1" applyAlignment="1" applyProtection="1">
      <alignment horizontal="center" vertical="center" wrapText="1" shrinkToFit="1" readingOrder="2"/>
      <protection hidden="1"/>
    </xf>
    <xf numFmtId="0" fontId="13" fillId="14" borderId="18" xfId="1" applyFont="1" applyFill="1" applyBorder="1" applyAlignment="1" applyProtection="1">
      <alignment horizontal="left" vertical="center" wrapText="1" shrinkToFit="1" readingOrder="2"/>
      <protection hidden="1"/>
    </xf>
    <xf numFmtId="0" fontId="13" fillId="14" borderId="19" xfId="1" applyFont="1" applyFill="1" applyBorder="1" applyAlignment="1" applyProtection="1">
      <alignment horizontal="left" vertical="center" wrapText="1" shrinkToFit="1" readingOrder="2"/>
      <protection hidden="1"/>
    </xf>
    <xf numFmtId="0" fontId="13" fillId="14" borderId="12" xfId="1" applyFont="1" applyFill="1" applyBorder="1" applyAlignment="1" applyProtection="1">
      <alignment horizontal="left" vertical="center" wrapText="1" shrinkToFit="1" readingOrder="2"/>
      <protection hidden="1"/>
    </xf>
    <xf numFmtId="0" fontId="13" fillId="14" borderId="13" xfId="1" applyFont="1" applyFill="1" applyBorder="1" applyAlignment="1" applyProtection="1">
      <alignment horizontal="left" vertical="center" wrapText="1" shrinkToFit="1" readingOrder="2"/>
      <protection hidden="1"/>
    </xf>
    <xf numFmtId="0" fontId="5" fillId="0" borderId="55" xfId="1" applyFont="1" applyBorder="1" applyAlignment="1" applyProtection="1">
      <alignment horizontal="center" vertical="center" wrapText="1" shrinkToFit="1" readingOrder="2"/>
      <protection locked="0"/>
    </xf>
    <xf numFmtId="0" fontId="2" fillId="0" borderId="64" xfId="1" applyFont="1" applyBorder="1" applyAlignment="1" applyProtection="1">
      <alignment horizontal="right" vertical="center" wrapText="1" shrinkToFit="1" readingOrder="2"/>
      <protection locked="0"/>
    </xf>
    <xf numFmtId="0" fontId="2" fillId="0" borderId="55" xfId="1" applyFont="1" applyBorder="1" applyAlignment="1" applyProtection="1">
      <alignment horizontal="right" vertical="center" wrapText="1" shrinkToFit="1" readingOrder="2"/>
      <protection locked="0"/>
    </xf>
    <xf numFmtId="0" fontId="15" fillId="0" borderId="55"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wrapText="1" shrinkToFit="1" readingOrder="2"/>
      <protection locked="0"/>
    </xf>
    <xf numFmtId="0" fontId="2" fillId="0" borderId="28" xfId="1" applyFont="1" applyBorder="1" applyAlignment="1" applyProtection="1">
      <alignment horizontal="right" vertical="center" wrapText="1" shrinkToFit="1" readingOrder="2"/>
      <protection locked="0"/>
    </xf>
    <xf numFmtId="0" fontId="2" fillId="0" borderId="27" xfId="1" applyFont="1" applyBorder="1" applyAlignment="1" applyProtection="1">
      <alignment horizontal="right" vertical="center" wrapText="1" shrinkToFit="1" readingOrder="2"/>
      <protection locked="0"/>
    </xf>
    <xf numFmtId="0" fontId="15" fillId="0" borderId="27" xfId="1" applyFont="1" applyBorder="1" applyAlignment="1" applyProtection="1">
      <alignment horizontal="center" vertical="center" wrapText="1" shrinkToFit="1" readingOrder="2"/>
      <protection locked="0"/>
    </xf>
    <xf numFmtId="49" fontId="19" fillId="0" borderId="47" xfId="1" applyNumberFormat="1" applyFont="1" applyBorder="1" applyAlignment="1" applyProtection="1">
      <alignment horizontal="right" vertical="center" wrapText="1" shrinkToFit="1" readingOrder="2"/>
      <protection locked="0"/>
    </xf>
    <xf numFmtId="49" fontId="19" fillId="0" borderId="48" xfId="1" applyNumberFormat="1" applyFont="1" applyBorder="1" applyAlignment="1" applyProtection="1">
      <alignment horizontal="right" vertical="center" wrapText="1" shrinkToFit="1" readingOrder="2"/>
      <protection locked="0"/>
    </xf>
    <xf numFmtId="49" fontId="19" fillId="0" borderId="22" xfId="1" applyNumberFormat="1" applyFont="1" applyBorder="1" applyAlignment="1" applyProtection="1">
      <alignment horizontal="right" vertical="center" wrapText="1" shrinkToFit="1" readingOrder="2"/>
      <protection locked="0"/>
    </xf>
    <xf numFmtId="49" fontId="15" fillId="0" borderId="3" xfId="1" applyNumberFormat="1" applyFont="1" applyBorder="1" applyAlignment="1" applyProtection="1">
      <alignment horizontal="center" vertical="center" wrapText="1" shrinkToFit="1" readingOrder="2"/>
      <protection locked="0"/>
    </xf>
    <xf numFmtId="0" fontId="15" fillId="0" borderId="18" xfId="1" applyFont="1" applyBorder="1" applyAlignment="1" applyProtection="1">
      <alignment horizontal="center" vertical="center" shrinkToFit="1" readingOrder="2"/>
      <protection hidden="1"/>
    </xf>
    <xf numFmtId="0" fontId="15" fillId="0" borderId="20" xfId="1" applyFont="1" applyBorder="1" applyAlignment="1" applyProtection="1">
      <alignment horizontal="center" vertical="center" shrinkToFit="1" readingOrder="2"/>
      <protection hidden="1"/>
    </xf>
    <xf numFmtId="0" fontId="15" fillId="0" borderId="12" xfId="1" applyFont="1" applyBorder="1" applyAlignment="1" applyProtection="1">
      <alignment horizontal="center" vertical="center" shrinkToFit="1" readingOrder="2"/>
      <protection hidden="1"/>
    </xf>
    <xf numFmtId="0" fontId="15" fillId="0" borderId="16" xfId="1" applyFont="1" applyBorder="1" applyAlignment="1" applyProtection="1">
      <alignment horizontal="center" vertical="center" shrinkToFit="1" readingOrder="2"/>
      <protection hidden="1"/>
    </xf>
    <xf numFmtId="0" fontId="23" fillId="13" borderId="9" xfId="1" applyFont="1" applyFill="1" applyBorder="1" applyAlignment="1" applyProtection="1">
      <alignment horizontal="left" vertical="center" shrinkToFit="1" readingOrder="2"/>
    </xf>
    <xf numFmtId="0" fontId="23" fillId="13" borderId="10"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center" vertical="center" shrinkToFit="1" readingOrder="2"/>
    </xf>
    <xf numFmtId="0" fontId="23" fillId="13" borderId="22" xfId="1" applyFont="1" applyFill="1" applyBorder="1" applyAlignment="1" applyProtection="1">
      <alignment horizontal="center" vertical="center" shrinkToFit="1" readingOrder="2"/>
    </xf>
    <xf numFmtId="0" fontId="23" fillId="13" borderId="47"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left" vertical="center" shrinkToFit="1" readingOrder="2"/>
    </xf>
    <xf numFmtId="0" fontId="15" fillId="0" borderId="3"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49" fontId="19" fillId="0" borderId="27" xfId="1" applyNumberFormat="1" applyFont="1" applyBorder="1" applyAlignment="1" applyProtection="1">
      <alignment horizontal="right" vertical="center" wrapText="1" shrinkToFit="1" readingOrder="2"/>
      <protection locked="0"/>
    </xf>
    <xf numFmtId="49" fontId="19" fillId="0" borderId="27" xfId="1" applyNumberFormat="1" applyFont="1" applyBorder="1" applyAlignment="1" applyProtection="1">
      <alignment horizontal="center" vertical="center" wrapText="1"/>
      <protection locked="0"/>
    </xf>
    <xf numFmtId="0" fontId="2" fillId="0" borderId="5" xfId="1" applyFont="1" applyBorder="1" applyAlignment="1" applyProtection="1">
      <alignment horizontal="center" vertical="center" wrapText="1" shrinkToFit="1" readingOrder="2"/>
    </xf>
    <xf numFmtId="49" fontId="31" fillId="0" borderId="44" xfId="1" applyNumberFormat="1" applyFont="1" applyBorder="1" applyAlignment="1" applyProtection="1">
      <alignment horizontal="center" vertical="center" wrapText="1" shrinkToFit="1" readingOrder="2"/>
      <protection locked="0"/>
    </xf>
    <xf numFmtId="49" fontId="31" fillId="0" borderId="3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vertical="center" shrinkToFit="1" readingOrder="2"/>
      <protection hidden="1"/>
    </xf>
    <xf numFmtId="0" fontId="2" fillId="0" borderId="20" xfId="1" applyFont="1" applyBorder="1" applyAlignment="1" applyProtection="1">
      <alignment horizontal="right" vertical="center" shrinkToFit="1" readingOrder="2"/>
      <protection hidden="1"/>
    </xf>
    <xf numFmtId="0" fontId="2" fillId="0" borderId="19" xfId="1" applyFont="1" applyBorder="1" applyAlignment="1" applyProtection="1">
      <alignment horizontal="left" vertical="center" shrinkToFit="1" readingOrder="2"/>
      <protection hidden="1"/>
    </xf>
    <xf numFmtId="49" fontId="2" fillId="0" borderId="19" xfId="1" applyNumberFormat="1" applyFont="1" applyBorder="1" applyAlignment="1" applyProtection="1">
      <alignment horizontal="right" vertical="center" shrinkToFit="1" readingOrder="2"/>
      <protection hidden="1"/>
    </xf>
    <xf numFmtId="0" fontId="6" fillId="0" borderId="0" xfId="1" applyFont="1" applyBorder="1" applyAlignment="1" applyProtection="1">
      <alignment horizontal="center" vertical="center" wrapText="1" shrinkToFit="1" readingOrder="2"/>
      <protection hidden="1"/>
    </xf>
    <xf numFmtId="49" fontId="31" fillId="0" borderId="39" xfId="1" applyNumberFormat="1" applyFont="1" applyBorder="1" applyAlignment="1" applyProtection="1">
      <alignment horizontal="center" vertical="center" wrapText="1" shrinkToFit="1" readingOrder="2"/>
      <protection locked="0"/>
    </xf>
    <xf numFmtId="49" fontId="31" fillId="0" borderId="37" xfId="1" applyNumberFormat="1" applyFont="1" applyBorder="1" applyAlignment="1" applyProtection="1">
      <alignment horizontal="center" vertical="center" wrapText="1" shrinkToFit="1" readingOrder="2"/>
      <protection locked="0"/>
    </xf>
    <xf numFmtId="49" fontId="31" fillId="0" borderId="38" xfId="1" applyNumberFormat="1" applyFont="1" applyBorder="1" applyAlignment="1" applyProtection="1">
      <alignment horizontal="center" vertical="center" wrapText="1" shrinkToFit="1" readingOrder="2"/>
      <protection locked="0"/>
    </xf>
    <xf numFmtId="0" fontId="15" fillId="0" borderId="8" xfId="1" applyFont="1" applyBorder="1" applyAlignment="1" applyProtection="1">
      <alignment horizontal="center" vertical="center" wrapText="1" shrinkToFit="1" readingOrder="2"/>
      <protection hidden="1"/>
    </xf>
    <xf numFmtId="49" fontId="21" fillId="0" borderId="27" xfId="1" applyNumberFormat="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hidden="1"/>
    </xf>
    <xf numFmtId="0" fontId="15" fillId="0" borderId="6" xfId="1" applyFont="1" applyBorder="1" applyAlignment="1" applyProtection="1">
      <alignment horizontal="center" vertical="center" textRotation="90" shrinkToFit="1" readingOrder="2"/>
      <protection hidden="1"/>
    </xf>
    <xf numFmtId="0" fontId="15" fillId="0" borderId="7"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textRotation="90" shrinkToFit="1" readingOrder="2"/>
      <protection hidden="1"/>
    </xf>
    <xf numFmtId="49" fontId="33" fillId="0" borderId="27" xfId="1" applyNumberFormat="1" applyFont="1" applyBorder="1" applyAlignment="1" applyProtection="1">
      <alignment horizontal="center" vertical="center" wrapTex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21" fillId="0" borderId="7" xfId="1" applyNumberFormat="1" applyFont="1" applyBorder="1" applyAlignment="1" applyProtection="1">
      <alignment horizontal="right" vertical="center" wrapText="1"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wrapText="1" readingOrder="2"/>
      <protection locked="0"/>
    </xf>
    <xf numFmtId="49" fontId="21" fillId="0" borderId="57" xfId="1" applyNumberFormat="1" applyFont="1" applyBorder="1" applyAlignment="1" applyProtection="1">
      <alignment horizontal="right" vertical="center" wrapText="1"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wrapText="1" readingOrder="2"/>
      <protection locked="0"/>
    </xf>
    <xf numFmtId="166" fontId="14" fillId="8" borderId="57" xfId="1" applyNumberFormat="1" applyFont="1" applyFill="1" applyBorder="1" applyAlignment="1" applyProtection="1">
      <alignment horizontal="center" vertical="center" shrinkToFit="1" readingOrder="2"/>
      <protection hidden="1"/>
    </xf>
    <xf numFmtId="166" fontId="14" fillId="8" borderId="14" xfId="1" applyNumberFormat="1" applyFont="1" applyFill="1" applyBorder="1" applyAlignment="1" applyProtection="1">
      <alignment horizontal="center" vertical="center" shrinkToFit="1" readingOrder="2"/>
      <protection hidden="1"/>
    </xf>
    <xf numFmtId="0" fontId="35" fillId="0" borderId="19" xfId="0" applyFont="1" applyBorder="1" applyAlignment="1" applyProtection="1">
      <alignment horizontal="right" vertical="top" wrapText="1" readingOrder="2"/>
      <protection hidden="1"/>
    </xf>
    <xf numFmtId="0" fontId="35" fillId="0" borderId="19" xfId="0" applyFont="1" applyBorder="1" applyAlignment="1" applyProtection="1">
      <alignment horizontal="right" vertical="top" readingOrder="2"/>
      <protection hidden="1"/>
    </xf>
    <xf numFmtId="0" fontId="23" fillId="13" borderId="2" xfId="1" applyFont="1" applyFill="1" applyBorder="1" applyAlignment="1" applyProtection="1">
      <alignment horizontal="left" vertical="center" shrinkToFit="1" readingOrder="2"/>
      <protection hidden="1"/>
    </xf>
    <xf numFmtId="0" fontId="23" fillId="13" borderId="3" xfId="1" applyFont="1" applyFill="1" applyBorder="1" applyAlignment="1" applyProtection="1">
      <alignment horizontal="left" vertical="center" shrinkToFit="1" readingOrder="2"/>
      <protection hidden="1"/>
    </xf>
    <xf numFmtId="0" fontId="23" fillId="13" borderId="31"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left" vertical="center" shrinkToFit="1" readingOrder="2"/>
      <protection hidden="1"/>
    </xf>
    <xf numFmtId="0" fontId="23" fillId="13" borderId="12" xfId="1" applyFont="1" applyFill="1" applyBorder="1" applyAlignment="1" applyProtection="1">
      <alignment horizontal="left" vertical="center" shrinkToFit="1" readingOrder="2"/>
      <protection hidden="1"/>
    </xf>
    <xf numFmtId="0" fontId="23" fillId="13" borderId="13"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center" vertical="center" shrinkToFit="1" readingOrder="2"/>
      <protection hidden="1"/>
    </xf>
    <xf numFmtId="0" fontId="23" fillId="13" borderId="33" xfId="1" applyFont="1" applyFill="1" applyBorder="1" applyAlignment="1" applyProtection="1">
      <alignment horizontal="center"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0" fontId="23" fillId="13" borderId="26" xfId="1" applyFont="1" applyFill="1" applyBorder="1" applyAlignment="1" applyProtection="1">
      <alignment horizontal="center" vertical="center" shrinkToFit="1" readingOrder="2"/>
      <protection hidden="1"/>
    </xf>
    <xf numFmtId="166" fontId="14" fillId="11" borderId="57" xfId="1" applyNumberFormat="1" applyFont="1" applyFill="1" applyBorder="1" applyAlignment="1" applyProtection="1">
      <alignment horizontal="center" vertical="center" shrinkToFit="1" readingOrder="2"/>
      <protection hidden="1"/>
    </xf>
    <xf numFmtId="166" fontId="14" fillId="11" borderId="14" xfId="1" applyNumberFormat="1" applyFont="1" applyFill="1" applyBorder="1" applyAlignment="1" applyProtection="1">
      <alignment horizontal="center" vertical="center" shrinkToFit="1" readingOrder="2"/>
      <protection hidden="1"/>
    </xf>
    <xf numFmtId="0" fontId="23" fillId="13" borderId="6" xfId="1" applyFont="1" applyFill="1" applyBorder="1" applyAlignment="1" applyProtection="1">
      <alignment horizontal="left" vertical="center" shrinkToFit="1" readingOrder="2"/>
      <protection hidden="1"/>
    </xf>
    <xf numFmtId="0" fontId="23" fillId="13" borderId="7" xfId="1" applyFont="1" applyFill="1" applyBorder="1" applyAlignment="1" applyProtection="1">
      <alignment horizontal="left" vertical="center" shrinkToFit="1" readingOrder="2"/>
      <protection hidden="1"/>
    </xf>
    <xf numFmtId="2" fontId="14" fillId="0" borderId="57" xfId="1" applyNumberFormat="1" applyFont="1" applyFill="1" applyBorder="1" applyAlignment="1" applyProtection="1">
      <alignment horizontal="center" vertical="center" shrinkToFit="1" readingOrder="2"/>
      <protection locked="0"/>
    </xf>
    <xf numFmtId="2" fontId="14" fillId="0" borderId="14" xfId="1" applyNumberFormat="1" applyFont="1" applyFill="1" applyBorder="1" applyAlignment="1" applyProtection="1">
      <alignment horizontal="center" vertical="center" shrinkToFit="1" readingOrder="2"/>
      <protection locked="0"/>
    </xf>
    <xf numFmtId="0" fontId="15" fillId="0" borderId="58" xfId="1" applyFont="1" applyFill="1" applyBorder="1" applyAlignment="1" applyProtection="1">
      <alignment horizontal="center" vertical="center" shrinkToFit="1" readingOrder="2"/>
      <protection locked="0"/>
    </xf>
    <xf numFmtId="0" fontId="15" fillId="0" borderId="15" xfId="1" applyFont="1" applyFill="1" applyBorder="1" applyAlignment="1" applyProtection="1">
      <alignment horizontal="center" vertical="center" shrinkToFit="1" readingOrder="2"/>
      <protection locked="0"/>
    </xf>
    <xf numFmtId="49" fontId="33" fillId="0" borderId="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wrapText="1" shrinkToFit="1" readingOrder="2"/>
      <protection locked="0"/>
    </xf>
    <xf numFmtId="0" fontId="23" fillId="13" borderId="18" xfId="1" applyFont="1" applyFill="1" applyBorder="1" applyAlignment="1" applyProtection="1">
      <alignment horizontal="left" vertical="center" shrinkToFit="1" readingOrder="2"/>
      <protection hidden="1"/>
    </xf>
    <xf numFmtId="0" fontId="23" fillId="13" borderId="19" xfId="1" applyFont="1" applyFill="1" applyBorder="1" applyAlignment="1" applyProtection="1">
      <alignment horizontal="left" vertical="center" shrinkToFit="1" readingOrder="2"/>
      <protection hidden="1"/>
    </xf>
    <xf numFmtId="0" fontId="23" fillId="14" borderId="19" xfId="1" applyFont="1" applyFill="1" applyBorder="1" applyAlignment="1" applyProtection="1">
      <alignment horizontal="center" vertical="center" shrinkToFit="1" readingOrder="2"/>
      <protection hidden="1"/>
    </xf>
    <xf numFmtId="0" fontId="23" fillId="14" borderId="13" xfId="1" applyFont="1" applyFill="1" applyBorder="1" applyAlignment="1" applyProtection="1">
      <alignment horizontal="center" vertical="center" shrinkToFit="1" readingOrder="2"/>
      <protection hidden="1"/>
    </xf>
    <xf numFmtId="2" fontId="23" fillId="11" borderId="3" xfId="1" applyNumberFormat="1" applyFont="1" applyFill="1" applyBorder="1" applyAlignment="1" applyProtection="1">
      <alignment horizontal="center" vertical="center" shrinkToFit="1" readingOrder="2"/>
      <protection hidden="1"/>
    </xf>
    <xf numFmtId="2" fontId="23" fillId="11" borderId="10" xfId="1" applyNumberFormat="1" applyFont="1" applyFill="1" applyBorder="1" applyAlignment="1" applyProtection="1">
      <alignment horizontal="center" vertical="center" shrinkToFit="1" readingOrder="2"/>
      <protection hidden="1"/>
    </xf>
    <xf numFmtId="2" fontId="23" fillId="8" borderId="3" xfId="1" applyNumberFormat="1" applyFont="1" applyFill="1" applyBorder="1" applyAlignment="1" applyProtection="1">
      <alignment horizontal="center" vertical="center" shrinkToFit="1" readingOrder="2"/>
      <protection hidden="1"/>
    </xf>
    <xf numFmtId="2" fontId="23" fillId="8" borderId="10" xfId="1" applyNumberFormat="1" applyFont="1" applyFill="1" applyBorder="1" applyAlignment="1" applyProtection="1">
      <alignment horizontal="center" vertical="center" shrinkToFit="1" readingOrder="2"/>
      <protection hidden="1"/>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49" fontId="33" fillId="0" borderId="57" xfId="1" applyNumberFormat="1" applyFont="1" applyBorder="1" applyAlignment="1" applyProtection="1">
      <alignment horizontal="center" vertical="center" wrapText="1"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shrinkToFit="1" readingOrder="2"/>
      <protection locked="0"/>
    </xf>
    <xf numFmtId="49" fontId="19" fillId="0" borderId="42" xfId="1" applyNumberFormat="1" applyFont="1" applyBorder="1" applyAlignment="1" applyProtection="1">
      <alignment horizontal="center" vertical="center" shrinkToFit="1" readingOrder="2"/>
      <protection locked="0"/>
    </xf>
    <xf numFmtId="49" fontId="19" fillId="0" borderId="43" xfId="1" applyNumberFormat="1" applyFont="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shrinkToFit="1" readingOrder="2"/>
      <protection locked="0"/>
    </xf>
    <xf numFmtId="49" fontId="19" fillId="0" borderId="37" xfId="1" applyNumberFormat="1" applyFont="1" applyBorder="1" applyAlignment="1" applyProtection="1">
      <alignment horizontal="center" vertical="center" shrinkToFit="1" readingOrder="2"/>
      <protection locked="0"/>
    </xf>
    <xf numFmtId="49" fontId="19" fillId="0" borderId="38" xfId="1" applyNumberFormat="1" applyFont="1" applyBorder="1" applyAlignment="1" applyProtection="1">
      <alignment horizontal="center" vertical="center" shrinkToFit="1" readingOrder="2"/>
      <protection locked="0"/>
    </xf>
    <xf numFmtId="0" fontId="6" fillId="0" borderId="13" xfId="1" applyFont="1" applyBorder="1" applyAlignment="1" applyProtection="1">
      <alignment horizontal="center" vertical="center" shrinkToFit="1" readingOrder="2"/>
      <protection hidden="1"/>
    </xf>
    <xf numFmtId="0" fontId="6" fillId="0" borderId="1" xfId="1" applyFont="1" applyBorder="1" applyAlignment="1" applyProtection="1">
      <alignment horizontal="center" vertical="center" shrinkToFit="1" readingOrder="2"/>
      <protection hidden="1"/>
    </xf>
    <xf numFmtId="0" fontId="2" fillId="0" borderId="66" xfId="1" applyFont="1" applyBorder="1" applyAlignment="1" applyProtection="1">
      <alignment horizontal="center" vertical="center" shrinkToFit="1" readingOrder="2"/>
      <protection locked="0"/>
    </xf>
    <xf numFmtId="0" fontId="2" fillId="0" borderId="67" xfId="1" applyFont="1" applyBorder="1" applyAlignment="1" applyProtection="1">
      <alignment horizontal="center" vertical="center" shrinkToFit="1" readingOrder="2"/>
      <protection locked="0"/>
    </xf>
    <xf numFmtId="0" fontId="31" fillId="0" borderId="7" xfId="1" applyFont="1" applyBorder="1" applyAlignment="1" applyProtection="1">
      <alignment horizontal="center" vertical="center" wrapText="1" shrinkToFit="1"/>
      <protection locked="0"/>
    </xf>
    <xf numFmtId="0" fontId="31" fillId="0" borderId="57" xfId="1" applyFont="1" applyBorder="1" applyAlignment="1" applyProtection="1">
      <alignment horizontal="center" vertical="center" wrapText="1" shrinkToFit="1"/>
      <protection locked="0"/>
    </xf>
    <xf numFmtId="49" fontId="29" fillId="0" borderId="57" xfId="1" applyNumberFormat="1" applyFont="1" applyBorder="1" applyAlignment="1" applyProtection="1">
      <alignment horizontal="center" vertical="center" wrapText="1" shrinkToFit="1" readingOrder="2"/>
      <protection locked="0"/>
    </xf>
    <xf numFmtId="49" fontId="29" fillId="0" borderId="58" xfId="1" applyNumberFormat="1" applyFont="1" applyBorder="1" applyAlignment="1" applyProtection="1">
      <alignment horizontal="center" vertical="center" wrapText="1" shrinkToFit="1" readingOrder="2"/>
      <protection locked="0"/>
    </xf>
    <xf numFmtId="0" fontId="23" fillId="13" borderId="1" xfId="0" applyFont="1" applyFill="1" applyBorder="1" applyAlignment="1" applyProtection="1">
      <alignment horizontal="right" vertical="center" shrinkToFit="1" readingOrder="2"/>
      <protection hidden="1"/>
    </xf>
    <xf numFmtId="0" fontId="23" fillId="13" borderId="30" xfId="0" applyFont="1" applyFill="1" applyBorder="1" applyAlignment="1" applyProtection="1">
      <alignment horizontal="right" vertical="center" shrinkToFit="1" readingOrder="2"/>
      <protection hidden="1"/>
    </xf>
    <xf numFmtId="0" fontId="9" fillId="0" borderId="10"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shrinkToFit="1" readingOrder="2"/>
      <protection hidden="1"/>
    </xf>
    <xf numFmtId="0" fontId="9" fillId="0" borderId="3" xfId="1" applyFont="1" applyBorder="1" applyAlignment="1" applyProtection="1">
      <alignment horizontal="center" vertical="center" wrapText="1" shrinkToFit="1"/>
      <protection hidden="1"/>
    </xf>
    <xf numFmtId="0" fontId="9" fillId="0" borderId="10" xfId="1" applyFont="1" applyBorder="1" applyAlignment="1" applyProtection="1">
      <alignment horizontal="center" vertical="center" wrapText="1" shrinkToFit="1"/>
      <protection hidden="1"/>
    </xf>
    <xf numFmtId="0" fontId="9" fillId="0" borderId="2" xfId="1" applyFont="1" applyBorder="1" applyAlignment="1" applyProtection="1">
      <alignment horizontal="center" vertical="center" wrapText="1" shrinkToFit="1" readingOrder="2"/>
      <protection hidden="1"/>
    </xf>
    <xf numFmtId="0" fontId="9" fillId="0" borderId="9"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locked="0"/>
    </xf>
    <xf numFmtId="49" fontId="29" fillId="0" borderId="8" xfId="1" applyNumberFormat="1" applyFont="1" applyBorder="1" applyAlignment="1" applyProtection="1">
      <alignment horizontal="center" vertical="center" wrapText="1" shrinkToFit="1" readingOrder="2"/>
      <protection locked="0"/>
    </xf>
    <xf numFmtId="0" fontId="31" fillId="0" borderId="27" xfId="1" applyFont="1" applyBorder="1" applyAlignment="1" applyProtection="1">
      <alignment horizontal="center" vertical="center" wrapText="1" shrinkToFit="1"/>
      <protection locked="0"/>
    </xf>
    <xf numFmtId="0" fontId="9" fillId="0" borderId="5" xfId="1" applyFont="1" applyBorder="1" applyAlignment="1" applyProtection="1">
      <alignment horizontal="center" vertical="center" wrapText="1" shrinkToFit="1" readingOrder="2"/>
      <protection hidden="1"/>
    </xf>
    <xf numFmtId="0" fontId="9" fillId="0" borderId="11" xfId="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locked="0"/>
    </xf>
    <xf numFmtId="49" fontId="29" fillId="0" borderId="29" xfId="1" applyNumberFormat="1" applyFont="1" applyBorder="1" applyAlignment="1" applyProtection="1">
      <alignment horizontal="center" vertical="center" wrapText="1" shrinkToFit="1" readingOrder="2"/>
      <protection locked="0"/>
    </xf>
    <xf numFmtId="1" fontId="19" fillId="0" borderId="44" xfId="1" applyNumberFormat="1" applyFont="1" applyBorder="1" applyAlignment="1" applyProtection="1">
      <alignment horizontal="center" vertical="center" wrapText="1"/>
      <protection locked="0"/>
    </xf>
    <xf numFmtId="1" fontId="19" fillId="0" borderId="43" xfId="1" applyNumberFormat="1" applyFont="1" applyBorder="1" applyAlignment="1" applyProtection="1">
      <alignment horizontal="center" vertical="center" wrapText="1"/>
      <protection locked="0"/>
    </xf>
    <xf numFmtId="1" fontId="19" fillId="0" borderId="39" xfId="1" applyNumberFormat="1" applyFont="1" applyBorder="1" applyAlignment="1" applyProtection="1">
      <alignment horizontal="center" vertical="center" wrapText="1"/>
      <protection locked="0"/>
    </xf>
    <xf numFmtId="1" fontId="19" fillId="0" borderId="38"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shrinkToFit="1" readingOrder="2"/>
      <protection hidden="1"/>
    </xf>
    <xf numFmtId="0" fontId="15" fillId="0" borderId="52" xfId="1" applyFont="1" applyBorder="1" applyAlignment="1" applyProtection="1">
      <alignment horizontal="center" vertical="center" wrapText="1" shrinkToFit="1" readingOrder="2"/>
      <protection hidden="1"/>
    </xf>
    <xf numFmtId="49" fontId="19" fillId="0" borderId="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1" fontId="19" fillId="0" borderId="37" xfId="1" applyNumberFormat="1" applyFont="1" applyBorder="1" applyAlignment="1" applyProtection="1">
      <alignment horizontal="center" vertical="center" wrapText="1"/>
      <protection locked="0"/>
    </xf>
    <xf numFmtId="1" fontId="19" fillId="0" borderId="42" xfId="1" applyNumberFormat="1" applyFont="1" applyBorder="1" applyAlignment="1" applyProtection="1">
      <alignment horizontal="center" vertical="center" wrapText="1"/>
      <protection locked="0"/>
    </xf>
    <xf numFmtId="49" fontId="19" fillId="0" borderId="32" xfId="1" applyNumberFormat="1" applyFont="1" applyBorder="1" applyAlignment="1" applyProtection="1">
      <alignment horizontal="center" vertical="center" wrapText="1" readingOrder="2"/>
      <protection locked="0"/>
    </xf>
    <xf numFmtId="49" fontId="19" fillId="0" borderId="33" xfId="1" applyNumberFormat="1" applyFont="1" applyBorder="1" applyAlignment="1" applyProtection="1">
      <alignment horizontal="center" vertical="center" wrapText="1" readingOrder="2"/>
      <protection locked="0"/>
    </xf>
    <xf numFmtId="1" fontId="19" fillId="0" borderId="34" xfId="1" applyNumberFormat="1" applyFont="1" applyBorder="1" applyAlignment="1" applyProtection="1">
      <alignment horizontal="center" vertical="center" wrapText="1"/>
      <protection locked="0"/>
    </xf>
    <xf numFmtId="1" fontId="19" fillId="0" borderId="32" xfId="1" applyNumberFormat="1" applyFont="1" applyBorder="1" applyAlignment="1" applyProtection="1">
      <alignment horizontal="center" vertical="center" wrapText="1"/>
      <protection locked="0"/>
    </xf>
    <xf numFmtId="1" fontId="19" fillId="0" borderId="33" xfId="1" applyNumberFormat="1" applyFont="1" applyBorder="1" applyAlignment="1" applyProtection="1">
      <alignment horizontal="center" vertical="center" wrapText="1"/>
      <protection locked="0"/>
    </xf>
    <xf numFmtId="0" fontId="15" fillId="0" borderId="53" xfId="1" applyFont="1" applyBorder="1" applyAlignment="1" applyProtection="1">
      <alignment horizontal="center" vertical="center" wrapText="1" shrinkToFit="1" readingOrder="2"/>
      <protection hidden="1"/>
    </xf>
    <xf numFmtId="1" fontId="19" fillId="0" borderId="44" xfId="1" applyNumberFormat="1" applyFont="1" applyBorder="1" applyAlignment="1" applyProtection="1">
      <alignment horizontal="center" vertical="center" wrapText="1"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1" fontId="19" fillId="0" borderId="39" xfId="1" applyNumberFormat="1" applyFont="1" applyBorder="1" applyAlignment="1" applyProtection="1">
      <alignment horizontal="center" vertical="center" wrapText="1"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0" fontId="2" fillId="0" borderId="4" xfId="1" applyFont="1" applyBorder="1" applyAlignment="1" applyProtection="1">
      <alignment horizontal="center" vertical="center" wrapText="1" shrinkToFit="1" readingOrder="2"/>
      <protection hidden="1"/>
    </xf>
    <xf numFmtId="0" fontId="2" fillId="0" borderId="14" xfId="1" applyFont="1" applyBorder="1" applyAlignment="1" applyProtection="1">
      <alignment horizontal="center" vertical="center" wrapText="1" shrinkToFit="1" readingOrder="2"/>
      <protection hidden="1"/>
    </xf>
    <xf numFmtId="0" fontId="23" fillId="13" borderId="2"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center" vertical="center" shrinkToFit="1" readingOrder="2"/>
      <protection hidden="1"/>
    </xf>
    <xf numFmtId="0" fontId="23" fillId="13" borderId="9"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center" vertical="center" shrinkToFit="1" readingOrder="2"/>
      <protection hidden="1"/>
    </xf>
    <xf numFmtId="0" fontId="6" fillId="0" borderId="0" xfId="1" applyFont="1" applyFill="1" applyBorder="1" applyAlignment="1" applyProtection="1">
      <alignment horizontal="center" vertical="center" shrinkToFit="1" readingOrder="2"/>
      <protection hidden="1"/>
    </xf>
    <xf numFmtId="0" fontId="5" fillId="0" borderId="17" xfId="1" applyFont="1" applyBorder="1" applyAlignment="1" applyProtection="1">
      <alignment horizontal="right" vertical="top" wrapText="1"/>
      <protection hidden="1"/>
    </xf>
    <xf numFmtId="0" fontId="5" fillId="0" borderId="0" xfId="1" applyFont="1" applyBorder="1" applyAlignment="1" applyProtection="1">
      <alignment horizontal="right" vertical="top" wrapText="1"/>
      <protection hidden="1"/>
    </xf>
    <xf numFmtId="0" fontId="5" fillId="0" borderId="60" xfId="1" applyFont="1" applyBorder="1" applyAlignment="1" applyProtection="1">
      <alignment horizontal="right" vertical="top" wrapText="1"/>
      <protection hidden="1"/>
    </xf>
    <xf numFmtId="2" fontId="5" fillId="0" borderId="17" xfId="1" applyNumberFormat="1" applyFont="1" applyBorder="1" applyAlignment="1" applyProtection="1">
      <alignment horizontal="center" vertical="center" shrinkToFit="1" readingOrder="2"/>
      <protection hidden="1"/>
    </xf>
    <xf numFmtId="2" fontId="5" fillId="0" borderId="0" xfId="1" applyNumberFormat="1" applyFont="1" applyBorder="1" applyAlignment="1" applyProtection="1">
      <alignment horizontal="center" vertical="center" shrinkToFit="1" readingOrder="2"/>
      <protection hidden="1"/>
    </xf>
    <xf numFmtId="2" fontId="5" fillId="0" borderId="60" xfId="1" applyNumberFormat="1" applyFont="1" applyBorder="1" applyAlignment="1" applyProtection="1">
      <alignment horizontal="center" vertical="center" shrinkToFit="1" readingOrder="2"/>
      <protection hidden="1"/>
    </xf>
    <xf numFmtId="0" fontId="5" fillId="0" borderId="0" xfId="1" applyFont="1" applyFill="1" applyBorder="1" applyAlignment="1" applyProtection="1">
      <alignment horizontal="center" vertical="center" shrinkToFit="1" readingOrder="2"/>
      <protection hidden="1"/>
    </xf>
    <xf numFmtId="0" fontId="5" fillId="0" borderId="60" xfId="1" applyFont="1" applyFill="1" applyBorder="1" applyAlignment="1" applyProtection="1">
      <alignment horizontal="center" vertical="center" shrinkToFit="1" readingOrder="2"/>
      <protection hidden="1"/>
    </xf>
    <xf numFmtId="0" fontId="5" fillId="0" borderId="32" xfId="1" applyFont="1" applyFill="1" applyBorder="1" applyAlignment="1" applyProtection="1">
      <alignment horizontal="center" vertical="center" wrapText="1" readingOrder="2"/>
      <protection hidden="1"/>
    </xf>
    <xf numFmtId="0" fontId="5" fillId="0" borderId="33" xfId="1" applyFont="1" applyFill="1" applyBorder="1" applyAlignment="1" applyProtection="1">
      <alignment horizontal="center" vertical="center" wrapText="1" readingOrder="2"/>
      <protection hidden="1"/>
    </xf>
    <xf numFmtId="0" fontId="15" fillId="0" borderId="17" xfId="1" applyFont="1" applyBorder="1" applyAlignment="1" applyProtection="1">
      <alignment horizontal="right" vertical="top" wrapText="1"/>
      <protection locked="0" hidden="1"/>
    </xf>
    <xf numFmtId="0" fontId="15" fillId="0" borderId="0" xfId="1" applyFont="1" applyBorder="1" applyAlignment="1" applyProtection="1">
      <alignment horizontal="right" vertical="top" wrapText="1"/>
      <protection locked="0" hidden="1"/>
    </xf>
    <xf numFmtId="0" fontId="15" fillId="0" borderId="60" xfId="1" applyFont="1" applyBorder="1" applyAlignment="1" applyProtection="1">
      <alignment horizontal="right" vertical="top" wrapText="1"/>
      <protection locked="0" hidden="1"/>
    </xf>
    <xf numFmtId="0" fontId="15" fillId="0" borderId="12" xfId="1" applyFont="1" applyBorder="1" applyAlignment="1" applyProtection="1">
      <alignment horizontal="center" vertical="center" wrapText="1"/>
      <protection hidden="1"/>
    </xf>
    <xf numFmtId="0" fontId="15" fillId="0" borderId="13" xfId="1" applyFont="1" applyBorder="1" applyAlignment="1" applyProtection="1">
      <alignment horizontal="center" vertical="center" wrapText="1"/>
      <protection hidden="1"/>
    </xf>
    <xf numFmtId="0" fontId="15" fillId="0" borderId="26" xfId="1" applyFont="1" applyBorder="1" applyAlignment="1" applyProtection="1">
      <alignment horizontal="center" vertical="center" wrapText="1"/>
      <protection hidden="1"/>
    </xf>
    <xf numFmtId="0" fontId="15" fillId="0" borderId="0" xfId="1" applyFont="1" applyBorder="1" applyAlignment="1" applyProtection="1">
      <alignment horizontal="center" vertical="center"/>
      <protection locked="0" hidden="1"/>
    </xf>
    <xf numFmtId="0" fontId="15" fillId="0" borderId="60" xfId="1" applyFont="1" applyBorder="1" applyAlignment="1" applyProtection="1">
      <alignment horizontal="center" vertical="center"/>
      <protection locked="0" hidden="1"/>
    </xf>
    <xf numFmtId="0" fontId="5" fillId="0" borderId="59" xfId="1" applyFont="1" applyFill="1" applyBorder="1" applyAlignment="1" applyProtection="1">
      <alignment horizontal="center" vertical="center" shrinkToFit="1" readingOrder="2"/>
      <protection hidden="1"/>
    </xf>
    <xf numFmtId="0" fontId="5" fillId="0" borderId="46" xfId="1" applyFont="1" applyFill="1" applyBorder="1" applyAlignment="1" applyProtection="1">
      <alignment horizontal="center" vertical="center" shrinkToFit="1" readingOrder="2"/>
      <protection hidden="1"/>
    </xf>
    <xf numFmtId="0" fontId="12" fillId="0" borderId="34" xfId="1" applyFont="1" applyFill="1" applyBorder="1" applyAlignment="1" applyProtection="1">
      <alignment horizontal="right" vertical="top" shrinkToFit="1" readingOrder="2"/>
      <protection hidden="1"/>
    </xf>
    <xf numFmtId="0" fontId="12" fillId="0" borderId="0" xfId="1" applyFont="1" applyFill="1" applyBorder="1" applyAlignment="1" applyProtection="1">
      <alignment horizontal="right" vertical="top" shrinkToFit="1" readingOrder="2"/>
      <protection hidden="1"/>
    </xf>
    <xf numFmtId="0" fontId="12" fillId="0" borderId="32" xfId="1" applyFont="1" applyFill="1" applyBorder="1" applyAlignment="1" applyProtection="1">
      <alignment horizontal="right" vertical="top" shrinkToFit="1" readingOrder="2"/>
      <protection hidden="1"/>
    </xf>
    <xf numFmtId="0" fontId="12" fillId="0" borderId="35" xfId="1" applyFont="1" applyFill="1" applyBorder="1" applyAlignment="1" applyProtection="1">
      <alignment horizontal="right" vertical="top" shrinkToFit="1" readingOrder="2"/>
      <protection hidden="1"/>
    </xf>
    <xf numFmtId="0" fontId="12" fillId="0" borderId="25" xfId="1" applyFont="1" applyFill="1" applyBorder="1" applyAlignment="1" applyProtection="1">
      <alignment horizontal="center" vertical="top" shrinkToFit="1" readingOrder="2"/>
      <protection hidden="1"/>
    </xf>
    <xf numFmtId="0" fontId="12" fillId="0" borderId="13" xfId="1" applyFont="1" applyFill="1" applyBorder="1" applyAlignment="1" applyProtection="1">
      <alignment horizontal="center" vertical="top" shrinkToFit="1" readingOrder="2"/>
      <protection hidden="1"/>
    </xf>
    <xf numFmtId="0" fontId="12" fillId="0" borderId="16" xfId="1" applyFont="1" applyFill="1" applyBorder="1" applyAlignment="1" applyProtection="1">
      <alignment horizontal="center" vertical="top" shrinkToFit="1" readingOrder="2"/>
      <protection hidden="1"/>
    </xf>
    <xf numFmtId="0" fontId="12" fillId="0" borderId="0" xfId="1" applyFont="1" applyBorder="1" applyAlignment="1" applyProtection="1">
      <alignment horizontal="center" vertical="center"/>
      <protection hidden="1"/>
    </xf>
    <xf numFmtId="0" fontId="6" fillId="0" borderId="0" xfId="1" applyFont="1" applyFill="1" applyBorder="1" applyAlignment="1" applyProtection="1">
      <alignment horizontal="left" vertical="center" shrinkToFit="1" readingOrder="2"/>
      <protection hidden="1"/>
    </xf>
    <xf numFmtId="0" fontId="6" fillId="0" borderId="0" xfId="1" applyFont="1" applyFill="1" applyBorder="1" applyAlignment="1" applyProtection="1">
      <alignment horizontal="right" vertical="center" shrinkToFit="1" readingOrder="2"/>
      <protection hidden="1"/>
    </xf>
    <xf numFmtId="0" fontId="15" fillId="0" borderId="17" xfId="1" applyFont="1" applyBorder="1" applyAlignment="1" applyProtection="1">
      <alignment horizontal="left" vertical="center"/>
      <protection hidden="1"/>
    </xf>
    <xf numFmtId="0" fontId="15" fillId="0" borderId="0" xfId="1" applyFont="1" applyBorder="1" applyAlignment="1" applyProtection="1">
      <alignment horizontal="left" vertical="center"/>
      <protection hidden="1"/>
    </xf>
    <xf numFmtId="0" fontId="5" fillId="0" borderId="34" xfId="1" applyFont="1" applyFill="1" applyBorder="1" applyAlignment="1" applyProtection="1">
      <alignment horizontal="center" vertical="center" shrinkToFit="1" readingOrder="2"/>
      <protection hidden="1"/>
    </xf>
    <xf numFmtId="0" fontId="5" fillId="0" borderId="32" xfId="1" applyFont="1" applyFill="1" applyBorder="1" applyAlignment="1" applyProtection="1">
      <alignment horizontal="center" vertical="center" shrinkToFit="1" readingOrder="2"/>
      <protection hidden="1"/>
    </xf>
    <xf numFmtId="0" fontId="5" fillId="0" borderId="35" xfId="1" applyFont="1" applyFill="1" applyBorder="1" applyAlignment="1" applyProtection="1">
      <alignment horizontal="center" vertical="center" shrinkToFit="1" readingOrder="2"/>
      <protection hidden="1"/>
    </xf>
    <xf numFmtId="0" fontId="5" fillId="0" borderId="0" xfId="1" applyFont="1" applyFill="1" applyBorder="1" applyAlignment="1" applyProtection="1">
      <alignment horizontal="center" vertical="center" shrinkToFit="1" readingOrder="2"/>
      <protection locked="0" hidden="1"/>
    </xf>
    <xf numFmtId="0" fontId="5" fillId="0" borderId="60" xfId="1" applyFont="1" applyFill="1" applyBorder="1" applyAlignment="1" applyProtection="1">
      <alignment horizontal="center" vertical="center" shrinkToFit="1" readingOrder="2"/>
      <protection locked="0" hidden="1"/>
    </xf>
    <xf numFmtId="0" fontId="15" fillId="0" borderId="1" xfId="1" applyFont="1" applyFill="1" applyBorder="1" applyAlignment="1" applyProtection="1">
      <alignment horizontal="center" vertical="center" shrinkToFit="1" readingOrder="2"/>
      <protection hidden="1"/>
    </xf>
    <xf numFmtId="49" fontId="23" fillId="0" borderId="1" xfId="1" applyNumberFormat="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right" vertical="center" shrinkToFit="1" readingOrder="2"/>
      <protection hidden="1"/>
    </xf>
    <xf numFmtId="0" fontId="23" fillId="0" borderId="67" xfId="1" applyFont="1" applyFill="1" applyBorder="1" applyAlignment="1" applyProtection="1">
      <alignment horizontal="right" vertical="center" shrinkToFit="1" readingOrder="2"/>
      <protection hidden="1"/>
    </xf>
    <xf numFmtId="0" fontId="5" fillId="0" borderId="18" xfId="1" applyFont="1" applyFill="1" applyBorder="1" applyAlignment="1" applyProtection="1">
      <alignment horizontal="center" vertical="center" readingOrder="2"/>
      <protection hidden="1"/>
    </xf>
    <xf numFmtId="0" fontId="5" fillId="0" borderId="19" xfId="1" applyFont="1" applyFill="1" applyBorder="1" applyAlignment="1" applyProtection="1">
      <alignment horizontal="center" vertical="center" readingOrder="2"/>
      <protection hidden="1"/>
    </xf>
    <xf numFmtId="0" fontId="13" fillId="0" borderId="4" xfId="1" applyFont="1" applyFill="1" applyBorder="1" applyAlignment="1" applyProtection="1">
      <alignment horizontal="center" vertical="center" shrinkToFit="1" readingOrder="2"/>
      <protection hidden="1"/>
    </xf>
    <xf numFmtId="0" fontId="13" fillId="0" borderId="2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13" fillId="0" borderId="49" xfId="1" applyFont="1" applyFill="1" applyBorder="1" applyAlignment="1" applyProtection="1">
      <alignment horizontal="center" vertical="center" shrinkToFit="1" readingOrder="2"/>
      <protection hidden="1"/>
    </xf>
    <xf numFmtId="0" fontId="15" fillId="14" borderId="47" xfId="0" applyFont="1" applyFill="1" applyBorder="1" applyAlignment="1" applyProtection="1">
      <alignment horizontal="center" vertical="center" shrinkToFit="1" readingOrder="2"/>
      <protection hidden="1"/>
    </xf>
    <xf numFmtId="0" fontId="15" fillId="14" borderId="51" xfId="0" applyFont="1" applyFill="1" applyBorder="1" applyAlignment="1" applyProtection="1">
      <alignment horizontal="center" vertical="center" shrinkToFit="1" readingOrder="2"/>
      <protection hidden="1"/>
    </xf>
    <xf numFmtId="0" fontId="5" fillId="0" borderId="18" xfId="0" applyFont="1" applyBorder="1" applyAlignment="1" applyProtection="1">
      <alignment horizontal="right" vertical="center" shrinkToFit="1" readingOrder="2"/>
      <protection hidden="1"/>
    </xf>
    <xf numFmtId="0" fontId="5" fillId="0" borderId="19" xfId="0"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right" vertical="center" shrinkToFit="1" readingOrder="2"/>
      <protection hidden="1"/>
    </xf>
    <xf numFmtId="0" fontId="15" fillId="0" borderId="12" xfId="0" applyFont="1" applyBorder="1" applyAlignment="1" applyProtection="1">
      <alignment horizontal="center" vertical="center" shrinkToFit="1" readingOrder="2"/>
      <protection hidden="1"/>
    </xf>
    <xf numFmtId="0" fontId="15" fillId="0" borderId="13" xfId="0" applyFont="1" applyBorder="1" applyAlignment="1" applyProtection="1">
      <alignment horizontal="center" vertical="center" shrinkToFit="1" readingOrder="2"/>
      <protection hidden="1"/>
    </xf>
    <xf numFmtId="0" fontId="5" fillId="0" borderId="13" xfId="0"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right" vertical="center" shrinkToFit="1" readingOrder="2"/>
      <protection hidden="1"/>
    </xf>
    <xf numFmtId="0" fontId="5" fillId="0" borderId="0" xfId="1" applyFont="1" applyBorder="1" applyAlignment="1">
      <alignment horizontal="center" vertical="center" wrapText="1" shrinkToFit="1" readingOrder="2"/>
    </xf>
    <xf numFmtId="2" fontId="15" fillId="0" borderId="0" xfId="1" applyNumberFormat="1" applyFont="1" applyBorder="1" applyAlignment="1" applyProtection="1">
      <alignment horizontal="right" vertical="center"/>
      <protection hidden="1"/>
    </xf>
    <xf numFmtId="0" fontId="15" fillId="0" borderId="0" xfId="1" applyFont="1" applyBorder="1" applyAlignment="1" applyProtection="1">
      <alignment horizontal="right" vertical="center"/>
      <protection hidden="1"/>
    </xf>
    <xf numFmtId="0" fontId="15" fillId="0" borderId="60" xfId="1" applyFont="1" applyBorder="1" applyAlignment="1" applyProtection="1">
      <alignment horizontal="right" vertical="center"/>
      <protection hidden="1"/>
    </xf>
    <xf numFmtId="49" fontId="23" fillId="0" borderId="1" xfId="1" applyNumberFormat="1" applyFont="1" applyFill="1" applyBorder="1" applyAlignment="1" applyProtection="1">
      <alignment horizontal="right" vertical="center" shrinkToFit="1" readingOrder="2"/>
      <protection hidden="1"/>
    </xf>
    <xf numFmtId="0" fontId="15" fillId="0" borderId="66" xfId="1" applyFont="1" applyFill="1" applyBorder="1" applyAlignment="1" applyProtection="1">
      <alignment horizontal="center" vertical="center" shrinkToFit="1" readingOrder="2"/>
      <protection hidden="1"/>
    </xf>
    <xf numFmtId="0" fontId="5" fillId="0" borderId="33" xfId="1" applyFont="1" applyFill="1" applyBorder="1" applyAlignment="1" applyProtection="1">
      <alignment horizontal="center" vertical="center" shrinkToFit="1" readingOrder="2"/>
      <protection hidden="1"/>
    </xf>
    <xf numFmtId="0" fontId="5" fillId="0" borderId="59" xfId="1" applyFont="1" applyFill="1" applyBorder="1" applyAlignment="1" applyProtection="1">
      <alignment horizontal="center" vertical="center" wrapText="1" shrinkToFit="1" readingOrder="2"/>
      <protection hidden="1"/>
    </xf>
    <xf numFmtId="0" fontId="5" fillId="0" borderId="60" xfId="1" applyFont="1" applyFill="1" applyBorder="1" applyAlignment="1" applyProtection="1">
      <alignment horizontal="center" vertical="center" wrapText="1" shrinkToFit="1" readingOrder="2"/>
      <protection hidden="1"/>
    </xf>
    <xf numFmtId="0" fontId="15" fillId="0" borderId="19" xfId="1" applyFont="1" applyFill="1" applyBorder="1" applyAlignment="1" applyProtection="1">
      <alignment horizontal="center" vertical="center" shrinkToFit="1" readingOrder="2"/>
      <protection locked="0" hidden="1"/>
    </xf>
    <xf numFmtId="0" fontId="15" fillId="0" borderId="24" xfId="1" applyFont="1" applyFill="1" applyBorder="1" applyAlignment="1" applyProtection="1">
      <alignment horizontal="center" vertical="center" shrinkToFit="1" readingOrder="2"/>
      <protection locked="0" hidden="1"/>
    </xf>
    <xf numFmtId="0" fontId="5" fillId="0" borderId="59" xfId="1" applyFont="1" applyFill="1" applyBorder="1" applyAlignment="1" applyProtection="1">
      <alignment horizontal="center" vertical="center" shrinkToFit="1" readingOrder="2"/>
      <protection locked="0"/>
    </xf>
    <xf numFmtId="0" fontId="5" fillId="0" borderId="60" xfId="1" applyFont="1" applyFill="1" applyBorder="1" applyAlignment="1" applyProtection="1">
      <alignment horizontal="center" vertical="center" shrinkToFit="1" readingOrder="2"/>
      <protection locked="0"/>
    </xf>
    <xf numFmtId="2" fontId="5" fillId="0" borderId="17" xfId="1" applyNumberFormat="1" applyFont="1" applyBorder="1" applyAlignment="1" applyProtection="1">
      <alignment horizontal="right" vertical="center" wrapText="1" shrinkToFit="1" readingOrder="2"/>
      <protection hidden="1"/>
    </xf>
    <xf numFmtId="2" fontId="5" fillId="0" borderId="0" xfId="1" applyNumberFormat="1" applyFont="1" applyBorder="1" applyAlignment="1" applyProtection="1">
      <alignment horizontal="right" vertical="center" wrapText="1" shrinkToFit="1" readingOrder="2"/>
      <protection hidden="1"/>
    </xf>
    <xf numFmtId="2" fontId="5" fillId="0" borderId="60" xfId="1" applyNumberFormat="1" applyFont="1" applyBorder="1" applyAlignment="1" applyProtection="1">
      <alignment horizontal="right" vertical="center" wrapText="1" shrinkToFit="1" readingOrder="2"/>
      <protection hidden="1"/>
    </xf>
    <xf numFmtId="2" fontId="5" fillId="0" borderId="17" xfId="1" applyNumberFormat="1" applyFont="1" applyBorder="1" applyAlignment="1" applyProtection="1">
      <alignment vertical="center" shrinkToFit="1" readingOrder="2"/>
      <protection hidden="1"/>
    </xf>
    <xf numFmtId="2" fontId="5" fillId="0" borderId="0" xfId="1" applyNumberFormat="1" applyFont="1" applyBorder="1" applyAlignment="1" applyProtection="1">
      <alignment vertical="center" shrinkToFit="1" readingOrder="2"/>
      <protection hidden="1"/>
    </xf>
    <xf numFmtId="0" fontId="5" fillId="0" borderId="0" xfId="1" applyFont="1" applyFill="1" applyBorder="1" applyAlignment="1" applyProtection="1">
      <alignment horizontal="center" vertical="center" shrinkToFit="1" readingOrder="2"/>
      <protection locked="0"/>
    </xf>
    <xf numFmtId="0" fontId="5" fillId="0" borderId="46" xfId="1" applyFont="1" applyFill="1" applyBorder="1" applyAlignment="1" applyProtection="1">
      <alignment horizontal="center" vertical="center" shrinkToFit="1" readingOrder="2"/>
      <protection locked="0"/>
    </xf>
    <xf numFmtId="0" fontId="12" fillId="0" borderId="25" xfId="1" applyFont="1" applyFill="1" applyBorder="1" applyAlignment="1" applyProtection="1">
      <alignment horizontal="center" vertical="top" shrinkToFit="1" readingOrder="2"/>
      <protection locked="0" hidden="1"/>
    </xf>
    <xf numFmtId="0" fontId="12" fillId="0" borderId="13" xfId="1" applyFont="1" applyFill="1" applyBorder="1" applyAlignment="1" applyProtection="1">
      <alignment horizontal="center" vertical="top" shrinkToFit="1" readingOrder="2"/>
      <protection locked="0" hidden="1"/>
    </xf>
    <xf numFmtId="0" fontId="12" fillId="0" borderId="16" xfId="1" applyFont="1" applyFill="1" applyBorder="1" applyAlignment="1" applyProtection="1">
      <alignment horizontal="center" vertical="top" shrinkToFit="1" readingOrder="2"/>
      <protection locked="0" hidden="1"/>
    </xf>
    <xf numFmtId="0" fontId="5" fillId="0" borderId="39" xfId="1" applyFont="1" applyFill="1" applyBorder="1" applyAlignment="1" applyProtection="1">
      <alignment horizontal="center"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5" fillId="0" borderId="17" xfId="1" applyFont="1" applyBorder="1" applyAlignment="1" applyProtection="1">
      <alignment vertical="center"/>
      <protection hidden="1"/>
    </xf>
    <xf numFmtId="0" fontId="5" fillId="0" borderId="0" xfId="1" applyFont="1" applyBorder="1" applyAlignment="1" applyProtection="1">
      <alignment vertical="center"/>
      <protection hidden="1"/>
    </xf>
    <xf numFmtId="0" fontId="5" fillId="0" borderId="60" xfId="1" applyFont="1" applyBorder="1" applyAlignment="1" applyProtection="1">
      <alignment vertical="center"/>
      <protection hidden="1"/>
    </xf>
    <xf numFmtId="0" fontId="15" fillId="0" borderId="17" xfId="1" applyFont="1" applyBorder="1" applyAlignment="1" applyProtection="1">
      <alignment horizontal="center" vertical="center"/>
      <protection hidden="1"/>
    </xf>
    <xf numFmtId="0" fontId="15" fillId="0" borderId="0" xfId="1" applyFont="1" applyBorder="1" applyAlignment="1" applyProtection="1">
      <alignment horizontal="center" vertical="center"/>
      <protection hidden="1"/>
    </xf>
    <xf numFmtId="2" fontId="15" fillId="0" borderId="0" xfId="1" applyNumberFormat="1" applyFont="1" applyBorder="1" applyAlignment="1" applyProtection="1">
      <alignment horizontal="center" vertical="center"/>
      <protection hidden="1"/>
    </xf>
    <xf numFmtId="0" fontId="15" fillId="0" borderId="60" xfId="1" applyFont="1" applyBorder="1" applyAlignment="1" applyProtection="1">
      <alignment horizontal="center" vertical="center"/>
      <protection hidden="1"/>
    </xf>
    <xf numFmtId="0" fontId="6" fillId="0" borderId="17" xfId="1" applyFont="1" applyFill="1" applyBorder="1" applyAlignment="1" applyProtection="1">
      <alignment horizontal="right" vertical="top" wrapText="1" shrinkToFit="1" readingOrder="2"/>
      <protection locked="0" hidden="1"/>
    </xf>
    <xf numFmtId="0" fontId="6" fillId="0" borderId="0" xfId="1" applyFont="1" applyFill="1" applyBorder="1" applyAlignment="1" applyProtection="1">
      <alignment horizontal="right" vertical="top" wrapText="1" shrinkToFit="1" readingOrder="2"/>
      <protection locked="0" hidden="1"/>
    </xf>
    <xf numFmtId="0" fontId="6" fillId="0" borderId="60" xfId="1" applyFont="1" applyFill="1" applyBorder="1" applyAlignment="1" applyProtection="1">
      <alignment horizontal="right" vertical="top" wrapText="1" shrinkToFit="1" readingOrder="2"/>
      <protection locked="0" hidden="1"/>
    </xf>
    <xf numFmtId="0" fontId="6" fillId="0" borderId="12" xfId="1" applyFont="1" applyFill="1" applyBorder="1" applyAlignment="1" applyProtection="1">
      <alignment horizontal="right" vertical="top" wrapText="1" shrinkToFit="1" readingOrder="2"/>
      <protection locked="0" hidden="1"/>
    </xf>
    <xf numFmtId="0" fontId="6" fillId="0" borderId="13" xfId="1" applyFont="1" applyFill="1" applyBorder="1" applyAlignment="1" applyProtection="1">
      <alignment horizontal="right" vertical="top" wrapText="1" shrinkToFit="1" readingOrder="2"/>
      <protection locked="0" hidden="1"/>
    </xf>
    <xf numFmtId="0" fontId="6" fillId="0" borderId="26" xfId="1" applyFont="1" applyFill="1" applyBorder="1" applyAlignment="1" applyProtection="1">
      <alignment horizontal="right" vertical="top" wrapText="1" shrinkToFit="1" readingOrder="2"/>
      <protection locked="0" hidden="1"/>
    </xf>
    <xf numFmtId="0" fontId="5" fillId="0" borderId="59" xfId="1" applyFont="1" applyFill="1" applyBorder="1" applyAlignment="1" applyProtection="1">
      <alignment horizontal="center" vertical="center" wrapText="1" shrinkToFit="1" readingOrder="2"/>
      <protection locked="0"/>
    </xf>
    <xf numFmtId="0" fontId="5" fillId="0" borderId="60" xfId="1" applyFont="1" applyFill="1" applyBorder="1" applyAlignment="1" applyProtection="1">
      <alignment horizontal="center" vertical="center" wrapText="1" shrinkToFit="1" readingOrder="2"/>
      <protection locked="0"/>
    </xf>
    <xf numFmtId="0" fontId="5" fillId="0" borderId="17"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5" fillId="0" borderId="60" xfId="1" applyFont="1" applyBorder="1" applyAlignment="1" applyProtection="1">
      <alignment horizontal="right" vertical="center"/>
      <protection hidden="1"/>
    </xf>
    <xf numFmtId="0" fontId="5" fillId="0" borderId="34" xfId="1" applyFont="1" applyFill="1" applyBorder="1" applyAlignment="1" applyProtection="1">
      <alignment horizontal="center" vertical="center" wrapText="1" readingOrder="2"/>
    </xf>
    <xf numFmtId="0" fontId="5" fillId="0" borderId="33" xfId="1" applyFont="1" applyFill="1" applyBorder="1" applyAlignment="1" applyProtection="1">
      <alignment horizontal="center" vertical="center" wrapText="1" readingOrder="2"/>
    </xf>
    <xf numFmtId="0" fontId="5" fillId="0" borderId="34" xfId="1" applyFont="1" applyFill="1" applyBorder="1" applyAlignment="1" applyProtection="1">
      <alignment horizontal="center" vertical="center" shrinkToFit="1" readingOrder="2"/>
      <protection locked="0"/>
    </xf>
    <xf numFmtId="0" fontId="5" fillId="0" borderId="32" xfId="1" applyFont="1" applyFill="1" applyBorder="1" applyAlignment="1" applyProtection="1">
      <alignment horizontal="center" vertical="center" shrinkToFit="1" readingOrder="2"/>
      <protection locked="0"/>
    </xf>
    <xf numFmtId="0" fontId="5" fillId="0" borderId="35" xfId="1" applyFont="1" applyFill="1" applyBorder="1" applyAlignment="1" applyProtection="1">
      <alignment horizontal="center" vertical="center" shrinkToFit="1" readingOrder="2"/>
      <protection locked="0"/>
    </xf>
    <xf numFmtId="0" fontId="15" fillId="0" borderId="59" xfId="1" applyFont="1" applyFill="1" applyBorder="1" applyAlignment="1" applyProtection="1">
      <alignment horizontal="center" vertical="center" shrinkToFit="1" readingOrder="2"/>
      <protection hidden="1"/>
    </xf>
    <xf numFmtId="0" fontId="15" fillId="0" borderId="60" xfId="1" applyFont="1" applyFill="1" applyBorder="1" applyAlignment="1" applyProtection="1">
      <alignment horizontal="center" vertical="center" shrinkToFit="1" readingOrder="2"/>
      <protection hidden="1"/>
    </xf>
    <xf numFmtId="0" fontId="15" fillId="14" borderId="70" xfId="0" applyFont="1" applyFill="1" applyBorder="1" applyAlignment="1" applyProtection="1">
      <alignment horizontal="center" vertical="center" shrinkToFit="1" readingOrder="2"/>
      <protection hidden="1"/>
    </xf>
    <xf numFmtId="0" fontId="15" fillId="14" borderId="68" xfId="0" applyFont="1" applyFill="1" applyBorder="1" applyAlignment="1" applyProtection="1">
      <alignment horizontal="center" vertical="center" shrinkToFit="1" readingOrder="2"/>
      <protection hidden="1"/>
    </xf>
    <xf numFmtId="0" fontId="15" fillId="0" borderId="44" xfId="1" applyFont="1" applyFill="1" applyBorder="1" applyAlignment="1" applyProtection="1">
      <alignment horizontal="right" vertical="top" shrinkToFit="1" readingOrder="2"/>
      <protection locked="0" hidden="1"/>
    </xf>
    <xf numFmtId="0" fontId="15" fillId="0" borderId="42" xfId="1" applyFont="1" applyFill="1" applyBorder="1" applyAlignment="1" applyProtection="1">
      <alignment horizontal="right" vertical="top" shrinkToFit="1" readingOrder="2"/>
      <protection locked="0" hidden="1"/>
    </xf>
    <xf numFmtId="0" fontId="15" fillId="0" borderId="43" xfId="1" applyFont="1" applyFill="1" applyBorder="1" applyAlignment="1" applyProtection="1">
      <alignment horizontal="right" vertical="top" shrinkToFit="1" readingOrder="2"/>
      <protection locked="0" hidden="1"/>
    </xf>
    <xf numFmtId="0" fontId="15" fillId="0" borderId="59" xfId="1" applyFont="1" applyFill="1" applyBorder="1" applyAlignment="1" applyProtection="1">
      <alignment horizontal="center" vertical="top" shrinkToFit="1" readingOrder="2"/>
      <protection locked="0" hidden="1"/>
    </xf>
    <xf numFmtId="0" fontId="15" fillId="0" borderId="0" xfId="1" applyFont="1" applyFill="1" applyBorder="1" applyAlignment="1" applyProtection="1">
      <alignment horizontal="center" vertical="top" shrinkToFit="1" readingOrder="2"/>
      <protection locked="0" hidden="1"/>
    </xf>
    <xf numFmtId="0" fontId="15" fillId="0" borderId="60" xfId="1" applyFont="1" applyFill="1" applyBorder="1" applyAlignment="1" applyProtection="1">
      <alignment horizontal="center" vertical="top" shrinkToFit="1" readingOrder="2"/>
      <protection locked="0" hidden="1"/>
    </xf>
    <xf numFmtId="2" fontId="12" fillId="0" borderId="59" xfId="1" applyNumberFormat="1" applyFont="1" applyFill="1" applyBorder="1" applyAlignment="1" applyProtection="1">
      <alignment horizontal="right" vertical="center" shrinkToFit="1" readingOrder="2"/>
      <protection hidden="1"/>
    </xf>
    <xf numFmtId="2" fontId="12" fillId="0" borderId="0" xfId="1" applyNumberFormat="1" applyFont="1" applyFill="1" applyBorder="1" applyAlignment="1" applyProtection="1">
      <alignment horizontal="right" vertical="center" shrinkToFit="1" readingOrder="2"/>
      <protection hidden="1"/>
    </xf>
    <xf numFmtId="0" fontId="5" fillId="0" borderId="59" xfId="1" applyFont="1" applyFill="1" applyBorder="1" applyAlignment="1" applyProtection="1">
      <alignment horizontal="center" vertical="center" shrinkToFit="1" readingOrder="2"/>
      <protection locked="0" hidden="1"/>
    </xf>
    <xf numFmtId="0" fontId="15" fillId="0" borderId="39" xfId="1" applyFont="1" applyFill="1" applyBorder="1" applyAlignment="1" applyProtection="1">
      <alignment horizontal="center" vertical="center" shrinkToFit="1" readingOrder="2"/>
      <protection hidden="1"/>
    </xf>
    <xf numFmtId="0" fontId="15" fillId="0" borderId="38" xfId="1" applyFont="1" applyFill="1" applyBorder="1" applyAlignment="1" applyProtection="1">
      <alignment horizontal="center" vertical="center" shrinkToFit="1" readingOrder="2"/>
      <protection hidden="1"/>
    </xf>
    <xf numFmtId="0" fontId="15" fillId="0" borderId="66" xfId="1" applyFont="1" applyFill="1" applyBorder="1" applyAlignment="1" applyProtection="1">
      <alignment horizontal="right" vertical="center" shrinkToFit="1" readingOrder="2"/>
      <protection hidden="1"/>
    </xf>
    <xf numFmtId="0" fontId="15" fillId="0" borderId="1" xfId="1" applyFont="1" applyFill="1" applyBorder="1" applyAlignment="1" applyProtection="1">
      <alignment horizontal="right" vertical="center" shrinkToFit="1" readingOrder="2"/>
      <protection hidden="1"/>
    </xf>
    <xf numFmtId="2" fontId="12" fillId="0" borderId="59" xfId="1" applyNumberFormat="1" applyFont="1" applyBorder="1" applyAlignment="1" applyProtection="1">
      <alignment horizontal="center" vertical="center" shrinkToFit="1" readingOrder="2"/>
      <protection hidden="1"/>
    </xf>
    <xf numFmtId="2" fontId="12" fillId="0" borderId="0" xfId="1" applyNumberFormat="1" applyFont="1" applyBorder="1" applyAlignment="1" applyProtection="1">
      <alignment horizontal="center" vertical="center" shrinkToFit="1" readingOrder="2"/>
      <protection hidden="1"/>
    </xf>
    <xf numFmtId="0" fontId="12" fillId="0" borderId="34" xfId="1" applyFont="1" applyFill="1" applyBorder="1" applyAlignment="1" applyProtection="1">
      <alignment horizontal="right" vertical="top" wrapText="1" shrinkToFit="1" readingOrder="2"/>
      <protection hidden="1"/>
    </xf>
    <xf numFmtId="0" fontId="12" fillId="0" borderId="32" xfId="1" applyFont="1" applyFill="1" applyBorder="1" applyAlignment="1" applyProtection="1">
      <alignment horizontal="right" vertical="top" wrapText="1" shrinkToFit="1" readingOrder="2"/>
      <protection hidden="1"/>
    </xf>
    <xf numFmtId="0" fontId="12" fillId="0" borderId="33" xfId="1" applyFont="1" applyFill="1" applyBorder="1" applyAlignment="1" applyProtection="1">
      <alignment horizontal="right" vertical="top" wrapText="1" shrinkToFit="1" readingOrder="2"/>
      <protection hidden="1"/>
    </xf>
    <xf numFmtId="0" fontId="12" fillId="0" borderId="59" xfId="1" applyFont="1" applyFill="1" applyBorder="1" applyAlignment="1" applyProtection="1">
      <alignment horizontal="right" vertical="top" wrapText="1" shrinkToFit="1" readingOrder="2"/>
      <protection hidden="1"/>
    </xf>
    <xf numFmtId="0" fontId="12" fillId="0" borderId="0" xfId="1" applyFont="1" applyFill="1" applyBorder="1" applyAlignment="1" applyProtection="1">
      <alignment horizontal="right" vertical="top" wrapText="1" shrinkToFit="1" readingOrder="2"/>
      <protection hidden="1"/>
    </xf>
    <xf numFmtId="0" fontId="12" fillId="0" borderId="60" xfId="1" applyFont="1" applyFill="1" applyBorder="1" applyAlignment="1" applyProtection="1">
      <alignment horizontal="right" vertical="top" wrapText="1" shrinkToFit="1" readingOrder="2"/>
      <protection hidden="1"/>
    </xf>
    <xf numFmtId="0" fontId="13" fillId="0" borderId="57"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5" fillId="0" borderId="34" xfId="1" applyFont="1" applyFill="1" applyBorder="1" applyAlignment="1" applyProtection="1">
      <alignment horizontal="center" vertical="center" shrinkToFit="1" readingOrder="2"/>
      <protection locked="0" hidden="1"/>
    </xf>
    <xf numFmtId="0" fontId="5" fillId="0" borderId="32" xfId="1" applyFont="1" applyFill="1" applyBorder="1" applyAlignment="1" applyProtection="1">
      <alignment horizontal="center" vertical="center" shrinkToFit="1" readingOrder="2"/>
      <protection locked="0" hidden="1"/>
    </xf>
    <xf numFmtId="0" fontId="5" fillId="0" borderId="33" xfId="1" applyFont="1" applyFill="1" applyBorder="1" applyAlignment="1" applyProtection="1">
      <alignment horizontal="center" vertical="center" shrinkToFit="1" readingOrder="2"/>
      <protection locked="0" hidden="1"/>
    </xf>
    <xf numFmtId="0" fontId="13" fillId="0" borderId="34" xfId="1" applyFont="1" applyFill="1" applyBorder="1" applyAlignment="1" applyProtection="1">
      <alignment horizontal="center" vertical="center" shrinkToFit="1" readingOrder="2"/>
      <protection hidden="1"/>
    </xf>
    <xf numFmtId="0" fontId="13" fillId="0" borderId="32" xfId="1" applyFont="1" applyFill="1" applyBorder="1" applyAlignment="1" applyProtection="1">
      <alignment horizontal="center" vertical="center" shrinkToFit="1" readingOrder="2"/>
      <protection hidden="1"/>
    </xf>
    <xf numFmtId="0" fontId="13" fillId="0" borderId="33" xfId="1" applyFont="1" applyFill="1" applyBorder="1" applyAlignment="1" applyProtection="1">
      <alignment horizontal="center" vertical="center" shrinkToFit="1" readingOrder="2"/>
      <protection hidden="1"/>
    </xf>
    <xf numFmtId="0" fontId="13" fillId="0" borderId="59" xfId="1" applyFont="1" applyFill="1" applyBorder="1" applyAlignment="1" applyProtection="1">
      <alignment horizontal="center" vertical="center" shrinkToFit="1" readingOrder="2"/>
      <protection hidden="1"/>
    </xf>
    <xf numFmtId="0" fontId="13" fillId="0" borderId="0" xfId="1" applyFont="1" applyFill="1" applyBorder="1" applyAlignment="1" applyProtection="1">
      <alignment horizontal="center" vertical="center" shrinkToFit="1" readingOrder="2"/>
      <protection hidden="1"/>
    </xf>
    <xf numFmtId="0" fontId="13" fillId="0" borderId="60" xfId="1" applyFont="1" applyFill="1" applyBorder="1" applyAlignment="1" applyProtection="1">
      <alignment horizontal="center" vertical="center" shrinkToFit="1" readingOrder="2"/>
      <protection hidden="1"/>
    </xf>
    <xf numFmtId="0" fontId="15" fillId="0" borderId="59" xfId="1" applyFont="1" applyFill="1" applyBorder="1" applyAlignment="1" applyProtection="1">
      <alignment horizontal="center" vertical="top" shrinkToFit="1" readingOrder="2"/>
      <protection locked="0"/>
    </xf>
    <xf numFmtId="0" fontId="15" fillId="0" borderId="0" xfId="1" applyFont="1" applyFill="1" applyBorder="1" applyAlignment="1" applyProtection="1">
      <alignment horizontal="center" vertical="top" shrinkToFit="1" readingOrder="2"/>
      <protection locked="0"/>
    </xf>
    <xf numFmtId="0" fontId="12" fillId="0" borderId="0" xfId="1" applyFont="1" applyFill="1" applyBorder="1" applyAlignment="1" applyProtection="1">
      <alignment horizontal="right" vertical="center" shrinkToFit="1" readingOrder="2"/>
      <protection hidden="1"/>
    </xf>
    <xf numFmtId="0" fontId="15" fillId="0" borderId="34" xfId="1" applyFont="1" applyFill="1" applyBorder="1" applyAlignment="1" applyProtection="1">
      <alignment horizontal="center" vertical="center" shrinkToFit="1" readingOrder="2"/>
      <protection hidden="1"/>
    </xf>
    <xf numFmtId="0" fontId="15" fillId="0" borderId="33" xfId="1" applyFont="1" applyFill="1" applyBorder="1" applyAlignment="1" applyProtection="1">
      <alignment horizontal="center" vertical="center" shrinkToFit="1" readingOrder="2"/>
      <protection hidden="1"/>
    </xf>
    <xf numFmtId="2" fontId="58" fillId="0" borderId="59" xfId="1" applyNumberFormat="1" applyFont="1" applyFill="1" applyBorder="1" applyAlignment="1" applyProtection="1">
      <alignment horizontal="right" vertical="top" wrapText="1" shrinkToFit="1" readingOrder="2"/>
      <protection locked="0" hidden="1"/>
    </xf>
    <xf numFmtId="2" fontId="58" fillId="0" borderId="0" xfId="1" applyNumberFormat="1" applyFont="1" applyFill="1" applyBorder="1" applyAlignment="1" applyProtection="1">
      <alignment horizontal="right" vertical="top" wrapText="1" shrinkToFit="1" readingOrder="2"/>
      <protection locked="0" hidden="1"/>
    </xf>
    <xf numFmtId="2" fontId="58" fillId="0" borderId="39" xfId="1" applyNumberFormat="1" applyFont="1" applyFill="1" applyBorder="1" applyAlignment="1" applyProtection="1">
      <alignment horizontal="right" vertical="top" wrapText="1" shrinkToFit="1" readingOrder="2"/>
      <protection locked="0" hidden="1"/>
    </xf>
    <xf numFmtId="2" fontId="58" fillId="0" borderId="37" xfId="1" applyNumberFormat="1" applyFont="1" applyFill="1" applyBorder="1" applyAlignment="1" applyProtection="1">
      <alignment horizontal="right" vertical="top" wrapText="1" shrinkToFit="1" readingOrder="2"/>
      <protection locked="0" hidden="1"/>
    </xf>
    <xf numFmtId="2" fontId="12" fillId="0" borderId="60" xfId="1" applyNumberFormat="1" applyFont="1" applyBorder="1" applyAlignment="1" applyProtection="1">
      <alignment horizontal="center" vertical="center" shrinkToFit="1" readingOrder="2"/>
      <protection hidden="1"/>
    </xf>
    <xf numFmtId="2" fontId="6" fillId="0" borderId="0" xfId="1" applyNumberFormat="1" applyFont="1" applyBorder="1" applyAlignment="1" applyProtection="1">
      <alignment horizontal="center" vertical="center" shrinkToFit="1" readingOrder="2"/>
      <protection hidden="1"/>
    </xf>
    <xf numFmtId="2" fontId="6" fillId="0" borderId="60" xfId="1" applyNumberFormat="1" applyFont="1" applyBorder="1" applyAlignment="1" applyProtection="1">
      <alignment horizontal="center" vertical="center" shrinkToFit="1" readingOrder="2"/>
      <protection hidden="1"/>
    </xf>
    <xf numFmtId="0" fontId="6" fillId="0" borderId="59" xfId="1" applyFont="1" applyBorder="1" applyAlignment="1" applyProtection="1">
      <alignment horizontal="center" vertical="center" shrinkToFit="1"/>
      <protection hidden="1"/>
    </xf>
    <xf numFmtId="0" fontId="6" fillId="0" borderId="0" xfId="1" applyFont="1" applyBorder="1" applyAlignment="1" applyProtection="1">
      <alignment horizontal="center" vertical="center" shrinkToFit="1"/>
      <protection hidden="1"/>
    </xf>
    <xf numFmtId="0" fontId="39" fillId="0" borderId="62" xfId="1" applyFont="1" applyFill="1" applyBorder="1" applyAlignment="1" applyProtection="1">
      <alignment horizontal="center" vertical="center" wrapText="1" readingOrder="2"/>
      <protection hidden="1"/>
    </xf>
    <xf numFmtId="0" fontId="51" fillId="0" borderId="43" xfId="1" applyFont="1" applyFill="1" applyBorder="1" applyAlignment="1" applyProtection="1">
      <alignment horizontal="right" vertical="center" shrinkToFit="1" readingOrder="2"/>
      <protection hidden="1"/>
    </xf>
    <xf numFmtId="0" fontId="51" fillId="0" borderId="7" xfId="1" applyFont="1" applyFill="1" applyBorder="1" applyAlignment="1" applyProtection="1">
      <alignment horizontal="right" vertical="center" shrinkToFit="1" readingOrder="2"/>
      <protection hidden="1"/>
    </xf>
    <xf numFmtId="0" fontId="23" fillId="0" borderId="7" xfId="1" applyNumberFormat="1" applyFont="1" applyBorder="1" applyAlignment="1" applyProtection="1">
      <alignment horizontal="center" vertical="center" readingOrder="2"/>
      <protection hidden="1"/>
    </xf>
    <xf numFmtId="166" fontId="13" fillId="0" borderId="7" xfId="1" applyNumberFormat="1" applyFont="1" applyBorder="1" applyAlignment="1" applyProtection="1">
      <alignment horizontal="center" vertical="center" readingOrder="2"/>
      <protection hidden="1"/>
    </xf>
    <xf numFmtId="0" fontId="5" fillId="0" borderId="0" xfId="1" applyFont="1" applyAlignment="1" applyProtection="1">
      <alignment horizontal="right" vertical="center" shrinkToFit="1" readingOrder="2"/>
      <protection hidden="1"/>
    </xf>
    <xf numFmtId="0" fontId="51" fillId="0" borderId="33" xfId="1" applyFont="1" applyFill="1" applyBorder="1" applyAlignment="1" applyProtection="1">
      <alignment horizontal="right" vertical="center" shrinkToFit="1" readingOrder="2"/>
      <protection hidden="1"/>
    </xf>
    <xf numFmtId="0" fontId="51" fillId="0" borderId="57" xfId="1" applyFont="1" applyFill="1" applyBorder="1" applyAlignment="1" applyProtection="1">
      <alignment horizontal="right" vertical="center" shrinkToFit="1" readingOrder="2"/>
      <protection hidden="1"/>
    </xf>
    <xf numFmtId="0" fontId="51" fillId="0" borderId="38" xfId="1" applyFont="1" applyFill="1" applyBorder="1" applyAlignment="1" applyProtection="1">
      <alignment horizontal="right" vertical="center" shrinkToFit="1" readingOrder="2"/>
      <protection hidden="1"/>
    </xf>
    <xf numFmtId="0" fontId="51" fillId="0" borderId="27" xfId="1" applyFont="1" applyFill="1" applyBorder="1" applyAlignment="1" applyProtection="1">
      <alignment horizontal="right" vertical="center" shrinkToFit="1" readingOrder="2"/>
      <protection hidden="1"/>
    </xf>
    <xf numFmtId="0" fontId="14" fillId="0" borderId="18" xfId="1" applyFont="1" applyBorder="1" applyAlignment="1" applyProtection="1">
      <alignment horizontal="center" vertical="center" shrinkToFit="1" readingOrder="2"/>
      <protection hidden="1"/>
    </xf>
    <xf numFmtId="0" fontId="14" fillId="0" borderId="20" xfId="1" applyFont="1" applyBorder="1" applyAlignment="1" applyProtection="1">
      <alignment horizontal="center" vertical="center" shrinkToFit="1" readingOrder="2"/>
      <protection hidden="1"/>
    </xf>
    <xf numFmtId="49" fontId="6" fillId="0" borderId="19" xfId="1" applyNumberFormat="1" applyFont="1" applyBorder="1" applyAlignment="1" applyProtection="1">
      <alignment horizontal="right" vertical="center" readingOrder="2"/>
      <protection hidden="1"/>
    </xf>
    <xf numFmtId="0" fontId="2" fillId="0" borderId="19" xfId="1" applyFont="1" applyBorder="1" applyAlignment="1" applyProtection="1">
      <alignment horizontal="left" vertical="center" readingOrder="2"/>
      <protection hidden="1"/>
    </xf>
    <xf numFmtId="0" fontId="6" fillId="0" borderId="0" xfId="1" applyFont="1" applyBorder="1" applyAlignment="1" applyProtection="1">
      <alignment horizontal="right" vertical="center" readingOrder="2"/>
      <protection hidden="1"/>
    </xf>
    <xf numFmtId="0" fontId="23" fillId="14" borderId="0" xfId="1" applyFont="1" applyFill="1" applyBorder="1" applyAlignment="1" applyProtection="1">
      <alignment horizontal="left" vertical="center" readingOrder="2"/>
      <protection hidden="1"/>
    </xf>
    <xf numFmtId="0" fontId="15" fillId="0" borderId="0" xfId="1" applyFont="1" applyAlignment="1" applyProtection="1">
      <alignment horizontal="center" vertical="center" shrinkToFit="1" readingOrder="2"/>
      <protection hidden="1"/>
    </xf>
    <xf numFmtId="0" fontId="48" fillId="0" borderId="69" xfId="1" applyFont="1" applyFill="1" applyBorder="1" applyAlignment="1" applyProtection="1">
      <alignment horizontal="center" vertical="center" shrinkToFit="1" readingOrder="2"/>
      <protection hidden="1"/>
    </xf>
    <xf numFmtId="0" fontId="48" fillId="0" borderId="62" xfId="1" applyFont="1" applyFill="1" applyBorder="1" applyAlignment="1" applyProtection="1">
      <alignment horizontal="center" vertical="center" shrinkToFi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2" fillId="0" borderId="0" xfId="1" applyFont="1" applyBorder="1" applyAlignment="1" applyProtection="1">
      <alignment horizontal="left" vertical="center" readingOrder="2"/>
      <protection hidden="1"/>
    </xf>
    <xf numFmtId="0" fontId="51" fillId="16" borderId="0" xfId="1" applyFont="1" applyFill="1" applyBorder="1" applyAlignment="1" applyProtection="1">
      <alignment horizontal="left" vertical="center" shrinkToFit="1" readingOrder="2"/>
      <protection hidden="1"/>
    </xf>
    <xf numFmtId="0" fontId="23" fillId="27" borderId="13" xfId="1" applyFont="1" applyFill="1" applyBorder="1" applyAlignment="1" applyProtection="1">
      <alignment horizontal="left" vertical="center" readingOrder="2"/>
      <protection hidden="1"/>
    </xf>
    <xf numFmtId="0" fontId="23" fillId="0" borderId="13" xfId="1" applyFont="1" applyBorder="1" applyAlignment="1" applyProtection="1">
      <alignment horizontal="center" vertical="center" readingOrder="2"/>
      <protection hidden="1"/>
    </xf>
    <xf numFmtId="0" fontId="2" fillId="0" borderId="0" xfId="1" applyFont="1" applyBorder="1" applyAlignment="1" applyProtection="1">
      <alignment horizontal="right" vertical="center" readingOrder="1"/>
      <protection hidden="1"/>
    </xf>
    <xf numFmtId="0" fontId="51" fillId="16" borderId="0" xfId="1" applyFont="1" applyFill="1" applyBorder="1" applyAlignment="1" applyProtection="1">
      <alignment horizontal="left" vertical="center" wrapText="1" readingOrder="2"/>
      <protection hidden="1"/>
    </xf>
    <xf numFmtId="0" fontId="13" fillId="14" borderId="0" xfId="1" applyFont="1" applyFill="1" applyBorder="1" applyAlignment="1" applyProtection="1">
      <alignment horizontal="left" vertical="center" readingOrder="2"/>
      <protection hidden="1"/>
    </xf>
    <xf numFmtId="166" fontId="13" fillId="0" borderId="81" xfId="1" applyNumberFormat="1" applyFont="1" applyBorder="1" applyAlignment="1" applyProtection="1">
      <alignment horizontal="right" vertical="center" readingOrder="2"/>
      <protection hidden="1"/>
    </xf>
    <xf numFmtId="166" fontId="13" fillId="0" borderId="0" xfId="1" applyNumberFormat="1" applyFont="1" applyBorder="1" applyAlignment="1" applyProtection="1">
      <alignment horizontal="right" vertical="center" readingOrder="2"/>
      <protection hidden="1"/>
    </xf>
    <xf numFmtId="0" fontId="23" fillId="0" borderId="13" xfId="1" applyFont="1" applyBorder="1" applyAlignment="1" applyProtection="1">
      <alignment horizontal="left" readingOrder="2"/>
      <protection hidden="1"/>
    </xf>
    <xf numFmtId="49" fontId="23" fillId="0" borderId="13" xfId="1" applyNumberFormat="1" applyFont="1" applyBorder="1" applyAlignment="1" applyProtection="1">
      <alignment horizontal="right" readingOrder="2"/>
      <protection hidden="1"/>
    </xf>
    <xf numFmtId="0" fontId="23" fillId="0" borderId="13" xfId="1" applyFont="1" applyBorder="1" applyAlignment="1" applyProtection="1">
      <alignment horizontal="right" readingOrder="2"/>
      <protection hidden="1"/>
    </xf>
    <xf numFmtId="0" fontId="51" fillId="0" borderId="0" xfId="1" applyFont="1" applyFill="1" applyBorder="1" applyAlignment="1" applyProtection="1">
      <alignment horizontal="right" vertical="center" shrinkToFit="1" readingOrder="1"/>
      <protection hidden="1"/>
    </xf>
    <xf numFmtId="166" fontId="13" fillId="0" borderId="27" xfId="1" applyNumberFormat="1" applyFont="1" applyBorder="1" applyAlignment="1" applyProtection="1">
      <alignment horizontal="center" vertical="center" readingOrder="2"/>
      <protection hidden="1"/>
    </xf>
    <xf numFmtId="0" fontId="39" fillId="16" borderId="47" xfId="1" applyFont="1" applyFill="1" applyBorder="1" applyAlignment="1" applyProtection="1">
      <alignment horizontal="center" vertical="center" shrinkToFit="1" readingOrder="2"/>
      <protection hidden="1"/>
    </xf>
    <xf numFmtId="0" fontId="39" fillId="16" borderId="49" xfId="1" applyFont="1" applyFill="1" applyBorder="1" applyAlignment="1" applyProtection="1">
      <alignment horizontal="center" vertical="center" shrinkToFit="1" readingOrder="2"/>
      <protection hidden="1"/>
    </xf>
    <xf numFmtId="0" fontId="39" fillId="16" borderId="47" xfId="1" applyFont="1" applyFill="1" applyBorder="1" applyAlignment="1" applyProtection="1">
      <alignment horizontal="center" vertical="center" wrapText="1" shrinkToFit="1" readingOrder="2"/>
      <protection hidden="1"/>
    </xf>
    <xf numFmtId="0" fontId="39" fillId="16" borderId="49" xfId="1" applyFont="1" applyFill="1" applyBorder="1" applyAlignment="1" applyProtection="1">
      <alignment horizontal="center" vertical="center" wrapText="1" shrinkToFit="1" readingOrder="2"/>
      <protection hidden="1"/>
    </xf>
    <xf numFmtId="0" fontId="23" fillId="0" borderId="27" xfId="1" applyNumberFormat="1" applyFont="1" applyBorder="1" applyAlignment="1" applyProtection="1">
      <alignment horizontal="center" vertical="center" readingOrder="2"/>
      <protection hidden="1"/>
    </xf>
    <xf numFmtId="0" fontId="50" fillId="16" borderId="5" xfId="1" applyFont="1" applyFill="1" applyBorder="1" applyAlignment="1" applyProtection="1">
      <alignment horizontal="center" vertical="center" wrapText="1" shrinkToFit="1" readingOrder="2"/>
      <protection hidden="1"/>
    </xf>
    <xf numFmtId="0" fontId="50" fillId="16" borderId="11" xfId="1" applyFont="1" applyFill="1" applyBorder="1" applyAlignment="1" applyProtection="1">
      <alignment horizontal="center" vertical="center" wrapText="1" shrinkToFit="1" readingOrder="2"/>
      <protection hidden="1"/>
    </xf>
    <xf numFmtId="0" fontId="39" fillId="16" borderId="2" xfId="1" applyFont="1" applyFill="1" applyBorder="1" applyAlignment="1" applyProtection="1">
      <alignment horizontal="center" vertical="center" readingOrder="2"/>
      <protection hidden="1"/>
    </xf>
    <xf numFmtId="0" fontId="39" fillId="16" borderId="9" xfId="1" applyFont="1" applyFill="1" applyBorder="1" applyAlignment="1" applyProtection="1">
      <alignment horizontal="center" vertical="center" readingOrder="2"/>
      <protection hidden="1"/>
    </xf>
    <xf numFmtId="0" fontId="39" fillId="16" borderId="3" xfId="1" applyFont="1" applyFill="1" applyBorder="1" applyAlignment="1" applyProtection="1">
      <alignment horizontal="center" vertical="center" wrapText="1" readingOrder="2"/>
      <protection hidden="1"/>
    </xf>
    <xf numFmtId="0" fontId="39" fillId="16" borderId="10" xfId="1" applyFont="1" applyFill="1" applyBorder="1" applyAlignment="1" applyProtection="1">
      <alignment horizontal="center" vertical="center" wrapText="1" readingOrder="2"/>
      <protection hidden="1"/>
    </xf>
    <xf numFmtId="0" fontId="39" fillId="16" borderId="3" xfId="1" applyFont="1" applyFill="1" applyBorder="1" applyAlignment="1" applyProtection="1">
      <alignment horizontal="center" vertical="center" wrapText="1" shrinkToFit="1" readingOrder="2"/>
      <protection hidden="1"/>
    </xf>
    <xf numFmtId="0" fontId="39" fillId="16" borderId="10" xfId="1" applyFont="1" applyFill="1" applyBorder="1" applyAlignment="1" applyProtection="1">
      <alignment horizontal="center" vertical="center" wrapText="1" shrinkToFit="1" readingOrder="2"/>
      <protection hidden="1"/>
    </xf>
    <xf numFmtId="0" fontId="14" fillId="0" borderId="12" xfId="1" applyFont="1" applyBorder="1" applyAlignment="1" applyProtection="1">
      <alignment horizontal="center" vertical="top" readingOrder="2"/>
      <protection hidden="1"/>
    </xf>
    <xf numFmtId="0" fontId="14" fillId="0" borderId="16" xfId="1" applyFont="1" applyBorder="1" applyAlignment="1" applyProtection="1">
      <alignment horizontal="center" vertical="top" readingOrder="2"/>
      <protection hidden="1"/>
    </xf>
    <xf numFmtId="49" fontId="52" fillId="0" borderId="44" xfId="1" applyNumberFormat="1" applyFont="1" applyFill="1" applyBorder="1" applyAlignment="1" applyProtection="1">
      <alignment horizontal="center" vertical="center" wrapText="1" readingOrder="2"/>
      <protection hidden="1"/>
    </xf>
    <xf numFmtId="0" fontId="72" fillId="0" borderId="79" xfId="3" applyFont="1" applyFill="1" applyBorder="1" applyAlignment="1" applyProtection="1">
      <alignment horizontal="center" vertical="center" wrapText="1" readingOrder="2"/>
      <protection hidden="1"/>
    </xf>
    <xf numFmtId="0" fontId="72" fillId="0" borderId="80" xfId="3" applyFont="1" applyFill="1" applyBorder="1" applyAlignment="1" applyProtection="1">
      <alignment horizontal="center" vertical="center" wrapText="1" readingOrder="2"/>
      <protection hidden="1"/>
    </xf>
    <xf numFmtId="0" fontId="57" fillId="0" borderId="79" xfId="3" applyFont="1" applyFill="1" applyBorder="1" applyAlignment="1" applyProtection="1">
      <alignment horizontal="center" vertical="center" wrapText="1" readingOrder="2"/>
      <protection hidden="1"/>
    </xf>
    <xf numFmtId="0" fontId="57" fillId="0" borderId="80" xfId="3" applyFont="1" applyFill="1" applyBorder="1" applyAlignment="1" applyProtection="1">
      <alignment horizontal="center" vertical="center" wrapText="1" readingOrder="2"/>
      <protection hidden="1"/>
    </xf>
    <xf numFmtId="0" fontId="48" fillId="0" borderId="69" xfId="1" applyFont="1" applyFill="1" applyBorder="1" applyAlignment="1" applyProtection="1">
      <alignment horizontal="center" vertical="center" readingOrder="2"/>
      <protection hidden="1"/>
    </xf>
    <xf numFmtId="0" fontId="48" fillId="0" borderId="62" xfId="1" applyFont="1" applyFill="1" applyBorder="1" applyAlignment="1" applyProtection="1">
      <alignment horizontal="center" vertical="center" readingOrder="2"/>
      <protection hidden="1"/>
    </xf>
    <xf numFmtId="0" fontId="14" fillId="0" borderId="78" xfId="1" applyFont="1" applyFill="1" applyBorder="1" applyAlignment="1" applyProtection="1">
      <alignment horizontal="center" vertical="center" textRotation="90" wrapText="1" readingOrder="2"/>
      <protection hidden="1"/>
    </xf>
    <xf numFmtId="0" fontId="14" fillId="0" borderId="79" xfId="1" applyFont="1" applyFill="1" applyBorder="1" applyAlignment="1" applyProtection="1">
      <alignment horizontal="center" vertical="center" textRotation="90" wrapText="1" readingOrder="2"/>
      <protection hidden="1"/>
    </xf>
    <xf numFmtId="0" fontId="14" fillId="0" borderId="80" xfId="1" applyFont="1" applyFill="1" applyBorder="1" applyAlignment="1" applyProtection="1">
      <alignment horizontal="center" vertical="center" textRotation="90" wrapText="1" readingOrder="2"/>
      <protection hidden="1"/>
    </xf>
    <xf numFmtId="0" fontId="51" fillId="0" borderId="43" xfId="1" applyFont="1" applyFill="1" applyBorder="1" applyAlignment="1" applyProtection="1">
      <alignment horizontal="right" vertical="center" wrapText="1" readingOrder="2"/>
      <protection hidden="1"/>
    </xf>
    <xf numFmtId="0" fontId="51" fillId="0" borderId="7" xfId="1" applyFont="1" applyFill="1" applyBorder="1" applyAlignment="1" applyProtection="1">
      <alignment horizontal="right" vertical="center" wrapText="1" readingOrder="2"/>
      <protection hidden="1"/>
    </xf>
    <xf numFmtId="0" fontId="51" fillId="0" borderId="33" xfId="1" applyFont="1" applyFill="1" applyBorder="1" applyAlignment="1" applyProtection="1">
      <alignment horizontal="right" vertical="center" wrapText="1" readingOrder="2"/>
      <protection hidden="1"/>
    </xf>
    <xf numFmtId="0" fontId="51" fillId="0" borderId="57" xfId="1" applyFont="1" applyFill="1" applyBorder="1" applyAlignment="1" applyProtection="1">
      <alignment horizontal="right" vertical="center" wrapText="1" readingOrder="2"/>
      <protection hidden="1"/>
    </xf>
    <xf numFmtId="0" fontId="51" fillId="0" borderId="38" xfId="1" applyFont="1" applyFill="1" applyBorder="1" applyAlignment="1" applyProtection="1">
      <alignment horizontal="right" vertical="center" wrapText="1" readingOrder="2"/>
      <protection hidden="1"/>
    </xf>
    <xf numFmtId="0" fontId="51" fillId="0" borderId="27" xfId="1" applyFont="1" applyFill="1" applyBorder="1" applyAlignment="1" applyProtection="1">
      <alignment horizontal="right" vertical="center" wrapText="1" readingOrder="2"/>
      <protection hidden="1"/>
    </xf>
    <xf numFmtId="0" fontId="2" fillId="0" borderId="0" xfId="1" applyFont="1" applyAlignment="1" applyProtection="1">
      <alignment horizontal="center" vertical="center" shrinkToFit="1" readingOrder="2"/>
      <protection hidden="1"/>
    </xf>
    <xf numFmtId="0" fontId="20" fillId="0" borderId="0" xfId="1" applyFont="1" applyAlignment="1" applyProtection="1">
      <alignment horizontal="center" vertical="center" wrapText="1" readingOrder="2"/>
      <protection hidden="1"/>
    </xf>
    <xf numFmtId="0" fontId="20" fillId="0" borderId="0" xfId="1" applyFont="1" applyBorder="1" applyAlignment="1" applyProtection="1">
      <alignment horizontal="center" vertical="center" wrapText="1" readingOrder="2"/>
      <protection hidden="1"/>
    </xf>
    <xf numFmtId="0" fontId="20" fillId="0" borderId="0" xfId="1" applyFont="1" applyBorder="1" applyAlignment="1" applyProtection="1">
      <alignment horizontal="right" vertical="center" wrapText="1" readingOrder="2"/>
      <protection hidden="1"/>
    </xf>
    <xf numFmtId="49" fontId="2" fillId="0" borderId="0" xfId="1" applyNumberFormat="1" applyFont="1" applyAlignment="1" applyProtection="1">
      <alignment horizontal="center" vertical="center" shrinkToFit="1" readingOrder="2"/>
      <protection hidden="1"/>
    </xf>
    <xf numFmtId="0" fontId="2" fillId="0" borderId="0" xfId="1" applyNumberFormat="1" applyFont="1" applyAlignment="1" applyProtection="1">
      <alignment horizontal="center" vertical="center" shrinkToFit="1" readingOrder="2"/>
      <protection hidden="1"/>
    </xf>
    <xf numFmtId="0" fontId="85" fillId="0" borderId="0" xfId="1" applyFont="1" applyAlignment="1" applyProtection="1">
      <alignment horizontal="center" vertical="center" wrapText="1" readingOrder="2"/>
      <protection hidden="1"/>
    </xf>
    <xf numFmtId="0" fontId="85" fillId="0" borderId="0" xfId="1" applyFont="1" applyAlignment="1" applyProtection="1">
      <alignment horizontal="center" vertical="center" readingOrder="2"/>
      <protection hidden="1"/>
    </xf>
    <xf numFmtId="0" fontId="73" fillId="0" borderId="0" xfId="1" applyFont="1" applyAlignment="1" applyProtection="1">
      <alignment horizontal="left" vertical="top" wrapText="1" readingOrder="2"/>
      <protection hidden="1"/>
    </xf>
    <xf numFmtId="0" fontId="73" fillId="0" borderId="0" xfId="1" applyFont="1" applyAlignment="1" applyProtection="1">
      <alignment horizontal="center" vertical="top" shrinkToFit="1" readingOrder="2"/>
      <protection hidden="1"/>
    </xf>
    <xf numFmtId="0" fontId="73" fillId="0" borderId="0" xfId="1" applyFont="1" applyAlignment="1" applyProtection="1">
      <alignment horizontal="right" vertical="top" readingOrder="2"/>
      <protection hidden="1"/>
    </xf>
    <xf numFmtId="0" fontId="5" fillId="0" borderId="0" xfId="1" applyFont="1" applyAlignment="1" applyProtection="1">
      <alignment horizontal="left" vertical="center" readingOrder="2"/>
      <protection hidden="1"/>
    </xf>
    <xf numFmtId="49" fontId="6" fillId="0" borderId="20" xfId="1" applyNumberFormat="1" applyFont="1" applyBorder="1" applyAlignment="1" applyProtection="1">
      <alignment horizontal="right" vertical="center" readingOrder="2"/>
      <protection hidden="1"/>
    </xf>
    <xf numFmtId="0" fontId="5" fillId="0" borderId="0" xfId="1" applyFont="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0" fontId="30" fillId="0" borderId="69" xfId="1" applyFont="1" applyFill="1" applyBorder="1" applyAlignment="1" applyProtection="1">
      <alignment horizontal="center" vertical="center" shrinkToFit="1" readingOrder="2"/>
      <protection hidden="1"/>
    </xf>
    <xf numFmtId="0" fontId="30" fillId="0" borderId="62" xfId="1" applyFont="1" applyFill="1" applyBorder="1" applyAlignment="1" applyProtection="1">
      <alignment horizontal="center" vertical="center" shrinkToFit="1" readingOrder="2"/>
      <protection hidden="1"/>
    </xf>
    <xf numFmtId="0" fontId="88" fillId="0" borderId="0" xfId="1" applyFont="1" applyAlignment="1" applyProtection="1">
      <alignment horizontal="center" vertical="center" readingOrder="2"/>
      <protection hidden="1"/>
    </xf>
    <xf numFmtId="0" fontId="45" fillId="0" borderId="0" xfId="1" applyFont="1" applyAlignment="1" applyProtection="1">
      <alignment horizontal="left" vertical="center" shrinkToFit="1" readingOrder="2"/>
      <protection hidden="1"/>
    </xf>
    <xf numFmtId="0" fontId="45" fillId="0" borderId="0" xfId="1" applyFont="1" applyAlignment="1" applyProtection="1">
      <alignment horizontal="center" vertical="center" shrinkToFit="1" readingOrder="2"/>
      <protection hidden="1"/>
    </xf>
    <xf numFmtId="0" fontId="45" fillId="0" borderId="0" xfId="1" applyFont="1" applyAlignment="1" applyProtection="1">
      <alignment horizontal="right" vertical="center" shrinkToFit="1" readingOrder="2"/>
      <protection hidden="1"/>
    </xf>
    <xf numFmtId="0" fontId="10" fillId="0" borderId="0" xfId="1" applyFont="1" applyBorder="1" applyAlignment="1" applyProtection="1">
      <alignment horizontal="center" vertical="center" readingOrder="2"/>
      <protection hidden="1"/>
    </xf>
    <xf numFmtId="0" fontId="10" fillId="0" borderId="37" xfId="1" applyFont="1" applyBorder="1" applyAlignment="1" applyProtection="1">
      <alignment horizontal="center" vertical="center" readingOrder="2"/>
      <protection hidden="1"/>
    </xf>
    <xf numFmtId="0" fontId="39" fillId="16" borderId="61" xfId="1" applyFont="1" applyFill="1" applyBorder="1" applyAlignment="1" applyProtection="1">
      <alignment horizontal="center" vertical="center" wrapText="1" shrinkToFit="1" readingOrder="2"/>
      <protection hidden="1"/>
    </xf>
    <xf numFmtId="0" fontId="39" fillId="16" borderId="67" xfId="1" applyFont="1" applyFill="1" applyBorder="1" applyAlignment="1" applyProtection="1">
      <alignment horizontal="center" vertical="center" wrapText="1" shrinkToFit="1" readingOrder="2"/>
      <protection hidden="1"/>
    </xf>
    <xf numFmtId="2" fontId="10" fillId="0" borderId="0" xfId="1" applyNumberFormat="1" applyFont="1" applyBorder="1" applyAlignment="1" applyProtection="1">
      <alignment horizontal="center" vertical="center" readingOrder="2"/>
      <protection hidden="1"/>
    </xf>
    <xf numFmtId="0" fontId="10" fillId="0" borderId="0" xfId="1" applyFont="1" applyBorder="1" applyAlignment="1" applyProtection="1">
      <alignment horizontal="left" vertical="center" readingOrder="2"/>
      <protection hidden="1"/>
    </xf>
    <xf numFmtId="0" fontId="10" fillId="0" borderId="0" xfId="1" applyFont="1" applyBorder="1" applyAlignment="1" applyProtection="1">
      <alignment horizontal="right" vertical="center" readingOrder="2"/>
      <protection hidden="1"/>
    </xf>
    <xf numFmtId="0" fontId="2" fillId="0" borderId="0" xfId="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66" fontId="13" fillId="0" borderId="10" xfId="1" applyNumberFormat="1" applyFont="1" applyBorder="1" applyAlignment="1" applyProtection="1">
      <alignment horizontal="center" vertical="center" readingOrder="2"/>
      <protection hidden="1"/>
    </xf>
    <xf numFmtId="0" fontId="10" fillId="16" borderId="12" xfId="1" applyFont="1" applyFill="1" applyBorder="1" applyAlignment="1" applyProtection="1">
      <alignment horizontal="center" vertical="center" wrapText="1" shrinkToFit="1" readingOrder="2"/>
      <protection hidden="1"/>
    </xf>
    <xf numFmtId="0" fontId="10" fillId="16" borderId="13" xfId="1" applyFont="1" applyFill="1" applyBorder="1" applyAlignment="1" applyProtection="1">
      <alignment horizontal="center" vertical="center" wrapText="1" shrinkToFit="1" readingOrder="2"/>
      <protection hidden="1"/>
    </xf>
    <xf numFmtId="0" fontId="10" fillId="16" borderId="26" xfId="1" applyFont="1" applyFill="1" applyBorder="1" applyAlignment="1" applyProtection="1">
      <alignment horizontal="center" vertical="center" wrapText="1" shrinkToFit="1" readingOrder="2"/>
      <protection hidden="1"/>
    </xf>
    <xf numFmtId="0" fontId="30" fillId="16" borderId="50" xfId="1" applyNumberFormat="1" applyFont="1" applyFill="1" applyBorder="1" applyAlignment="1" applyProtection="1">
      <alignment horizontal="center" vertical="center" readingOrder="2"/>
      <protection hidden="1"/>
    </xf>
    <xf numFmtId="0" fontId="30" fillId="16" borderId="53" xfId="1" applyNumberFormat="1" applyFont="1" applyFill="1" applyBorder="1" applyAlignment="1" applyProtection="1">
      <alignment horizontal="center" vertical="center" readingOrder="2"/>
      <protection hidden="1"/>
    </xf>
    <xf numFmtId="0" fontId="30" fillId="16" borderId="52" xfId="1" applyNumberFormat="1" applyFont="1" applyFill="1" applyBorder="1" applyAlignment="1" applyProtection="1">
      <alignment horizontal="center" vertical="center" readingOrder="2"/>
      <protection hidden="1"/>
    </xf>
    <xf numFmtId="3" fontId="51" fillId="0" borderId="0" xfId="1" applyNumberFormat="1" applyFont="1" applyFill="1" applyBorder="1" applyAlignment="1" applyProtection="1">
      <alignment horizontal="right" vertical="center" shrinkToFit="1" readingOrder="2"/>
      <protection hidden="1"/>
    </xf>
    <xf numFmtId="0" fontId="14" fillId="0" borderId="101" xfId="1" applyFont="1" applyFill="1" applyBorder="1" applyAlignment="1" applyProtection="1">
      <alignment horizontal="center" vertical="center" textRotation="90" wrapText="1" readingOrder="2"/>
      <protection hidden="1"/>
    </xf>
    <xf numFmtId="0" fontId="14" fillId="0" borderId="102" xfId="1" applyFont="1" applyFill="1" applyBorder="1" applyAlignment="1" applyProtection="1">
      <alignment horizontal="center" vertical="center" textRotation="90" wrapText="1" readingOrder="2"/>
      <protection hidden="1"/>
    </xf>
    <xf numFmtId="0" fontId="14" fillId="0" borderId="95" xfId="1" applyFont="1" applyFill="1" applyBorder="1" applyAlignment="1" applyProtection="1">
      <alignment horizontal="center" vertical="center" textRotation="90" wrapText="1" readingOrder="2"/>
      <protection hidden="1"/>
    </xf>
    <xf numFmtId="2" fontId="24" fillId="0" borderId="4" xfId="1" applyNumberFormat="1" applyFont="1" applyFill="1" applyBorder="1" applyAlignment="1" applyProtection="1">
      <alignment horizontal="center" vertical="center" shrinkToFit="1" readingOrder="2"/>
      <protection hidden="1"/>
    </xf>
    <xf numFmtId="2" fontId="24" fillId="0" borderId="55" xfId="1" applyNumberFormat="1" applyFont="1" applyFill="1" applyBorder="1" applyAlignment="1" applyProtection="1">
      <alignment horizontal="center" vertical="center" shrinkToFit="1" readingOrder="2"/>
      <protection hidden="1"/>
    </xf>
    <xf numFmtId="2" fontId="24" fillId="0" borderId="14" xfId="1" applyNumberFormat="1" applyFont="1" applyFill="1" applyBorder="1" applyAlignment="1" applyProtection="1">
      <alignment horizontal="center" vertical="center" shrinkToFit="1" readingOrder="2"/>
      <protection hidden="1"/>
    </xf>
    <xf numFmtId="0" fontId="51" fillId="0" borderId="47" xfId="1" applyFont="1" applyFill="1" applyBorder="1" applyAlignment="1" applyProtection="1">
      <alignment horizontal="left" vertical="center" readingOrder="2"/>
      <protection hidden="1"/>
    </xf>
    <xf numFmtId="0" fontId="51" fillId="0" borderId="48" xfId="1" applyFont="1" applyFill="1" applyBorder="1" applyAlignment="1" applyProtection="1">
      <alignment horizontal="left" vertical="center" readingOrder="2"/>
      <protection hidden="1"/>
    </xf>
    <xf numFmtId="0" fontId="51" fillId="0" borderId="22" xfId="1" applyFont="1" applyFill="1" applyBorder="1" applyAlignment="1" applyProtection="1">
      <alignment horizontal="left" vertical="center" readingOrder="2"/>
      <protection hidden="1"/>
    </xf>
    <xf numFmtId="0" fontId="51" fillId="0" borderId="41" xfId="1" applyFont="1" applyFill="1" applyBorder="1" applyAlignment="1" applyProtection="1">
      <alignment horizontal="left" vertical="center" readingOrder="2"/>
      <protection hidden="1"/>
    </xf>
    <xf numFmtId="0" fontId="51" fillId="0" borderId="42" xfId="1" applyFont="1" applyFill="1" applyBorder="1" applyAlignment="1" applyProtection="1">
      <alignment horizontal="left" vertical="center" readingOrder="2"/>
      <protection hidden="1"/>
    </xf>
    <xf numFmtId="0" fontId="51" fillId="0" borderId="43" xfId="1" applyFont="1" applyFill="1" applyBorder="1" applyAlignment="1" applyProtection="1">
      <alignment horizontal="left" vertical="center" readingOrder="2"/>
      <protection hidden="1"/>
    </xf>
    <xf numFmtId="0" fontId="51" fillId="0" borderId="51" xfId="1" applyFont="1" applyFill="1" applyBorder="1" applyAlignment="1" applyProtection="1">
      <alignment horizontal="left" vertical="center" readingOrder="2"/>
      <protection hidden="1"/>
    </xf>
    <xf numFmtId="0" fontId="51" fillId="0" borderId="53" xfId="1" applyFont="1" applyFill="1" applyBorder="1" applyAlignment="1" applyProtection="1">
      <alignment horizontal="left" vertical="center" readingOrder="2"/>
      <protection hidden="1"/>
    </xf>
    <xf numFmtId="0" fontId="51" fillId="0" borderId="52" xfId="1" applyFont="1" applyFill="1" applyBorder="1" applyAlignment="1" applyProtection="1">
      <alignment horizontal="left" vertical="center" readingOrder="2"/>
      <protection hidden="1"/>
    </xf>
    <xf numFmtId="0" fontId="48" fillId="0" borderId="4" xfId="1" applyFont="1" applyFill="1" applyBorder="1" applyAlignment="1" applyProtection="1">
      <alignment horizontal="center" vertical="center" readingOrder="2"/>
      <protection hidden="1"/>
    </xf>
    <xf numFmtId="0" fontId="48" fillId="0" borderId="55" xfId="1" applyFont="1" applyFill="1" applyBorder="1" applyAlignment="1" applyProtection="1">
      <alignment horizontal="center" vertical="center" readingOrder="2"/>
      <protection hidden="1"/>
    </xf>
    <xf numFmtId="0" fontId="48" fillId="0" borderId="14" xfId="1" applyFont="1" applyFill="1" applyBorder="1" applyAlignment="1" applyProtection="1">
      <alignment horizontal="center" vertical="center" readingOrder="2"/>
      <protection hidden="1"/>
    </xf>
    <xf numFmtId="0" fontId="96" fillId="0" borderId="23" xfId="1" applyFont="1" applyFill="1" applyBorder="1" applyAlignment="1" applyProtection="1">
      <alignment horizontal="center" vertical="center" wrapText="1" readingOrder="2"/>
      <protection hidden="1"/>
    </xf>
    <xf numFmtId="0" fontId="96" fillId="0" borderId="19" xfId="1" applyFont="1" applyFill="1" applyBorder="1" applyAlignment="1" applyProtection="1">
      <alignment horizontal="center" vertical="center" wrapText="1" readingOrder="2"/>
      <protection hidden="1"/>
    </xf>
    <xf numFmtId="0" fontId="96" fillId="0" borderId="20" xfId="1" applyFont="1" applyFill="1" applyBorder="1" applyAlignment="1" applyProtection="1">
      <alignment horizontal="center" vertical="center" wrapText="1" readingOrder="2"/>
      <protection hidden="1"/>
    </xf>
    <xf numFmtId="0" fontId="96" fillId="0" borderId="39" xfId="1" applyFont="1" applyFill="1" applyBorder="1" applyAlignment="1" applyProtection="1">
      <alignment horizontal="center" vertical="center" wrapText="1" readingOrder="2"/>
      <protection hidden="1"/>
    </xf>
    <xf numFmtId="0" fontId="96" fillId="0" borderId="37" xfId="1" applyFont="1" applyFill="1" applyBorder="1" applyAlignment="1" applyProtection="1">
      <alignment horizontal="center" vertical="center" wrapText="1" readingOrder="2"/>
      <protection hidden="1"/>
    </xf>
    <xf numFmtId="0" fontId="96" fillId="0" borderId="40" xfId="1" applyFont="1" applyFill="1" applyBorder="1" applyAlignment="1" applyProtection="1">
      <alignment horizontal="center" vertical="center" wrapText="1" readingOrder="2"/>
      <protection hidden="1"/>
    </xf>
    <xf numFmtId="2" fontId="96" fillId="0" borderId="34" xfId="1" applyNumberFormat="1" applyFont="1" applyFill="1" applyBorder="1" applyAlignment="1" applyProtection="1">
      <alignment horizontal="center" vertical="center" wrapText="1" shrinkToFit="1" readingOrder="2"/>
      <protection hidden="1"/>
    </xf>
    <xf numFmtId="2" fontId="96" fillId="0" borderId="32" xfId="1" applyNumberFormat="1" applyFont="1" applyFill="1" applyBorder="1" applyAlignment="1" applyProtection="1">
      <alignment horizontal="center" vertical="center" wrapText="1" shrinkToFit="1" readingOrder="2"/>
      <protection hidden="1"/>
    </xf>
    <xf numFmtId="2" fontId="96" fillId="0" borderId="35" xfId="1" applyNumberFormat="1" applyFont="1" applyFill="1" applyBorder="1" applyAlignment="1" applyProtection="1">
      <alignment horizontal="center" vertical="center" wrapText="1" shrinkToFit="1" readingOrder="2"/>
      <protection hidden="1"/>
    </xf>
    <xf numFmtId="2" fontId="96" fillId="0" borderId="25" xfId="1" applyNumberFormat="1" applyFont="1" applyFill="1" applyBorder="1" applyAlignment="1" applyProtection="1">
      <alignment horizontal="center" vertical="center" wrapText="1" shrinkToFit="1" readingOrder="2"/>
      <protection hidden="1"/>
    </xf>
    <xf numFmtId="2" fontId="96" fillId="0" borderId="13" xfId="1" applyNumberFormat="1" applyFont="1" applyFill="1" applyBorder="1" applyAlignment="1" applyProtection="1">
      <alignment horizontal="center" vertical="center" wrapText="1" shrinkToFit="1" readingOrder="2"/>
      <protection hidden="1"/>
    </xf>
    <xf numFmtId="2" fontId="96" fillId="0" borderId="16" xfId="1" applyNumberFormat="1" applyFont="1" applyFill="1" applyBorder="1" applyAlignment="1" applyProtection="1">
      <alignment horizontal="center" vertical="center" wrapText="1" shrinkToFit="1" readingOrder="2"/>
      <protection hidden="1"/>
    </xf>
    <xf numFmtId="0" fontId="24" fillId="0" borderId="12" xfId="1" applyNumberFormat="1" applyFont="1" applyBorder="1" applyAlignment="1" applyProtection="1">
      <alignment horizontal="left" vertical="center" wrapText="1" shrinkToFit="1" readingOrder="2"/>
      <protection hidden="1"/>
    </xf>
    <xf numFmtId="0" fontId="24" fillId="0" borderId="13" xfId="1" applyNumberFormat="1" applyFont="1" applyBorder="1" applyAlignment="1" applyProtection="1">
      <alignment horizontal="left" vertical="center"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10" fillId="0" borderId="19" xfId="1" applyNumberFormat="1" applyFont="1" applyBorder="1" applyAlignment="1" applyProtection="1">
      <alignment horizontal="center" vertical="center" wrapText="1" shrinkToFit="1" readingOrder="2"/>
      <protection hidden="1"/>
    </xf>
    <xf numFmtId="0" fontId="10" fillId="0" borderId="24" xfId="1" applyNumberFormat="1" applyFont="1" applyBorder="1" applyAlignment="1" applyProtection="1">
      <alignment horizontal="center" vertical="center" wrapText="1" shrinkToFit="1" readingOrder="2"/>
      <protection hidden="1"/>
    </xf>
    <xf numFmtId="49" fontId="20" fillId="0" borderId="7" xfId="1" applyNumberFormat="1" applyFont="1" applyBorder="1" applyAlignment="1" applyProtection="1">
      <alignment horizontal="center" vertical="center" shrinkToFit="1" readingOrder="2"/>
      <protection hidden="1"/>
    </xf>
    <xf numFmtId="0" fontId="20" fillId="0" borderId="7" xfId="1" applyNumberFormat="1" applyFont="1" applyBorder="1" applyAlignment="1" applyProtection="1">
      <alignment horizontal="center" vertical="center" shrinkToFit="1" readingOrder="2"/>
      <protection hidden="1"/>
    </xf>
    <xf numFmtId="49" fontId="5" fillId="0" borderId="7"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wrapText="1" shrinkToFit="1" readingOrder="2"/>
      <protection hidden="1"/>
    </xf>
    <xf numFmtId="0" fontId="6" fillId="0" borderId="7" xfId="1" applyNumberFormat="1" applyFont="1" applyBorder="1" applyAlignment="1" applyProtection="1">
      <alignment horizontal="center" vertical="center" wrapText="1" shrinkToFit="1" readingOrder="2"/>
      <protection hidden="1"/>
    </xf>
    <xf numFmtId="0" fontId="5" fillId="0" borderId="7" xfId="1" applyNumberFormat="1" applyFont="1" applyBorder="1" applyAlignment="1" applyProtection="1">
      <alignment horizontal="center" vertical="center" shrinkToFit="1" readingOrder="2"/>
      <protection hidden="1"/>
    </xf>
    <xf numFmtId="49" fontId="6" fillId="0" borderId="57" xfId="1" applyNumberFormat="1" applyFont="1" applyBorder="1" applyAlignment="1" applyProtection="1">
      <alignment horizontal="center" vertical="center" wrapText="1" shrinkToFit="1" readingOrder="2"/>
      <protection hidden="1"/>
    </xf>
    <xf numFmtId="0" fontId="6" fillId="0" borderId="57" xfId="1" applyNumberFormat="1" applyFont="1" applyBorder="1" applyAlignment="1" applyProtection="1">
      <alignment horizontal="center" vertical="center" wrapText="1" shrinkToFit="1" readingOrder="2"/>
      <protection hidden="1"/>
    </xf>
    <xf numFmtId="49" fontId="5" fillId="0" borderId="57" xfId="1" applyNumberFormat="1" applyFont="1" applyBorder="1" applyAlignment="1" applyProtection="1">
      <alignment horizontal="center" vertical="center" shrinkToFit="1" readingOrder="2"/>
      <protection hidden="1"/>
    </xf>
    <xf numFmtId="0" fontId="5" fillId="0" borderId="57" xfId="1" applyNumberFormat="1" applyFont="1" applyBorder="1" applyAlignment="1" applyProtection="1">
      <alignment horizontal="center" vertical="center" shrinkToFit="1" readingOrder="2"/>
      <protection hidden="1"/>
    </xf>
    <xf numFmtId="0" fontId="24" fillId="0" borderId="47" xfId="1" applyNumberFormat="1" applyFont="1" applyBorder="1" applyAlignment="1" applyProtection="1">
      <alignment horizontal="left" vertical="center" shrinkToFit="1" readingOrder="2"/>
      <protection hidden="1"/>
    </xf>
    <xf numFmtId="0" fontId="24" fillId="0" borderId="48" xfId="1" applyNumberFormat="1" applyFont="1" applyBorder="1" applyAlignment="1" applyProtection="1">
      <alignment horizontal="left" vertical="center" shrinkToFit="1" readingOrder="2"/>
      <protection hidden="1"/>
    </xf>
    <xf numFmtId="0" fontId="10" fillId="0" borderId="62" xfId="1" applyNumberFormat="1" applyFont="1" applyBorder="1" applyAlignment="1" applyProtection="1">
      <alignment horizontal="center" vertical="center" shrinkToFit="1" readingOrder="2"/>
      <protection hidden="1"/>
    </xf>
    <xf numFmtId="0" fontId="10" fillId="0" borderId="63"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0" fontId="10" fillId="0" borderId="8" xfId="1" applyNumberFormat="1" applyFont="1" applyBorder="1" applyAlignment="1" applyProtection="1">
      <alignment horizontal="center" vertical="center" shrinkToFit="1" readingOrder="2"/>
      <protection hidden="1"/>
    </xf>
    <xf numFmtId="2" fontId="45" fillId="0" borderId="1" xfId="1" applyNumberFormat="1" applyFont="1" applyBorder="1" applyAlignment="1" applyProtection="1">
      <alignment horizontal="right" vertical="center" shrinkToFit="1" readingOrder="2"/>
      <protection hidden="1"/>
    </xf>
    <xf numFmtId="0" fontId="45" fillId="0" borderId="67" xfId="1" applyNumberFormat="1" applyFont="1" applyBorder="1" applyAlignment="1" applyProtection="1">
      <alignment horizontal="right"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0" fontId="65" fillId="0" borderId="7"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center" vertical="center" shrinkToFit="1" readingOrder="2"/>
      <protection hidden="1"/>
    </xf>
    <xf numFmtId="0" fontId="10" fillId="0" borderId="30" xfId="1" applyNumberFormat="1" applyFont="1" applyBorder="1" applyAlignment="1" applyProtection="1">
      <alignment horizontal="center" vertical="center" shrinkToFit="1" readingOrder="2"/>
      <protection hidden="1"/>
    </xf>
    <xf numFmtId="0" fontId="30" fillId="0" borderId="61" xfId="1" applyNumberFormat="1" applyFont="1" applyBorder="1" applyAlignment="1" applyProtection="1">
      <alignment horizontal="left" vertical="center" shrinkToFit="1" readingOrder="2"/>
      <protection hidden="1"/>
    </xf>
    <xf numFmtId="0" fontId="30" fillId="0" borderId="1" xfId="1" applyNumberFormat="1" applyFont="1" applyBorder="1" applyAlignment="1" applyProtection="1">
      <alignment horizontal="left" vertical="center" shrinkToFit="1" readingOrder="2"/>
      <protection hidden="1"/>
    </xf>
    <xf numFmtId="0" fontId="30" fillId="0" borderId="1" xfId="1" applyNumberFormat="1" applyFont="1" applyBorder="1" applyAlignment="1" applyProtection="1">
      <alignment horizontal="right" shrinkToFit="1" readingOrder="2"/>
      <protection hidden="1"/>
    </xf>
    <xf numFmtId="49" fontId="6" fillId="0" borderId="57" xfId="1" applyNumberFormat="1" applyFont="1" applyBorder="1" applyAlignment="1" applyProtection="1">
      <alignment horizontal="center" vertical="center" shrinkToFit="1" readingOrder="2"/>
      <protection hidden="1"/>
    </xf>
    <xf numFmtId="0" fontId="6" fillId="0" borderId="57"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0" fontId="10" fillId="0" borderId="58" xfId="1" applyNumberFormat="1" applyFont="1" applyBorder="1" applyAlignment="1" applyProtection="1">
      <alignment horizontal="center" vertical="center" shrinkToFit="1" readingOrder="2"/>
      <protection hidden="1"/>
    </xf>
    <xf numFmtId="2" fontId="10" fillId="0" borderId="48" xfId="1" applyNumberFormat="1" applyFont="1" applyBorder="1" applyAlignment="1" applyProtection="1">
      <alignment horizontal="center" vertical="center" shrinkToFit="1" readingOrder="2"/>
      <protection hidden="1"/>
    </xf>
    <xf numFmtId="0" fontId="10" fillId="0" borderId="49" xfId="1" applyNumberFormat="1" applyFont="1" applyBorder="1" applyAlignment="1" applyProtection="1">
      <alignment horizontal="center" vertical="center" shrinkToFit="1" readingOrder="2"/>
      <protection hidden="1"/>
    </xf>
    <xf numFmtId="49" fontId="5" fillId="0" borderId="39" xfId="1" applyNumberFormat="1" applyFont="1" applyBorder="1" applyAlignment="1" applyProtection="1">
      <alignment horizontal="center" vertical="center" wrapText="1" shrinkToFit="1" readingOrder="2"/>
      <protection hidden="1"/>
    </xf>
    <xf numFmtId="0" fontId="5" fillId="0" borderId="37" xfId="1" applyNumberFormat="1" applyFont="1" applyBorder="1" applyAlignment="1" applyProtection="1">
      <alignment horizontal="center" vertical="center" wrapText="1" shrinkToFit="1" readingOrder="2"/>
      <protection hidden="1"/>
    </xf>
    <xf numFmtId="0" fontId="5" fillId="0" borderId="38" xfId="1" applyNumberFormat="1" applyFont="1" applyBorder="1" applyAlignment="1" applyProtection="1">
      <alignment horizontal="center" vertical="center" wrapText="1" shrinkToFit="1" readingOrder="2"/>
      <protection hidden="1"/>
    </xf>
    <xf numFmtId="0" fontId="10" fillId="0" borderId="3" xfId="1" applyNumberFormat="1" applyFont="1" applyBorder="1" applyAlignment="1" applyProtection="1">
      <alignment horizontal="center" vertical="center" shrinkToFit="1" readingOrder="2"/>
      <protection hidden="1"/>
    </xf>
    <xf numFmtId="0" fontId="10" fillId="0" borderId="5" xfId="1" applyNumberFormat="1" applyFont="1" applyBorder="1" applyAlignment="1" applyProtection="1">
      <alignment horizontal="center" vertical="center" shrinkToFit="1" readingOrder="2"/>
      <protection hidden="1"/>
    </xf>
    <xf numFmtId="0" fontId="10" fillId="0" borderId="10" xfId="1" applyNumberFormat="1" applyFont="1" applyBorder="1" applyAlignment="1" applyProtection="1">
      <alignment horizontal="center" vertical="center" shrinkToFit="1" readingOrder="2"/>
      <protection hidden="1"/>
    </xf>
    <xf numFmtId="0" fontId="10" fillId="0" borderId="11" xfId="1" applyNumberFormat="1" applyFont="1" applyBorder="1" applyAlignment="1" applyProtection="1">
      <alignment horizontal="center" vertical="center" shrinkToFit="1" readingOrder="2"/>
      <protection hidden="1"/>
    </xf>
    <xf numFmtId="0" fontId="15" fillId="0" borderId="10" xfId="1" applyNumberFormat="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0" fontId="65" fillId="0" borderId="27" xfId="1" applyNumberFormat="1" applyFont="1" applyBorder="1" applyAlignment="1" applyProtection="1">
      <alignment horizontal="center" vertical="center" shrinkToFit="1" readingOrder="2"/>
      <protection hidden="1"/>
    </xf>
    <xf numFmtId="2" fontId="10" fillId="0" borderId="27" xfId="1" applyNumberFormat="1" applyFont="1" applyBorder="1" applyAlignment="1" applyProtection="1">
      <alignment horizontal="center" vertical="center" shrinkToFit="1" readingOrder="2"/>
      <protection hidden="1"/>
    </xf>
    <xf numFmtId="0" fontId="10" fillId="0" borderId="29" xfId="1" applyNumberFormat="1" applyFont="1" applyBorder="1" applyAlignment="1" applyProtection="1">
      <alignment horizontal="center" vertical="center" shrinkToFit="1" readingOrder="2"/>
      <protection hidden="1"/>
    </xf>
    <xf numFmtId="2" fontId="14" fillId="0" borderId="1" xfId="1" applyNumberFormat="1" applyFont="1" applyBorder="1" applyAlignment="1" applyProtection="1">
      <alignment horizontal="right" vertical="center" shrinkToFit="1" readingOrder="2"/>
      <protection hidden="1"/>
    </xf>
    <xf numFmtId="0" fontId="14" fillId="0" borderId="67" xfId="1" applyNumberFormat="1" applyFont="1" applyBorder="1" applyAlignment="1" applyProtection="1">
      <alignment horizontal="right" vertical="center" shrinkToFit="1" readingOrder="2"/>
      <protection hidden="1"/>
    </xf>
    <xf numFmtId="0" fontId="30" fillId="0" borderId="0" xfId="1" applyNumberFormat="1" applyFont="1" applyBorder="1" applyAlignment="1" applyProtection="1">
      <alignment horizontal="right" shrinkToFit="1" readingOrder="2"/>
      <protection hidden="1"/>
    </xf>
    <xf numFmtId="0" fontId="10" fillId="0" borderId="2" xfId="1" applyNumberFormat="1" applyFont="1" applyBorder="1" applyAlignment="1" applyProtection="1">
      <alignment horizontal="center" vertical="center" shrinkToFit="1" readingOrder="2"/>
      <protection hidden="1"/>
    </xf>
    <xf numFmtId="0" fontId="10" fillId="0" borderId="9" xfId="1" applyNumberFormat="1" applyFont="1" applyBorder="1" applyAlignment="1" applyProtection="1">
      <alignment horizontal="center" vertical="center" shrinkToFit="1" readingOrder="2"/>
      <protection hidden="1"/>
    </xf>
    <xf numFmtId="0" fontId="10" fillId="0" borderId="3" xfId="1" applyNumberFormat="1" applyFont="1" applyBorder="1" applyAlignment="1" applyProtection="1">
      <alignment horizontal="center" vertical="center" wrapText="1" shrinkToFit="1" readingOrder="2"/>
      <protection hidden="1"/>
    </xf>
    <xf numFmtId="0" fontId="10" fillId="0" borderId="10"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shrinkToFit="1" readingOrder="2"/>
      <protection hidden="1"/>
    </xf>
    <xf numFmtId="0" fontId="15" fillId="0" borderId="55" xfId="1" applyNumberFormat="1" applyFont="1" applyBorder="1" applyAlignment="1" applyProtection="1">
      <alignment horizontal="center" vertical="center" shrinkToFit="1" readingOrder="2"/>
      <protection hidden="1"/>
    </xf>
    <xf numFmtId="0" fontId="30" fillId="0" borderId="47" xfId="1" applyNumberFormat="1" applyFont="1" applyBorder="1" applyAlignment="1" applyProtection="1">
      <alignment horizontal="left" vertical="center" shrinkToFit="1" readingOrder="2"/>
      <protection hidden="1"/>
    </xf>
    <xf numFmtId="0" fontId="30" fillId="0" borderId="48" xfId="1" applyNumberFormat="1" applyFont="1" applyBorder="1" applyAlignment="1" applyProtection="1">
      <alignment horizontal="left" vertical="center" shrinkToFit="1" readingOrder="2"/>
      <protection hidden="1"/>
    </xf>
    <xf numFmtId="0" fontId="30" fillId="0" borderId="12"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left" vertical="center" shrinkToFit="1" readingOrder="2"/>
      <protection hidden="1"/>
    </xf>
    <xf numFmtId="2" fontId="14" fillId="0" borderId="13" xfId="1" applyNumberFormat="1" applyFont="1" applyBorder="1" applyAlignment="1" applyProtection="1">
      <alignment horizontal="right" vertical="center" shrinkToFit="1" readingOrder="2"/>
      <protection hidden="1"/>
    </xf>
    <xf numFmtId="0" fontId="14" fillId="0" borderId="16" xfId="1" applyNumberFormat="1" applyFont="1" applyBorder="1" applyAlignment="1" applyProtection="1">
      <alignment horizontal="right" vertical="center" shrinkToFit="1" readingOrder="2"/>
      <protection hidden="1"/>
    </xf>
    <xf numFmtId="0" fontId="30" fillId="0" borderId="19" xfId="1" applyNumberFormat="1" applyFont="1" applyBorder="1" applyAlignment="1" applyProtection="1">
      <alignment horizontal="right" shrinkToFit="1" readingOrder="2"/>
      <protection hidden="1"/>
    </xf>
    <xf numFmtId="0" fontId="10" fillId="0" borderId="2" xfId="1" applyNumberFormat="1" applyFont="1" applyBorder="1" applyAlignment="1" applyProtection="1">
      <alignment horizontal="center" vertical="center" wrapText="1" shrinkToFit="1" readingOrder="2"/>
      <protection hidden="1"/>
    </xf>
    <xf numFmtId="0" fontId="10" fillId="0" borderId="9" xfId="1" applyNumberFormat="1" applyFont="1" applyBorder="1" applyAlignment="1" applyProtection="1">
      <alignment horizontal="center" vertical="center" wrapText="1" shrinkToFit="1" readingOrder="2"/>
      <protection hidden="1"/>
    </xf>
    <xf numFmtId="0" fontId="10" fillId="0" borderId="5" xfId="1" applyNumberFormat="1" applyFont="1" applyBorder="1" applyAlignment="1" applyProtection="1">
      <alignment horizontal="center" vertical="center" wrapText="1" shrinkToFit="1" readingOrder="2"/>
      <protection hidden="1"/>
    </xf>
    <xf numFmtId="0" fontId="10" fillId="0" borderId="11" xfId="1" applyNumberFormat="1" applyFont="1" applyBorder="1" applyAlignment="1" applyProtection="1">
      <alignment horizontal="center" vertical="center" wrapText="1" shrinkToFit="1" readingOrder="2"/>
      <protection hidden="1"/>
    </xf>
    <xf numFmtId="2" fontId="10" fillId="0" borderId="59" xfId="1" applyNumberFormat="1" applyFont="1" applyBorder="1" applyAlignment="1" applyProtection="1">
      <alignment horizontal="center" vertical="center" shrinkToFit="1" readingOrder="2"/>
      <protection hidden="1"/>
    </xf>
    <xf numFmtId="0" fontId="10" fillId="0" borderId="46" xfId="1" applyNumberFormat="1" applyFont="1" applyBorder="1" applyAlignment="1" applyProtection="1">
      <alignment horizontal="center" vertical="center" shrinkToFit="1" readingOrder="2"/>
      <protection hidden="1"/>
    </xf>
    <xf numFmtId="49" fontId="15" fillId="0" borderId="27" xfId="1" applyNumberFormat="1" applyFont="1" applyBorder="1" applyAlignment="1" applyProtection="1">
      <alignment horizontal="center" vertical="center" shrinkToFit="1" readingOrder="2"/>
      <protection hidden="1"/>
    </xf>
    <xf numFmtId="0" fontId="15" fillId="0" borderId="27" xfId="1" applyNumberFormat="1" applyFont="1" applyBorder="1" applyAlignment="1" applyProtection="1">
      <alignment horizontal="center" vertical="center" shrinkToFit="1" readingOrder="2"/>
      <protection hidden="1"/>
    </xf>
    <xf numFmtId="49" fontId="58" fillId="0" borderId="27" xfId="1" applyNumberFormat="1" applyFont="1" applyBorder="1" applyAlignment="1" applyProtection="1">
      <alignment horizontal="center" vertical="center" wrapText="1" shrinkToFit="1" readingOrder="2"/>
      <protection hidden="1"/>
    </xf>
    <xf numFmtId="0" fontId="58" fillId="0" borderId="27" xfId="1" applyNumberFormat="1" applyFont="1" applyBorder="1" applyAlignment="1" applyProtection="1">
      <alignment horizontal="center" vertical="center" wrapText="1" shrinkToFit="1" readingOrder="2"/>
      <protection hidden="1"/>
    </xf>
    <xf numFmtId="49" fontId="15" fillId="0" borderId="27" xfId="1" applyNumberFormat="1" applyFont="1" applyBorder="1" applyAlignment="1" applyProtection="1">
      <alignment horizontal="center" vertical="center" wrapText="1" shrinkToFit="1" readingOrder="2"/>
      <protection hidden="1"/>
    </xf>
    <xf numFmtId="0" fontId="15" fillId="0" borderId="27" xfId="1" applyNumberFormat="1" applyFont="1" applyBorder="1" applyAlignment="1" applyProtection="1">
      <alignment horizontal="center" vertical="center" wrapText="1" shrinkToFit="1" readingOrder="2"/>
      <protection hidden="1"/>
    </xf>
    <xf numFmtId="49" fontId="15" fillId="0" borderId="7" xfId="1" applyNumberFormat="1" applyFont="1" applyBorder="1" applyAlignment="1" applyProtection="1">
      <alignment horizontal="center" vertical="center" wrapText="1" shrinkToFit="1" readingOrder="2"/>
      <protection hidden="1"/>
    </xf>
    <xf numFmtId="0" fontId="15" fillId="0" borderId="7" xfId="1" applyNumberFormat="1" applyFont="1" applyBorder="1" applyAlignment="1" applyProtection="1">
      <alignment horizontal="center" vertical="center" wrapText="1" shrinkToFit="1" readingOrder="2"/>
      <protection hidden="1"/>
    </xf>
    <xf numFmtId="0" fontId="5" fillId="0" borderId="7" xfId="1" applyNumberFormat="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hidden="1"/>
    </xf>
    <xf numFmtId="0" fontId="29" fillId="0" borderId="7" xfId="1" applyNumberFormat="1" applyFont="1" applyBorder="1" applyAlignment="1" applyProtection="1">
      <alignment horizontal="center" vertical="center" wrapText="1" shrinkToFit="1" readingOrder="2"/>
      <protection hidden="1"/>
    </xf>
    <xf numFmtId="49" fontId="58" fillId="0" borderId="3" xfId="1" applyNumberFormat="1" applyFont="1" applyBorder="1" applyAlignment="1" applyProtection="1">
      <alignment horizontal="center" vertical="center" wrapText="1" shrinkToFit="1" readingOrder="2"/>
      <protection hidden="1"/>
    </xf>
    <xf numFmtId="0" fontId="58" fillId="0" borderId="3" xfId="1" applyNumberFormat="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shrinkToFit="1" readingOrder="2"/>
      <protection hidden="1"/>
    </xf>
    <xf numFmtId="0" fontId="15" fillId="0" borderId="3" xfId="1" applyNumberFormat="1" applyFont="1" applyBorder="1" applyAlignment="1" applyProtection="1">
      <alignment horizontal="center" vertical="center" shrinkToFit="1" readingOrder="2"/>
      <protection hidden="1"/>
    </xf>
    <xf numFmtId="0" fontId="10" fillId="0" borderId="67" xfId="1" applyNumberFormat="1" applyFont="1" applyBorder="1" applyAlignment="1" applyProtection="1">
      <alignment horizontal="center" vertical="center" shrinkToFit="1" readingOrder="2"/>
      <protection hidden="1"/>
    </xf>
    <xf numFmtId="0" fontId="58" fillId="0" borderId="7" xfId="1" applyNumberFormat="1" applyFont="1" applyBorder="1" applyAlignment="1" applyProtection="1">
      <alignment horizontal="center" vertical="center" textRotation="90" wrapText="1" shrinkToFit="1" readingOrder="2"/>
      <protection hidden="1"/>
    </xf>
    <xf numFmtId="2" fontId="14" fillId="0" borderId="1" xfId="1" applyNumberFormat="1" applyFont="1" applyFill="1" applyBorder="1" applyAlignment="1" applyProtection="1">
      <alignment horizontal="right" vertical="center" shrinkToFit="1" readingOrder="2"/>
      <protection hidden="1"/>
    </xf>
    <xf numFmtId="2" fontId="14" fillId="0" borderId="67" xfId="1" applyNumberFormat="1" applyFont="1" applyFill="1" applyBorder="1" applyAlignment="1" applyProtection="1">
      <alignment horizontal="right" vertical="center" shrinkToFit="1" readingOrder="2"/>
      <protection hidden="1"/>
    </xf>
    <xf numFmtId="2" fontId="10" fillId="0" borderId="23" xfId="1" applyNumberFormat="1" applyFont="1" applyBorder="1" applyAlignment="1" applyProtection="1">
      <alignment horizontal="center" vertical="center" shrinkToFit="1" readingOrder="2"/>
      <protection hidden="1"/>
    </xf>
    <xf numFmtId="0" fontId="10" fillId="0" borderId="20" xfId="1" applyNumberFormat="1" applyFont="1" applyBorder="1" applyAlignment="1" applyProtection="1">
      <alignment horizontal="center" vertical="center" shrinkToFit="1" readingOrder="2"/>
      <protection hidden="1"/>
    </xf>
    <xf numFmtId="0" fontId="10" fillId="0" borderId="47" xfId="1" applyNumberFormat="1" applyFont="1" applyBorder="1" applyAlignment="1" applyProtection="1">
      <alignment horizontal="left" vertical="center" shrinkToFit="1" readingOrder="2"/>
      <protection hidden="1"/>
    </xf>
    <xf numFmtId="0" fontId="10" fillId="0" borderId="48" xfId="1" applyNumberFormat="1" applyFont="1" applyBorder="1" applyAlignment="1" applyProtection="1">
      <alignment horizontal="left" vertical="center"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56" xfId="1" applyNumberFormat="1" applyFont="1" applyBorder="1" applyAlignment="1" applyProtection="1">
      <alignment horizontal="center" vertical="center" shrinkToFit="1" readingOrder="2"/>
      <protection hidden="1"/>
    </xf>
    <xf numFmtId="49" fontId="9" fillId="0" borderId="59" xfId="1" applyNumberFormat="1" applyFont="1" applyBorder="1" applyAlignment="1" applyProtection="1">
      <alignment horizontal="center" vertical="center" wrapText="1" shrinkToFit="1" readingOrder="2"/>
      <protection hidden="1"/>
    </xf>
    <xf numFmtId="0" fontId="9" fillId="0" borderId="0" xfId="1" applyNumberFormat="1" applyFont="1" applyBorder="1" applyAlignment="1" applyProtection="1">
      <alignment horizontal="center" vertical="center" wrapText="1" shrinkToFit="1" readingOrder="2"/>
      <protection hidden="1"/>
    </xf>
    <xf numFmtId="0" fontId="9" fillId="0" borderId="60" xfId="1" applyNumberFormat="1" applyFont="1" applyBorder="1" applyAlignment="1" applyProtection="1">
      <alignment horizontal="center" vertical="center" wrapText="1" shrinkToFit="1" readingOrder="2"/>
      <protection hidden="1"/>
    </xf>
    <xf numFmtId="0" fontId="9" fillId="0" borderId="59" xfId="1" applyNumberFormat="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hidden="1"/>
    </xf>
    <xf numFmtId="0" fontId="29" fillId="0" borderId="27" xfId="1" applyNumberFormat="1" applyFont="1" applyBorder="1" applyAlignment="1" applyProtection="1">
      <alignment horizontal="center" vertical="center" wrapText="1" shrinkToFit="1" readingOrder="2"/>
      <protection hidden="1"/>
    </xf>
    <xf numFmtId="0" fontId="15" fillId="0" borderId="4" xfId="1" applyNumberFormat="1" applyFont="1" applyBorder="1" applyAlignment="1" applyProtection="1">
      <alignment horizontal="center" vertical="center" wrapText="1" shrinkToFit="1" readingOrder="2"/>
      <protection hidden="1"/>
    </xf>
    <xf numFmtId="0" fontId="5" fillId="0" borderId="4" xfId="1" applyNumberFormat="1" applyFont="1" applyBorder="1" applyAlignment="1" applyProtection="1">
      <alignment horizontal="center" vertical="center" wrapText="1" shrinkToFit="1" readingOrder="2"/>
      <protection hidden="1"/>
    </xf>
    <xf numFmtId="49" fontId="29" fillId="0" borderId="4" xfId="1" applyNumberFormat="1" applyFont="1" applyBorder="1" applyAlignment="1" applyProtection="1">
      <alignment horizontal="center" vertical="center" wrapText="1" shrinkToFit="1" readingOrder="2"/>
      <protection hidden="1"/>
    </xf>
    <xf numFmtId="0" fontId="29" fillId="0" borderId="4" xfId="1" applyNumberFormat="1" applyFont="1" applyBorder="1" applyAlignment="1" applyProtection="1">
      <alignment horizontal="center" vertical="center" wrapText="1" shrinkToFit="1" readingOrder="2"/>
      <protection hidden="1"/>
    </xf>
    <xf numFmtId="49" fontId="2" fillId="0" borderId="21" xfId="1" applyNumberFormat="1" applyFont="1" applyBorder="1" applyAlignment="1" applyProtection="1">
      <alignment horizontal="center" vertical="center" shrinkToFit="1" readingOrder="2"/>
      <protection hidden="1"/>
    </xf>
    <xf numFmtId="0" fontId="2" fillId="0" borderId="48" xfId="1" applyNumberFormat="1" applyFont="1" applyBorder="1" applyAlignment="1" applyProtection="1">
      <alignment horizontal="center" vertical="center" shrinkToFit="1" readingOrder="2"/>
      <protection hidden="1"/>
    </xf>
    <xf numFmtId="0" fontId="2" fillId="0" borderId="22" xfId="1" applyNumberFormat="1" applyFont="1" applyBorder="1" applyAlignment="1" applyProtection="1">
      <alignment horizontal="center" vertical="center" shrinkToFit="1" readingOrder="2"/>
      <protection hidden="1"/>
    </xf>
    <xf numFmtId="49" fontId="2" fillId="0" borderId="27" xfId="1" applyNumberFormat="1" applyFont="1" applyBorder="1" applyAlignment="1" applyProtection="1">
      <alignment horizontal="center" vertical="center" wrapText="1" shrinkToFit="1" readingOrder="2"/>
      <protection hidden="1"/>
    </xf>
    <xf numFmtId="0" fontId="2" fillId="0" borderId="27" xfId="1" applyNumberFormat="1" applyFont="1" applyBorder="1" applyAlignment="1" applyProtection="1">
      <alignment horizontal="center" vertical="center" wrapText="1" shrinkToFit="1" readingOrder="2"/>
      <protection hidden="1"/>
    </xf>
    <xf numFmtId="0" fontId="2" fillId="0" borderId="7" xfId="1" applyNumberFormat="1" applyFont="1" applyBorder="1" applyAlignment="1" applyProtection="1">
      <alignment horizontal="center" vertical="center" wrapText="1" shrinkToFit="1" readingOrder="2"/>
      <protection hidden="1"/>
    </xf>
    <xf numFmtId="49" fontId="6" fillId="0" borderId="59" xfId="1" applyNumberFormat="1" applyFont="1" applyBorder="1" applyAlignment="1" applyProtection="1">
      <alignment horizontal="center" vertical="center" wrapText="1" shrinkToFit="1" readingOrder="2"/>
      <protection hidden="1"/>
    </xf>
    <xf numFmtId="0" fontId="6" fillId="0" borderId="60" xfId="1" applyNumberFormat="1" applyFont="1" applyBorder="1" applyAlignment="1" applyProtection="1">
      <alignment horizontal="center" vertical="center" wrapText="1" shrinkToFit="1" readingOrder="2"/>
      <protection hidden="1"/>
    </xf>
    <xf numFmtId="0" fontId="6" fillId="0" borderId="39" xfId="1" applyNumberFormat="1" applyFont="1" applyBorder="1" applyAlignment="1" applyProtection="1">
      <alignment horizontal="center" vertical="center" wrapText="1" shrinkToFit="1" readingOrder="2"/>
      <protection hidden="1"/>
    </xf>
    <xf numFmtId="0" fontId="6" fillId="0" borderId="38" xfId="1" applyNumberFormat="1" applyFont="1" applyBorder="1" applyAlignment="1" applyProtection="1">
      <alignment horizontal="center" vertical="center" wrapText="1" shrinkToFit="1" readingOrder="2"/>
      <protection hidden="1"/>
    </xf>
    <xf numFmtId="0" fontId="9" fillId="0" borderId="39" xfId="1" applyNumberFormat="1" applyFont="1" applyBorder="1" applyAlignment="1" applyProtection="1">
      <alignment horizontal="center" vertical="center" wrapText="1" shrinkToFit="1" readingOrder="2"/>
      <protection hidden="1"/>
    </xf>
    <xf numFmtId="0" fontId="9" fillId="0" borderId="37" xfId="1" applyNumberFormat="1" applyFont="1" applyBorder="1" applyAlignment="1" applyProtection="1">
      <alignment horizontal="center" vertical="center" wrapText="1" shrinkToFit="1" readingOrder="2"/>
      <protection hidden="1"/>
    </xf>
    <xf numFmtId="0" fontId="9" fillId="0" borderId="38" xfId="1" applyNumberFormat="1" applyFont="1" applyBorder="1" applyAlignment="1" applyProtection="1">
      <alignment horizontal="center" vertical="center" wrapText="1" shrinkToFit="1" readingOrder="2"/>
      <protection hidden="1"/>
    </xf>
    <xf numFmtId="49" fontId="29" fillId="0" borderId="57" xfId="1" applyNumberFormat="1" applyFont="1" applyBorder="1" applyAlignment="1" applyProtection="1">
      <alignment horizontal="center" vertical="center" wrapText="1" shrinkToFit="1" readingOrder="2"/>
      <protection hidden="1"/>
    </xf>
    <xf numFmtId="0" fontId="29" fillId="0" borderId="57" xfId="1" applyNumberFormat="1" applyFont="1" applyBorder="1" applyAlignment="1" applyProtection="1">
      <alignment horizontal="center" vertical="center" wrapText="1" shrinkToFit="1" readingOrder="2"/>
      <protection hidden="1"/>
    </xf>
    <xf numFmtId="49" fontId="2" fillId="0" borderId="39" xfId="1" applyNumberFormat="1" applyFont="1" applyBorder="1" applyAlignment="1" applyProtection="1">
      <alignment horizontal="center" vertical="center" shrinkToFit="1" readingOrder="2"/>
      <protection hidden="1"/>
    </xf>
    <xf numFmtId="0" fontId="2" fillId="0" borderId="37" xfId="1" applyNumberFormat="1" applyFont="1" applyBorder="1" applyAlignment="1" applyProtection="1">
      <alignment horizontal="center" vertical="center" shrinkToFit="1" readingOrder="2"/>
      <protection hidden="1"/>
    </xf>
    <xf numFmtId="0" fontId="2" fillId="0" borderId="38" xfId="1" applyNumberFormat="1" applyFont="1" applyBorder="1" applyAlignment="1" applyProtection="1">
      <alignment horizontal="center" vertical="center" shrinkToFit="1" readingOrder="2"/>
      <protection hidden="1"/>
    </xf>
    <xf numFmtId="0" fontId="10" fillId="0" borderId="12" xfId="1" applyNumberFormat="1" applyFont="1" applyBorder="1" applyAlignment="1" applyProtection="1">
      <alignment horizontal="left" vertical="center" shrinkToFit="1" readingOrder="2"/>
      <protection hidden="1"/>
    </xf>
    <xf numFmtId="0" fontId="10" fillId="0" borderId="13" xfId="1" applyNumberFormat="1" applyFont="1" applyBorder="1" applyAlignment="1" applyProtection="1">
      <alignment horizontal="left" vertical="center" shrinkToFit="1" readingOrder="2"/>
      <protection hidden="1"/>
    </xf>
    <xf numFmtId="0" fontId="58" fillId="0" borderId="27" xfId="1" applyNumberFormat="1" applyFont="1" applyBorder="1" applyAlignment="1" applyProtection="1">
      <alignment horizontal="center" vertical="center" textRotation="90" wrapText="1" shrinkToFit="1" readingOrder="2"/>
      <protection hidden="1"/>
    </xf>
    <xf numFmtId="0" fontId="6" fillId="0" borderId="27" xfId="1" applyNumberFormat="1" applyFont="1" applyBorder="1" applyAlignment="1" applyProtection="1">
      <alignment horizontal="center" vertical="center" wrapText="1" shrinkToFit="1" readingOrder="2"/>
      <protection hidden="1"/>
    </xf>
    <xf numFmtId="0" fontId="30" fillId="0" borderId="6" xfId="1" applyNumberFormat="1" applyFont="1" applyBorder="1" applyAlignment="1" applyProtection="1">
      <alignment horizontal="center" vertical="center" shrinkToFit="1" readingOrder="2"/>
      <protection hidden="1"/>
    </xf>
    <xf numFmtId="49" fontId="20" fillId="0" borderId="7" xfId="1" applyNumberFormat="1" applyFont="1" applyBorder="1" applyAlignment="1" applyProtection="1">
      <alignment horizontal="center" vertical="center" wrapText="1" shrinkToFit="1" readingOrder="2"/>
      <protection hidden="1"/>
    </xf>
    <xf numFmtId="0" fontId="20" fillId="0" borderId="7" xfId="1" applyNumberFormat="1" applyFont="1" applyBorder="1" applyAlignment="1" applyProtection="1">
      <alignment horizontal="center" vertical="center" wrapText="1" shrinkToFit="1" readingOrder="2"/>
      <protection hidden="1"/>
    </xf>
    <xf numFmtId="49" fontId="2" fillId="0" borderId="34" xfId="1" applyNumberFormat="1" applyFont="1" applyBorder="1" applyAlignment="1" applyProtection="1">
      <alignment horizontal="center" vertical="center" wrapText="1" shrinkToFit="1" readingOrder="2"/>
      <protection hidden="1"/>
    </xf>
    <xf numFmtId="0" fontId="2" fillId="0" borderId="32" xfId="1" applyNumberFormat="1" applyFont="1" applyBorder="1" applyAlignment="1" applyProtection="1">
      <alignment horizontal="center" vertical="center" wrapText="1" shrinkToFit="1" readingOrder="2"/>
      <protection hidden="1"/>
    </xf>
    <xf numFmtId="0" fontId="2" fillId="0" borderId="33" xfId="1" applyNumberFormat="1" applyFont="1" applyBorder="1" applyAlignment="1" applyProtection="1">
      <alignment horizontal="center" vertical="center" wrapText="1" shrinkToFit="1" readingOrder="2"/>
      <protection hidden="1"/>
    </xf>
    <xf numFmtId="0" fontId="2" fillId="0" borderId="39" xfId="1" applyNumberFormat="1" applyFont="1" applyBorder="1" applyAlignment="1" applyProtection="1">
      <alignment horizontal="center" vertical="center" wrapText="1" shrinkToFit="1" readingOrder="2"/>
      <protection hidden="1"/>
    </xf>
    <xf numFmtId="0" fontId="2" fillId="0" borderId="37" xfId="1" applyNumberFormat="1" applyFont="1" applyBorder="1" applyAlignment="1" applyProtection="1">
      <alignment horizontal="center" vertical="center" wrapText="1" shrinkToFit="1" readingOrder="2"/>
      <protection hidden="1"/>
    </xf>
    <xf numFmtId="0" fontId="2" fillId="0" borderId="38"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vertical="center" textRotation="90" wrapText="1" shrinkToFit="1" readingOrder="2"/>
      <protection hidden="1"/>
    </xf>
    <xf numFmtId="0" fontId="6" fillId="0" borderId="7" xfId="1" applyNumberFormat="1" applyFont="1" applyBorder="1" applyAlignment="1" applyProtection="1">
      <alignment horizontal="center" vertical="center" textRotation="90" wrapText="1" shrinkToFit="1" readingOrder="2"/>
      <protection hidden="1"/>
    </xf>
    <xf numFmtId="0" fontId="10" fillId="0" borderId="4" xfId="1" applyNumberFormat="1" applyFont="1" applyBorder="1" applyAlignment="1" applyProtection="1">
      <alignment horizontal="center" vertical="center" wrapText="1" shrinkToFit="1" readingOrder="2"/>
      <protection hidden="1"/>
    </xf>
    <xf numFmtId="0" fontId="10" fillId="0" borderId="23" xfId="1" applyNumberFormat="1" applyFont="1" applyBorder="1" applyAlignment="1" applyProtection="1">
      <alignment horizontal="center" vertical="center" shrinkToFit="1" readingOrder="2"/>
      <protection hidden="1"/>
    </xf>
    <xf numFmtId="0" fontId="10" fillId="0" borderId="19" xfId="1" applyNumberFormat="1" applyFont="1" applyBorder="1" applyAlignment="1" applyProtection="1">
      <alignment horizontal="center" vertical="center" shrinkToFit="1" readingOrder="2"/>
      <protection hidden="1"/>
    </xf>
    <xf numFmtId="0" fontId="10" fillId="0" borderId="24" xfId="1" applyNumberFormat="1" applyFont="1" applyBorder="1" applyAlignment="1" applyProtection="1">
      <alignment horizontal="center" vertical="center" shrinkToFit="1" readingOrder="2"/>
      <protection hidden="1"/>
    </xf>
    <xf numFmtId="0" fontId="10" fillId="0" borderId="62" xfId="1" applyNumberFormat="1" applyFont="1" applyBorder="1" applyAlignment="1" applyProtection="1">
      <alignment horizontal="center" vertical="center" wrapText="1"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10" fillId="0" borderId="1" xfId="1" applyNumberFormat="1" applyFont="1" applyBorder="1" applyAlignment="1" applyProtection="1">
      <alignment horizontal="center" vertical="center" wrapText="1" shrinkToFit="1" readingOrder="2"/>
      <protection hidden="1"/>
    </xf>
    <xf numFmtId="0" fontId="10" fillId="0" borderId="30" xfId="1" applyNumberFormat="1" applyFont="1" applyBorder="1" applyAlignment="1" applyProtection="1">
      <alignment horizontal="center" vertical="center" wrapText="1" shrinkToFit="1" readingOrder="2"/>
      <protection hidden="1"/>
    </xf>
    <xf numFmtId="2" fontId="45" fillId="0" borderId="7" xfId="1" applyNumberFormat="1" applyFont="1" applyFill="1" applyBorder="1" applyAlignment="1" applyProtection="1">
      <alignment horizontal="center" vertical="center" wrapText="1" readingOrder="2"/>
      <protection hidden="1"/>
    </xf>
    <xf numFmtId="0" fontId="45" fillId="0" borderId="8" xfId="1" applyNumberFormat="1" applyFont="1" applyFill="1" applyBorder="1" applyAlignment="1" applyProtection="1">
      <alignment horizontal="center" vertical="center" wrapText="1" readingOrder="2"/>
      <protection hidden="1"/>
    </xf>
    <xf numFmtId="0" fontId="35" fillId="0" borderId="6" xfId="1" applyNumberFormat="1" applyFont="1" applyFill="1" applyBorder="1" applyAlignment="1" applyProtection="1">
      <alignment horizontal="right" vertical="center" wrapText="1" readingOrder="2"/>
      <protection hidden="1"/>
    </xf>
    <xf numFmtId="0" fontId="35" fillId="0" borderId="7" xfId="1" applyNumberFormat="1" applyFont="1" applyFill="1" applyBorder="1" applyAlignment="1" applyProtection="1">
      <alignment horizontal="right" vertical="center" wrapText="1" readingOrder="2"/>
      <protection hidden="1"/>
    </xf>
    <xf numFmtId="0" fontId="23" fillId="0" borderId="2" xfId="1" applyNumberFormat="1" applyFont="1" applyFill="1" applyBorder="1" applyAlignment="1" applyProtection="1">
      <alignment horizontal="center" vertical="center" wrapText="1" readingOrder="2"/>
      <protection hidden="1"/>
    </xf>
    <xf numFmtId="0" fontId="23" fillId="0" borderId="3" xfId="1" applyNumberFormat="1" applyFont="1" applyFill="1" applyBorder="1" applyAlignment="1" applyProtection="1">
      <alignment horizontal="center" vertical="center" wrapText="1" readingOrder="2"/>
      <protection hidden="1"/>
    </xf>
    <xf numFmtId="0" fontId="23" fillId="0" borderId="5" xfId="1" applyNumberFormat="1" applyFont="1" applyFill="1" applyBorder="1" applyAlignment="1" applyProtection="1">
      <alignment horizontal="center" vertical="center" wrapText="1" readingOrder="2"/>
      <protection hidden="1"/>
    </xf>
    <xf numFmtId="0" fontId="23" fillId="0" borderId="2" xfId="1" applyNumberFormat="1" applyFont="1" applyFill="1" applyBorder="1" applyAlignment="1" applyProtection="1">
      <alignment horizontal="center" vertical="center" wrapText="1"/>
      <protection hidden="1"/>
    </xf>
    <xf numFmtId="0" fontId="23" fillId="0" borderId="3" xfId="1" applyNumberFormat="1" applyFont="1" applyFill="1" applyBorder="1" applyAlignment="1" applyProtection="1">
      <alignment horizontal="center" vertical="center" wrapText="1"/>
      <protection hidden="1"/>
    </xf>
    <xf numFmtId="0" fontId="2" fillId="0" borderId="34" xfId="1" applyNumberFormat="1" applyFont="1" applyBorder="1" applyAlignment="1" applyProtection="1">
      <alignment horizontal="center" vertical="center" wrapText="1" shrinkToFit="1" readingOrder="2"/>
      <protection hidden="1"/>
    </xf>
    <xf numFmtId="49" fontId="6" fillId="0" borderId="34" xfId="1" applyNumberFormat="1" applyFont="1" applyBorder="1" applyAlignment="1" applyProtection="1">
      <alignment horizontal="center" vertical="center" wrapText="1" shrinkToFit="1" readingOrder="2"/>
      <protection hidden="1"/>
    </xf>
    <xf numFmtId="0" fontId="6" fillId="0" borderId="32" xfId="1" applyNumberFormat="1" applyFont="1" applyBorder="1" applyAlignment="1" applyProtection="1">
      <alignment horizontal="center" vertical="center" wrapText="1" shrinkToFit="1" readingOrder="2"/>
      <protection hidden="1"/>
    </xf>
    <xf numFmtId="0" fontId="6" fillId="0" borderId="33" xfId="1" applyNumberFormat="1" applyFont="1" applyBorder="1" applyAlignment="1" applyProtection="1">
      <alignment horizontal="center" vertical="center" wrapText="1" shrinkToFit="1" readingOrder="2"/>
      <protection hidden="1"/>
    </xf>
    <xf numFmtId="0" fontId="6" fillId="0" borderId="37" xfId="1" applyNumberFormat="1" applyFont="1" applyBorder="1" applyAlignment="1" applyProtection="1">
      <alignment horizontal="center" vertical="center" wrapText="1" shrinkToFit="1" readingOrder="2"/>
      <protection hidden="1"/>
    </xf>
    <xf numFmtId="49" fontId="15" fillId="0" borderId="59" xfId="1" applyNumberFormat="1" applyFont="1" applyBorder="1" applyAlignment="1" applyProtection="1">
      <alignment horizontal="center" vertical="center" wrapText="1" shrinkToFit="1" readingOrder="2"/>
      <protection hidden="1"/>
    </xf>
    <xf numFmtId="0" fontId="15" fillId="0" borderId="0" xfId="1" applyNumberFormat="1" applyFont="1" applyBorder="1" applyAlignment="1" applyProtection="1">
      <alignment horizontal="center" vertical="center" wrapText="1" shrinkToFit="1" readingOrder="2"/>
      <protection hidden="1"/>
    </xf>
    <xf numFmtId="0" fontId="15" fillId="0" borderId="60" xfId="1" applyNumberFormat="1" applyFont="1" applyBorder="1" applyAlignment="1" applyProtection="1">
      <alignment horizontal="center" vertical="center" wrapText="1" shrinkToFit="1" readingOrder="2"/>
      <protection hidden="1"/>
    </xf>
    <xf numFmtId="0" fontId="15" fillId="0" borderId="39" xfId="1" applyNumberFormat="1" applyFont="1" applyBorder="1" applyAlignment="1" applyProtection="1">
      <alignment horizontal="center" vertical="center" wrapText="1" shrinkToFit="1" readingOrder="2"/>
      <protection hidden="1"/>
    </xf>
    <xf numFmtId="0" fontId="15" fillId="0" borderId="37" xfId="1" applyNumberFormat="1" applyFont="1" applyBorder="1" applyAlignment="1" applyProtection="1">
      <alignment horizontal="center" vertical="center" wrapText="1" shrinkToFit="1" readingOrder="2"/>
      <protection hidden="1"/>
    </xf>
    <xf numFmtId="0" fontId="15" fillId="0" borderId="38" xfId="1" applyNumberFormat="1" applyFont="1" applyBorder="1" applyAlignment="1" applyProtection="1">
      <alignment horizontal="center" vertical="center" wrapText="1" shrinkToFit="1" readingOrder="2"/>
      <protection hidden="1"/>
    </xf>
    <xf numFmtId="49" fontId="6" fillId="0" borderId="7" xfId="1" applyNumberFormat="1" applyFont="1" applyBorder="1" applyAlignment="1" applyProtection="1">
      <alignment horizontal="center" vertical="center" textRotation="90" wrapText="1" shrinkToFit="1" readingOrder="2"/>
      <protection hidden="1"/>
    </xf>
    <xf numFmtId="0" fontId="6" fillId="0" borderId="34" xfId="1" applyNumberFormat="1" applyFont="1" applyBorder="1" applyAlignment="1" applyProtection="1">
      <alignment horizontal="center" vertical="center" wrapText="1" shrinkToFit="1" readingOrder="2"/>
      <protection hidden="1"/>
    </xf>
    <xf numFmtId="0" fontId="15" fillId="0" borderId="34" xfId="1" applyNumberFormat="1" applyFont="1" applyBorder="1" applyAlignment="1" applyProtection="1">
      <alignment horizontal="center" vertical="center" wrapText="1" shrinkToFit="1" readingOrder="2"/>
      <protection hidden="1"/>
    </xf>
    <xf numFmtId="0" fontId="15" fillId="0" borderId="32" xfId="1" applyNumberFormat="1" applyFont="1" applyBorder="1" applyAlignment="1" applyProtection="1">
      <alignment horizontal="center" vertical="center" wrapText="1" shrinkToFit="1" readingOrder="2"/>
      <protection hidden="1"/>
    </xf>
    <xf numFmtId="0" fontId="15" fillId="0" borderId="33" xfId="1" applyNumberFormat="1" applyFont="1" applyBorder="1" applyAlignment="1" applyProtection="1">
      <alignment horizontal="center" vertical="center" wrapText="1" shrinkToFit="1" readingOrder="2"/>
      <protection hidden="1"/>
    </xf>
    <xf numFmtId="49" fontId="10" fillId="0" borderId="0" xfId="1" applyNumberFormat="1" applyFont="1" applyAlignment="1" applyProtection="1">
      <alignment horizontal="right" vertical="center" shrinkToFit="1" readingOrder="2"/>
      <protection hidden="1"/>
    </xf>
    <xf numFmtId="0" fontId="2" fillId="0" borderId="0" xfId="1" applyNumberFormat="1" applyFont="1" applyBorder="1" applyAlignment="1" applyProtection="1">
      <alignment horizontal="center" vertical="center" shrinkToFit="1" readingOrder="2"/>
      <protection hidden="1"/>
    </xf>
    <xf numFmtId="0" fontId="10" fillId="0" borderId="0" xfId="1" applyNumberFormat="1" applyFont="1" applyAlignment="1" applyProtection="1">
      <alignment horizontal="right" vertical="center" shrinkToFit="1" readingOrder="2"/>
      <protection hidden="1"/>
    </xf>
    <xf numFmtId="0" fontId="2" fillId="0" borderId="13" xfId="1" applyNumberFormat="1" applyFont="1" applyBorder="1" applyAlignment="1" applyProtection="1">
      <alignment horizontal="center" vertical="center" shrinkToFit="1" readingOrder="2"/>
      <protection hidden="1"/>
    </xf>
    <xf numFmtId="49" fontId="10" fillId="0" borderId="0" xfId="1" applyNumberFormat="1" applyFont="1" applyBorder="1" applyAlignment="1" applyProtection="1">
      <alignment horizontal="right" vertical="center" shrinkToFit="1" readingOrder="2"/>
      <protection hidden="1"/>
    </xf>
    <xf numFmtId="49" fontId="10" fillId="0" borderId="0" xfId="1" applyNumberFormat="1" applyFont="1" applyBorder="1" applyAlignment="1" applyProtection="1">
      <alignment horizontal="left" vertical="center" shrinkToFit="1" readingOrder="2"/>
      <protection hidden="1"/>
    </xf>
    <xf numFmtId="0" fontId="2" fillId="0" borderId="0" xfId="1" applyNumberFormat="1" applyFont="1" applyAlignment="1" applyProtection="1">
      <alignment horizontal="left" vertical="center" shrinkToFit="1" readingOrder="2"/>
      <protection hidden="1"/>
    </xf>
    <xf numFmtId="0" fontId="64" fillId="0" borderId="0" xfId="1" applyNumberFormat="1" applyFont="1" applyAlignment="1" applyProtection="1">
      <alignment horizontal="center" vertical="top" shrinkToFit="1" readingOrder="2"/>
      <protection hidden="1"/>
    </xf>
    <xf numFmtId="0" fontId="45" fillId="0" borderId="0" xfId="1" applyNumberFormat="1" applyFont="1" applyFill="1" applyBorder="1" applyAlignment="1" applyProtection="1">
      <alignment horizontal="center" vertical="center" wrapText="1" readingOrder="2"/>
      <protection hidden="1"/>
    </xf>
    <xf numFmtId="0" fontId="35" fillId="0" borderId="0" xfId="1" applyNumberFormat="1" applyFont="1" applyFill="1" applyBorder="1" applyAlignment="1" applyProtection="1">
      <alignment horizontal="right" vertical="center" wrapText="1" readingOrder="2"/>
      <protection hidden="1"/>
    </xf>
    <xf numFmtId="2" fontId="45" fillId="0" borderId="0" xfId="1" applyNumberFormat="1" applyFont="1" applyFill="1" applyBorder="1" applyAlignment="1" applyProtection="1">
      <alignment horizontal="center" vertical="center" wrapText="1" readingOrder="2"/>
      <protection hidden="1"/>
    </xf>
    <xf numFmtId="0" fontId="35" fillId="0" borderId="56" xfId="1" applyNumberFormat="1" applyFont="1" applyFill="1" applyBorder="1" applyAlignment="1" applyProtection="1">
      <alignment horizontal="right" vertical="center" wrapText="1" readingOrder="2"/>
      <protection hidden="1"/>
    </xf>
    <xf numFmtId="0" fontId="35" fillId="0" borderId="57" xfId="1" applyNumberFormat="1" applyFont="1" applyFill="1" applyBorder="1" applyAlignment="1" applyProtection="1">
      <alignment horizontal="right" vertical="center" wrapText="1" readingOrder="2"/>
      <protection hidden="1"/>
    </xf>
    <xf numFmtId="2" fontId="45" fillId="0" borderId="57" xfId="1" applyNumberFormat="1" applyFont="1" applyFill="1" applyBorder="1" applyAlignment="1" applyProtection="1">
      <alignment horizontal="center" vertical="center" wrapText="1" readingOrder="2"/>
      <protection hidden="1"/>
    </xf>
    <xf numFmtId="0" fontId="45" fillId="0" borderId="58" xfId="1" applyNumberFormat="1" applyFont="1" applyFill="1" applyBorder="1" applyAlignment="1" applyProtection="1">
      <alignment horizontal="center" vertical="center" wrapText="1" readingOrder="2"/>
      <protection hidden="1"/>
    </xf>
    <xf numFmtId="0" fontId="30" fillId="0" borderId="69" xfId="1" applyNumberFormat="1" applyFont="1" applyFill="1" applyBorder="1" applyAlignment="1" applyProtection="1">
      <alignment horizontal="center" vertical="center" wrapText="1" readingOrder="2"/>
      <protection hidden="1"/>
    </xf>
    <xf numFmtId="0" fontId="30" fillId="0" borderId="62" xfId="1" applyNumberFormat="1" applyFont="1" applyFill="1" applyBorder="1" applyAlignment="1" applyProtection="1">
      <alignment horizontal="center" vertical="center" wrapText="1" readingOrder="2"/>
      <protection hidden="1"/>
    </xf>
    <xf numFmtId="2" fontId="68" fillId="0" borderId="62" xfId="1" applyNumberFormat="1" applyFont="1" applyFill="1" applyBorder="1" applyAlignment="1" applyProtection="1">
      <alignment horizontal="center" vertical="center" wrapText="1" readingOrder="2"/>
      <protection hidden="1"/>
    </xf>
    <xf numFmtId="0" fontId="68" fillId="0" borderId="63" xfId="1" applyNumberFormat="1" applyFont="1" applyFill="1" applyBorder="1" applyAlignment="1" applyProtection="1">
      <alignment horizontal="center" vertical="center" wrapText="1" readingOrder="2"/>
      <protection hidden="1"/>
    </xf>
    <xf numFmtId="0" fontId="66" fillId="0" borderId="0" xfId="1" applyNumberFormat="1" applyFont="1" applyAlignment="1" applyProtection="1">
      <alignment horizontal="center" vertical="top" shrinkToFit="1" readingOrder="2"/>
      <protection hidden="1"/>
    </xf>
    <xf numFmtId="0" fontId="67" fillId="0" borderId="0" xfId="1" applyNumberFormat="1" applyFont="1" applyAlignment="1" applyProtection="1">
      <alignment vertical="top"/>
      <protection hidden="1"/>
    </xf>
    <xf numFmtId="0" fontId="58" fillId="0" borderId="3" xfId="1" applyNumberFormat="1" applyFont="1" applyBorder="1" applyAlignment="1" applyProtection="1">
      <alignment horizontal="center" vertical="center" textRotation="90" wrapText="1" shrinkToFit="1" readingOrder="2"/>
      <protection hidden="1"/>
    </xf>
    <xf numFmtId="0" fontId="58" fillId="0" borderId="57" xfId="1" applyNumberFormat="1" applyFont="1" applyBorder="1" applyAlignment="1" applyProtection="1">
      <alignment horizontal="center" vertical="center" textRotation="90" wrapText="1" shrinkToFit="1" readingOrder="2"/>
      <protection hidden="1"/>
    </xf>
    <xf numFmtId="0" fontId="6" fillId="0" borderId="23" xfId="1" applyNumberFormat="1" applyFont="1" applyBorder="1" applyAlignment="1" applyProtection="1">
      <alignment horizontal="center" vertical="center" wrapText="1" shrinkToFit="1" readingOrder="2"/>
      <protection hidden="1"/>
    </xf>
    <xf numFmtId="0" fontId="6" fillId="0" borderId="24" xfId="1" applyNumberFormat="1" applyFont="1" applyBorder="1" applyAlignment="1" applyProtection="1">
      <alignment horizontal="center" vertical="center" wrapText="1" shrinkToFit="1" readingOrder="2"/>
      <protection hidden="1"/>
    </xf>
    <xf numFmtId="0" fontId="6" fillId="0" borderId="59" xfId="1" applyNumberFormat="1" applyFont="1" applyBorder="1" applyAlignment="1" applyProtection="1">
      <alignment horizontal="center" vertical="center" wrapText="1"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2" fillId="0" borderId="23" xfId="1" applyNumberFormat="1" applyFont="1" applyBorder="1" applyAlignment="1" applyProtection="1">
      <alignment horizontal="center" vertical="center" wrapText="1" shrinkToFit="1" readingOrder="2"/>
      <protection hidden="1"/>
    </xf>
    <xf numFmtId="0" fontId="2" fillId="0" borderId="19" xfId="1" applyNumberFormat="1" applyFont="1" applyBorder="1" applyAlignment="1" applyProtection="1">
      <alignment horizontal="center" vertical="center" wrapText="1" shrinkToFit="1" readingOrder="2"/>
      <protection hidden="1"/>
    </xf>
    <xf numFmtId="0" fontId="2" fillId="0" borderId="24" xfId="1" applyNumberFormat="1" applyFont="1" applyBorder="1" applyAlignment="1" applyProtection="1">
      <alignment horizontal="center" vertical="center" wrapText="1" shrinkToFit="1" readingOrder="2"/>
      <protection hidden="1"/>
    </xf>
    <xf numFmtId="0" fontId="2" fillId="0" borderId="59" xfId="1" applyNumberFormat="1" applyFont="1" applyBorder="1" applyAlignment="1" applyProtection="1">
      <alignment horizontal="center" vertical="center" wrapText="1" shrinkToFit="1" readingOrder="2"/>
      <protection hidden="1"/>
    </xf>
    <xf numFmtId="0" fontId="2" fillId="0" borderId="0" xfId="1" applyNumberFormat="1" applyFont="1" applyBorder="1" applyAlignment="1" applyProtection="1">
      <alignment horizontal="center" vertical="center" wrapText="1" shrinkToFit="1" readingOrder="2"/>
      <protection hidden="1"/>
    </xf>
    <xf numFmtId="0" fontId="2" fillId="0" borderId="60" xfId="1" applyNumberFormat="1" applyFont="1" applyBorder="1" applyAlignment="1" applyProtection="1">
      <alignment horizontal="center" vertical="center" wrapText="1" shrinkToFit="1" readingOrder="2"/>
      <protection hidden="1"/>
    </xf>
    <xf numFmtId="0" fontId="6" fillId="0" borderId="19" xfId="1" applyNumberFormat="1" applyFont="1" applyBorder="1" applyAlignment="1" applyProtection="1">
      <alignment horizontal="center" vertical="center" wrapText="1" shrinkToFit="1" readingOrder="2"/>
      <protection hidden="1"/>
    </xf>
    <xf numFmtId="0" fontId="6" fillId="0" borderId="0" xfId="1" applyNumberFormat="1" applyFont="1" applyBorder="1" applyAlignment="1" applyProtection="1">
      <alignment horizontal="center" vertical="center" wrapText="1" shrinkToFit="1" readingOrder="2"/>
      <protection hidden="1"/>
    </xf>
    <xf numFmtId="0" fontId="15" fillId="0" borderId="23" xfId="1" applyNumberFormat="1" applyFont="1" applyBorder="1" applyAlignment="1" applyProtection="1">
      <alignment horizontal="center" vertical="center" wrapText="1" shrinkToFit="1" readingOrder="2"/>
      <protection hidden="1"/>
    </xf>
    <xf numFmtId="0" fontId="15" fillId="0" borderId="19" xfId="1" applyNumberFormat="1" applyFont="1" applyBorder="1" applyAlignment="1" applyProtection="1">
      <alignment horizontal="center" vertical="center" wrapText="1" shrinkToFit="1" readingOrder="2"/>
      <protection hidden="1"/>
    </xf>
    <xf numFmtId="0" fontId="15" fillId="0" borderId="24" xfId="1" applyNumberFormat="1" applyFont="1" applyBorder="1" applyAlignment="1" applyProtection="1">
      <alignment horizontal="center" vertical="center" wrapText="1" shrinkToFit="1" readingOrder="2"/>
      <protection hidden="1"/>
    </xf>
    <xf numFmtId="0" fontId="15" fillId="0" borderId="59" xfId="1" applyNumberFormat="1" applyFont="1" applyBorder="1" applyAlignment="1" applyProtection="1">
      <alignment horizontal="center" vertical="center" wrapText="1" shrinkToFit="1" readingOrder="2"/>
      <protection hidden="1"/>
    </xf>
    <xf numFmtId="0" fontId="6" fillId="0" borderId="4" xfId="1" applyNumberFormat="1" applyFont="1" applyBorder="1" applyAlignment="1" applyProtection="1">
      <alignment horizontal="center" vertical="center" textRotation="90" wrapText="1" shrinkToFit="1" readingOrder="2"/>
      <protection hidden="1"/>
    </xf>
    <xf numFmtId="0" fontId="6" fillId="0" borderId="55" xfId="1" applyNumberFormat="1" applyFont="1" applyBorder="1" applyAlignment="1" applyProtection="1">
      <alignment horizontal="center" vertical="center" textRotation="90" wrapText="1" shrinkToFit="1" readingOrder="2"/>
      <protection hidden="1"/>
    </xf>
    <xf numFmtId="0" fontId="6" fillId="0" borderId="23" xfId="1" applyNumberFormat="1" applyFont="1" applyBorder="1" applyAlignment="1" applyProtection="1">
      <alignment horizontal="center" vertical="center" textRotation="90" wrapText="1" shrinkToFit="1" readingOrder="2"/>
      <protection hidden="1"/>
    </xf>
    <xf numFmtId="0" fontId="6" fillId="0" borderId="59" xfId="1" applyNumberFormat="1" applyFont="1" applyBorder="1" applyAlignment="1" applyProtection="1">
      <alignment horizontal="center" vertical="center" textRotation="90" wrapText="1" shrinkToFit="1" readingOrder="2"/>
      <protection hidden="1"/>
    </xf>
    <xf numFmtId="0" fontId="10" fillId="0" borderId="0" xfId="1" applyNumberFormat="1" applyFont="1" applyAlignment="1" applyProtection="1">
      <alignment horizontal="right" wrapText="1" shrinkToFit="1" readingOrder="2"/>
      <protection hidden="1"/>
    </xf>
    <xf numFmtId="0" fontId="6" fillId="0" borderId="57" xfId="1" applyNumberFormat="1" applyFont="1" applyBorder="1" applyAlignment="1" applyProtection="1">
      <alignment horizontal="center" vertical="center" textRotation="90" wrapText="1"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2"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textRotation="90" wrapText="1" shrinkToFit="1" readingOrder="2"/>
      <protection hidden="1"/>
    </xf>
    <xf numFmtId="0" fontId="58" fillId="0" borderId="10" xfId="1" applyNumberFormat="1" applyFont="1" applyBorder="1" applyAlignment="1" applyProtection="1">
      <alignment horizontal="center" vertical="center" textRotation="90" wrapText="1" shrinkToFit="1" readingOrder="2"/>
      <protection hidden="1"/>
    </xf>
    <xf numFmtId="0" fontId="30" fillId="0" borderId="12" xfId="1" applyNumberFormat="1" applyFont="1" applyBorder="1" applyAlignment="1" applyProtection="1">
      <alignment horizontal="center" vertical="center" shrinkToFit="1" readingOrder="2"/>
      <protection hidden="1"/>
    </xf>
    <xf numFmtId="0" fontId="30" fillId="0" borderId="13" xfId="1" applyNumberFormat="1" applyFont="1" applyBorder="1" applyAlignment="1" applyProtection="1">
      <alignment horizontal="center" vertical="center" shrinkToFit="1" readingOrder="2"/>
      <protection hidden="1"/>
    </xf>
    <xf numFmtId="0" fontId="30" fillId="0" borderId="26" xfId="1" applyNumberFormat="1" applyFont="1" applyBorder="1" applyAlignment="1" applyProtection="1">
      <alignment horizontal="center" vertical="center" shrinkToFit="1" readingOrder="2"/>
      <protection hidden="1"/>
    </xf>
    <xf numFmtId="2" fontId="30" fillId="0" borderId="14" xfId="1" applyNumberFormat="1" applyFont="1" applyBorder="1" applyAlignment="1" applyProtection="1">
      <alignment horizontal="center" vertical="center" shrinkToFit="1" readingOrder="2"/>
      <protection hidden="1"/>
    </xf>
    <xf numFmtId="0" fontId="30" fillId="0" borderId="15" xfId="1" applyNumberFormat="1" applyFont="1" applyBorder="1" applyAlignment="1" applyProtection="1">
      <alignment horizontal="center" vertical="center" shrinkToFit="1" readingOrder="2"/>
      <protection hidden="1"/>
    </xf>
    <xf numFmtId="0" fontId="10" fillId="0" borderId="21" xfId="1" applyNumberFormat="1" applyFont="1" applyBorder="1" applyAlignment="1" applyProtection="1">
      <alignment horizontal="center" vertical="center" shrinkToFit="1" readingOrder="2"/>
      <protection hidden="1"/>
    </xf>
    <xf numFmtId="0" fontId="10" fillId="0" borderId="48" xfId="1" applyNumberFormat="1" applyFont="1" applyBorder="1" applyAlignment="1" applyProtection="1">
      <alignment horizontal="center" vertical="center" shrinkToFit="1" readingOrder="2"/>
      <protection hidden="1"/>
    </xf>
    <xf numFmtId="0" fontId="10" fillId="0" borderId="22" xfId="1" applyNumberFormat="1" applyFont="1" applyBorder="1" applyAlignment="1" applyProtection="1">
      <alignment horizontal="center" vertical="center" shrinkToFit="1" readingOrder="2"/>
      <protection hidden="1"/>
    </xf>
    <xf numFmtId="0" fontId="47" fillId="13" borderId="6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right" vertical="center" shrinkToFit="1" readingOrder="2"/>
      <protection hidden="1"/>
    </xf>
    <xf numFmtId="0" fontId="47" fillId="13" borderId="67" xfId="1" applyFont="1" applyFill="1" applyBorder="1" applyAlignment="1" applyProtection="1">
      <alignment horizontal="right" vertical="center" shrinkToFit="1" readingOrder="2"/>
      <protection hidden="1"/>
    </xf>
    <xf numFmtId="0" fontId="20" fillId="0" borderId="57" xfId="1" applyNumberFormat="1" applyFont="1" applyBorder="1" applyAlignment="1" applyProtection="1">
      <alignment horizontal="center" vertical="center" wrapText="1" shrinkToFit="1" readingOrder="2"/>
      <protection hidden="1"/>
    </xf>
    <xf numFmtId="0" fontId="30" fillId="0" borderId="13" xfId="1" applyNumberFormat="1" applyFont="1" applyBorder="1" applyAlignment="1" applyProtection="1">
      <alignment horizontal="right" shrinkToFit="1" readingOrder="2"/>
      <protection hidden="1"/>
    </xf>
    <xf numFmtId="0" fontId="30" fillId="0" borderId="61" xfId="0" applyFont="1" applyFill="1" applyBorder="1" applyAlignment="1" applyProtection="1">
      <alignment horizontal="left" vertical="center" shrinkToFit="1" readingOrder="2"/>
      <protection hidden="1"/>
    </xf>
    <xf numFmtId="0" fontId="30" fillId="0" borderId="1" xfId="0" applyFont="1" applyFill="1" applyBorder="1" applyAlignment="1" applyProtection="1">
      <alignment horizontal="left" vertical="center" shrinkToFit="1" readingOrder="2"/>
      <protection hidden="1"/>
    </xf>
    <xf numFmtId="0" fontId="10" fillId="0" borderId="63" xfId="1" applyNumberFormat="1" applyFont="1" applyBorder="1" applyAlignment="1" applyProtection="1">
      <alignment horizontal="center" vertical="center" wrapText="1" shrinkToFit="1" readingOrder="2"/>
      <protection hidden="1"/>
    </xf>
    <xf numFmtId="49" fontId="2" fillId="0" borderId="7" xfId="1" applyNumberFormat="1" applyFont="1" applyBorder="1" applyAlignment="1" applyProtection="1">
      <alignment horizontal="center" vertical="center" shrinkToFit="1" readingOrder="2"/>
      <protection hidden="1"/>
    </xf>
    <xf numFmtId="0" fontId="2" fillId="0" borderId="7" xfId="1" applyNumberFormat="1" applyFont="1" applyBorder="1" applyAlignment="1" applyProtection="1">
      <alignment horizontal="center" vertical="center" shrinkToFit="1" readingOrder="2"/>
      <protection hidden="1"/>
    </xf>
    <xf numFmtId="49" fontId="58" fillId="0" borderId="39" xfId="1" applyNumberFormat="1" applyFont="1" applyBorder="1" applyAlignment="1" applyProtection="1">
      <alignment horizontal="center" vertical="center" wrapText="1" shrinkToFit="1" readingOrder="2"/>
      <protection hidden="1"/>
    </xf>
    <xf numFmtId="0" fontId="58" fillId="0" borderId="37" xfId="1" applyNumberFormat="1" applyFont="1" applyBorder="1" applyAlignment="1" applyProtection="1">
      <alignment horizontal="center" vertical="center" wrapText="1" shrinkToFit="1" readingOrder="2"/>
      <protection hidden="1"/>
    </xf>
    <xf numFmtId="0" fontId="58" fillId="0" borderId="38" xfId="1" applyNumberFormat="1" applyFont="1" applyBorder="1" applyAlignment="1" applyProtection="1">
      <alignment horizontal="center" vertical="center" wrapText="1" shrinkToFit="1" readingOrder="2"/>
      <protection hidden="1"/>
    </xf>
    <xf numFmtId="49" fontId="6" fillId="0" borderId="39" xfId="1" applyNumberFormat="1" applyFont="1" applyBorder="1" applyAlignment="1" applyProtection="1">
      <alignment horizontal="center" vertical="center" shrinkToFit="1" readingOrder="2"/>
      <protection hidden="1"/>
    </xf>
    <xf numFmtId="0" fontId="6" fillId="0" borderId="37" xfId="1" applyNumberFormat="1" applyFont="1" applyBorder="1" applyAlignment="1" applyProtection="1">
      <alignment horizontal="center" vertical="center" shrinkToFit="1" readingOrder="2"/>
      <protection hidden="1"/>
    </xf>
    <xf numFmtId="0" fontId="6" fillId="0" borderId="38" xfId="1" applyNumberFormat="1" applyFont="1" applyBorder="1" applyAlignment="1" applyProtection="1">
      <alignment horizontal="center" vertical="center" shrinkToFit="1" readingOrder="2"/>
      <protection hidden="1"/>
    </xf>
    <xf numFmtId="49" fontId="29" fillId="0" borderId="27" xfId="1" applyNumberFormat="1" applyFont="1" applyBorder="1" applyAlignment="1" applyProtection="1">
      <alignment horizontal="center" vertical="center" shrinkToFit="1" readingOrder="2"/>
      <protection hidden="1"/>
    </xf>
    <xf numFmtId="0" fontId="29" fillId="0" borderId="27" xfId="1" applyNumberFormat="1" applyFont="1" applyBorder="1" applyAlignment="1" applyProtection="1">
      <alignment horizontal="center" vertical="center" shrinkToFit="1" readingOrder="2"/>
      <protection hidden="1"/>
    </xf>
    <xf numFmtId="2" fontId="14" fillId="0" borderId="48" xfId="1" applyNumberFormat="1" applyFont="1" applyBorder="1" applyAlignment="1" applyProtection="1">
      <alignment horizontal="right" vertical="center" shrinkToFit="1" readingOrder="2"/>
      <protection hidden="1"/>
    </xf>
    <xf numFmtId="0" fontId="14" fillId="0" borderId="49" xfId="1" applyNumberFormat="1" applyFont="1" applyBorder="1" applyAlignment="1" applyProtection="1">
      <alignment horizontal="right" vertical="center" shrinkToFit="1" readingOrder="2"/>
      <protection hidden="1"/>
    </xf>
    <xf numFmtId="0" fontId="10" fillId="0" borderId="25" xfId="1" applyNumberFormat="1" applyFont="1" applyBorder="1" applyAlignment="1" applyProtection="1">
      <alignment horizontal="center" vertical="center" wrapText="1" shrinkToFit="1" readingOrder="2"/>
      <protection hidden="1"/>
    </xf>
    <xf numFmtId="0" fontId="10" fillId="0" borderId="13" xfId="1" applyNumberFormat="1" applyFont="1" applyBorder="1" applyAlignment="1" applyProtection="1">
      <alignment horizontal="center" vertical="center" wrapText="1" shrinkToFit="1" readingOrder="2"/>
      <protection hidden="1"/>
    </xf>
    <xf numFmtId="0" fontId="10" fillId="0" borderId="26" xfId="1" applyNumberFormat="1" applyFont="1" applyBorder="1" applyAlignment="1" applyProtection="1">
      <alignment horizontal="center" vertical="center" wrapText="1" shrinkToFit="1" readingOrder="2"/>
      <protection hidden="1"/>
    </xf>
    <xf numFmtId="0" fontId="10" fillId="0" borderId="25" xfId="1" applyNumberFormat="1" applyFont="1" applyBorder="1" applyAlignment="1" applyProtection="1">
      <alignment horizontal="center" vertical="center" shrinkToFit="1" readingOrder="2"/>
      <protection hidden="1"/>
    </xf>
    <xf numFmtId="0" fontId="10" fillId="0" borderId="13" xfId="1" applyNumberFormat="1" applyFont="1" applyBorder="1" applyAlignment="1" applyProtection="1">
      <alignment horizontal="center" vertical="center" shrinkToFit="1" readingOrder="2"/>
      <protection hidden="1"/>
    </xf>
    <xf numFmtId="0" fontId="10" fillId="0" borderId="26" xfId="1" applyNumberFormat="1" applyFont="1" applyBorder="1" applyAlignment="1" applyProtection="1">
      <alignment horizontal="center" vertical="center" shrinkToFit="1" readingOrder="2"/>
      <protection hidden="1"/>
    </xf>
    <xf numFmtId="49" fontId="15" fillId="0" borderId="23" xfId="1" applyNumberFormat="1" applyFont="1" applyBorder="1" applyAlignment="1" applyProtection="1">
      <alignment horizontal="center" vertical="center" wrapText="1" shrinkToFit="1" readingOrder="2"/>
      <protection hidden="1"/>
    </xf>
    <xf numFmtId="49" fontId="29" fillId="0" borderId="23" xfId="1" applyNumberFormat="1" applyFont="1" applyBorder="1" applyAlignment="1" applyProtection="1">
      <alignment horizontal="center" vertical="center" wrapText="1" shrinkToFit="1" readingOrder="2"/>
      <protection hidden="1"/>
    </xf>
    <xf numFmtId="0" fontId="29" fillId="0" borderId="19" xfId="1" applyNumberFormat="1" applyFont="1" applyBorder="1" applyAlignment="1" applyProtection="1">
      <alignment horizontal="center" vertical="center" wrapText="1" shrinkToFit="1" readingOrder="2"/>
      <protection hidden="1"/>
    </xf>
    <xf numFmtId="0" fontId="29" fillId="0" borderId="24" xfId="1" applyNumberFormat="1" applyFont="1" applyBorder="1" applyAlignment="1" applyProtection="1">
      <alignment horizontal="center" vertical="center" wrapText="1" shrinkToFit="1" readingOrder="2"/>
      <protection hidden="1"/>
    </xf>
    <xf numFmtId="2" fontId="10" fillId="0" borderId="25" xfId="1" applyNumberFormat="1" applyFont="1" applyBorder="1" applyAlignment="1" applyProtection="1">
      <alignment horizontal="center" vertical="center" shrinkToFit="1" readingOrder="2"/>
      <protection hidden="1"/>
    </xf>
    <xf numFmtId="0" fontId="10" fillId="0" borderId="16" xfId="1" applyNumberFormat="1" applyFont="1" applyBorder="1" applyAlignment="1" applyProtection="1">
      <alignment horizontal="center" vertical="center" shrinkToFit="1" readingOrder="2"/>
      <protection hidden="1"/>
    </xf>
    <xf numFmtId="0" fontId="30" fillId="0" borderId="19" xfId="1" applyNumberFormat="1" applyFont="1" applyBorder="1" applyAlignment="1" applyProtection="1">
      <alignment horizontal="right" wrapText="1" shrinkToFit="1" readingOrder="2"/>
      <protection hidden="1"/>
    </xf>
    <xf numFmtId="0" fontId="15" fillId="0" borderId="14" xfId="1" applyNumberFormat="1" applyFont="1" applyBorder="1" applyAlignment="1" applyProtection="1">
      <alignment horizontal="center" vertical="center" wrapText="1" shrinkToFit="1" readingOrder="2"/>
      <protection hidden="1"/>
    </xf>
    <xf numFmtId="0" fontId="5" fillId="0" borderId="14" xfId="1" applyNumberFormat="1" applyFont="1" applyBorder="1" applyAlignment="1" applyProtection="1">
      <alignment horizontal="center" vertical="center" wrapText="1" shrinkToFit="1" readingOrder="2"/>
      <protection hidden="1"/>
    </xf>
    <xf numFmtId="49" fontId="29" fillId="0" borderId="14" xfId="1" applyNumberFormat="1" applyFont="1" applyBorder="1" applyAlignment="1" applyProtection="1">
      <alignment horizontal="center" vertical="center" wrapText="1" shrinkToFit="1" readingOrder="2"/>
      <protection hidden="1"/>
    </xf>
    <xf numFmtId="0" fontId="29" fillId="0" borderId="14" xfId="1" applyNumberFormat="1" applyFont="1" applyBorder="1" applyAlignment="1" applyProtection="1">
      <alignment horizontal="center" vertical="center" wrapText="1" shrinkToFit="1" readingOrder="2"/>
      <protection hidden="1"/>
    </xf>
    <xf numFmtId="49" fontId="15" fillId="0" borderId="25" xfId="1" applyNumberFormat="1" applyFont="1" applyBorder="1" applyAlignment="1" applyProtection="1">
      <alignment horizontal="center" vertical="center" wrapText="1" shrinkToFit="1" readingOrder="2"/>
      <protection hidden="1"/>
    </xf>
    <xf numFmtId="0" fontId="15" fillId="0" borderId="13" xfId="1" applyNumberFormat="1" applyFont="1" applyBorder="1" applyAlignment="1" applyProtection="1">
      <alignment horizontal="center" vertical="center" wrapText="1" shrinkToFit="1" readingOrder="2"/>
      <protection hidden="1"/>
    </xf>
    <xf numFmtId="0" fontId="15" fillId="0" borderId="26" xfId="1" applyNumberFormat="1" applyFont="1" applyBorder="1" applyAlignment="1" applyProtection="1">
      <alignment horizontal="center" vertical="center" wrapText="1" shrinkToFit="1" readingOrder="2"/>
      <protection hidden="1"/>
    </xf>
    <xf numFmtId="49" fontId="29" fillId="0" borderId="25" xfId="1" applyNumberFormat="1" applyFont="1" applyBorder="1" applyAlignment="1" applyProtection="1">
      <alignment horizontal="center" vertical="center" wrapText="1" shrinkToFit="1" readingOrder="2"/>
      <protection hidden="1"/>
    </xf>
    <xf numFmtId="0" fontId="29" fillId="0" borderId="13" xfId="1" applyNumberFormat="1" applyFont="1" applyBorder="1" applyAlignment="1" applyProtection="1">
      <alignment horizontal="center" vertical="center" wrapText="1" shrinkToFit="1" readingOrder="2"/>
      <protection hidden="1"/>
    </xf>
    <xf numFmtId="0" fontId="29" fillId="0" borderId="26" xfId="1" applyNumberFormat="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wrapText="1" shrinkToFit="1" readingOrder="2"/>
      <protection hidden="1"/>
    </xf>
    <xf numFmtId="0" fontId="15" fillId="0" borderId="3" xfId="1" applyNumberFormat="1" applyFont="1" applyBorder="1" applyAlignment="1" applyProtection="1">
      <alignment horizontal="center" vertical="center" wrapText="1" shrinkToFit="1" readingOrder="2"/>
      <protection hidden="1"/>
    </xf>
    <xf numFmtId="49" fontId="6" fillId="0" borderId="27" xfId="1" applyNumberFormat="1" applyFont="1" applyBorder="1" applyAlignment="1" applyProtection="1">
      <alignment horizontal="center" vertical="center" wrapText="1" shrinkToFit="1" readingOrder="2"/>
      <protection hidden="1"/>
    </xf>
    <xf numFmtId="49" fontId="5" fillId="0" borderId="27" xfId="1" applyNumberFormat="1" applyFont="1" applyBorder="1" applyAlignment="1" applyProtection="1">
      <alignment horizontal="center" vertical="center" shrinkToFit="1" readingOrder="2"/>
      <protection hidden="1"/>
    </xf>
    <xf numFmtId="0" fontId="5" fillId="0" borderId="27" xfId="1" applyNumberFormat="1" applyFont="1" applyBorder="1" applyAlignment="1" applyProtection="1">
      <alignment horizontal="center" vertical="center" shrinkToFit="1" readingOrder="2"/>
      <protection hidden="1"/>
    </xf>
    <xf numFmtId="49" fontId="58" fillId="0" borderId="55" xfId="1" applyNumberFormat="1" applyFont="1" applyBorder="1" applyAlignment="1" applyProtection="1">
      <alignment horizontal="center" vertical="center" wrapText="1" shrinkToFit="1" readingOrder="2"/>
      <protection hidden="1"/>
    </xf>
    <xf numFmtId="0" fontId="58" fillId="0" borderId="55"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wrapText="1" shrinkToFit="1" readingOrder="2"/>
      <protection hidden="1"/>
    </xf>
    <xf numFmtId="0" fontId="15" fillId="0" borderId="55" xfId="1" applyNumberFormat="1" applyFont="1" applyBorder="1" applyAlignment="1" applyProtection="1">
      <alignment horizontal="center" vertical="center" wrapText="1" shrinkToFit="1" readingOrder="2"/>
      <protection hidden="1"/>
    </xf>
    <xf numFmtId="49" fontId="5" fillId="0" borderId="39" xfId="1" applyNumberFormat="1" applyFont="1" applyBorder="1" applyAlignment="1" applyProtection="1">
      <alignment horizontal="center" vertical="center" shrinkToFit="1" readingOrder="2"/>
      <protection hidden="1"/>
    </xf>
    <xf numFmtId="0" fontId="5" fillId="0" borderId="38" xfId="1" applyNumberFormat="1" applyFont="1" applyBorder="1" applyAlignment="1" applyProtection="1">
      <alignment horizontal="center" vertical="center" shrinkToFit="1" readingOrder="2"/>
      <protection hidden="1"/>
    </xf>
    <xf numFmtId="4" fontId="10" fillId="0" borderId="2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65" fillId="0" borderId="57" xfId="1" applyNumberFormat="1" applyFont="1" applyBorder="1" applyAlignment="1" applyProtection="1">
      <alignment horizontal="center" vertical="center" shrinkToFit="1" readingOrder="2"/>
      <protection hidden="1"/>
    </xf>
    <xf numFmtId="49" fontId="65" fillId="0" borderId="23" xfId="1" applyNumberFormat="1" applyFont="1" applyBorder="1" applyAlignment="1" applyProtection="1">
      <alignment horizontal="center" vertical="center" shrinkToFit="1" readingOrder="2"/>
      <protection hidden="1"/>
    </xf>
    <xf numFmtId="0" fontId="65" fillId="0" borderId="19" xfId="1" applyNumberFormat="1" applyFont="1" applyBorder="1" applyAlignment="1" applyProtection="1">
      <alignment horizontal="center" vertical="center" shrinkToFit="1" readingOrder="2"/>
      <protection hidden="1"/>
    </xf>
    <xf numFmtId="0" fontId="65" fillId="0" borderId="24" xfId="1" applyNumberFormat="1" applyFont="1" applyBorder="1" applyAlignment="1" applyProtection="1">
      <alignment horizontal="center" vertical="center" shrinkToFit="1" readingOrder="2"/>
      <protection hidden="1"/>
    </xf>
    <xf numFmtId="49" fontId="6" fillId="0" borderId="59" xfId="1" applyNumberFormat="1" applyFont="1" applyBorder="1" applyAlignment="1" applyProtection="1">
      <alignment horizontal="center" vertical="center" shrinkToFit="1" readingOrder="2"/>
      <protection hidden="1"/>
    </xf>
    <xf numFmtId="0" fontId="6" fillId="0" borderId="0" xfId="1" applyNumberFormat="1" applyFont="1" applyBorder="1" applyAlignment="1" applyProtection="1">
      <alignment horizontal="center" vertical="center" shrinkToFit="1" readingOrder="2"/>
      <protection hidden="1"/>
    </xf>
    <xf numFmtId="0" fontId="6" fillId="0" borderId="60" xfId="1" applyNumberFormat="1" applyFont="1" applyBorder="1" applyAlignment="1" applyProtection="1">
      <alignment horizontal="center" vertical="center" shrinkToFit="1" readingOrder="2"/>
      <protection hidden="1"/>
    </xf>
    <xf numFmtId="49" fontId="5" fillId="0" borderId="59" xfId="1" applyNumberFormat="1" applyFont="1" applyBorder="1" applyAlignment="1" applyProtection="1">
      <alignment horizontal="center" vertical="center" shrinkToFit="1" readingOrder="2"/>
      <protection hidden="1"/>
    </xf>
    <xf numFmtId="0" fontId="5" fillId="0" borderId="60" xfId="1" applyNumberFormat="1" applyFont="1" applyBorder="1" applyAlignment="1" applyProtection="1">
      <alignment horizontal="center" vertical="center" shrinkToFit="1" readingOrder="2"/>
      <protection hidden="1"/>
    </xf>
    <xf numFmtId="49" fontId="5" fillId="0" borderId="55" xfId="1" applyNumberFormat="1" applyFont="1" applyBorder="1" applyAlignment="1" applyProtection="1">
      <alignment horizontal="center" vertical="center" shrinkToFit="1" readingOrder="2"/>
      <protection hidden="1"/>
    </xf>
    <xf numFmtId="0" fontId="5" fillId="0" borderId="55" xfId="1" applyNumberFormat="1" applyFont="1" applyBorder="1" applyAlignment="1" applyProtection="1">
      <alignment horizontal="center" vertical="center" shrinkToFit="1" readingOrder="2"/>
      <protection hidden="1"/>
    </xf>
    <xf numFmtId="4" fontId="10" fillId="0" borderId="55" xfId="1" applyNumberFormat="1" applyFont="1" applyBorder="1" applyAlignment="1" applyProtection="1">
      <alignment horizontal="center" vertical="center" shrinkToFit="1" readingOrder="2"/>
      <protection hidden="1"/>
    </xf>
    <xf numFmtId="0" fontId="10" fillId="0" borderId="65" xfId="1" applyNumberFormat="1" applyFont="1" applyBorder="1" applyAlignment="1" applyProtection="1">
      <alignment horizontal="center" vertical="center" shrinkToFit="1" readingOrder="2"/>
      <protection hidden="1"/>
    </xf>
    <xf numFmtId="49" fontId="6" fillId="0" borderId="23" xfId="1" applyNumberFormat="1" applyFont="1" applyBorder="1" applyAlignment="1" applyProtection="1">
      <alignment horizontal="center" vertical="center" shrinkToFit="1" readingOrder="2"/>
      <protection hidden="1"/>
    </xf>
    <xf numFmtId="0" fontId="6" fillId="0" borderId="19" xfId="1" applyNumberFormat="1" applyFont="1" applyBorder="1" applyAlignment="1" applyProtection="1">
      <alignment horizontal="center" vertical="center" shrinkToFit="1" readingOrder="2"/>
      <protection hidden="1"/>
    </xf>
    <xf numFmtId="49" fontId="5" fillId="0" borderId="4" xfId="1" applyNumberFormat="1" applyFont="1" applyBorder="1" applyAlignment="1" applyProtection="1">
      <alignment horizontal="center" vertical="center" shrinkToFit="1" readingOrder="2"/>
      <protection hidden="1"/>
    </xf>
    <xf numFmtId="0" fontId="5" fillId="0" borderId="4" xfId="1" applyNumberFormat="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shrinkToFit="1" readingOrder="2"/>
      <protection hidden="1"/>
    </xf>
    <xf numFmtId="0" fontId="5" fillId="0" borderId="19" xfId="1" applyNumberFormat="1" applyFont="1" applyBorder="1" applyAlignment="1" applyProtection="1">
      <alignment horizontal="center" vertical="center" shrinkToFit="1" readingOrder="2"/>
      <protection hidden="1"/>
    </xf>
    <xf numFmtId="0" fontId="5" fillId="0" borderId="24" xfId="1" applyNumberFormat="1" applyFont="1" applyBorder="1" applyAlignment="1" applyProtection="1">
      <alignment horizontal="center" vertical="center" shrinkToFit="1" readingOrder="2"/>
      <protection hidden="1"/>
    </xf>
    <xf numFmtId="2" fontId="10" fillId="0" borderId="4" xfId="1" applyNumberFormat="1" applyFont="1" applyBorder="1" applyAlignment="1" applyProtection="1">
      <alignment horizontal="center" vertical="center" shrinkToFit="1" readingOrder="2"/>
      <protection hidden="1"/>
    </xf>
    <xf numFmtId="0" fontId="10" fillId="0" borderId="71" xfId="1" applyNumberFormat="1" applyFont="1" applyBorder="1" applyAlignment="1" applyProtection="1">
      <alignment horizontal="center" vertical="center" shrinkToFit="1" readingOrder="2"/>
      <protection hidden="1"/>
    </xf>
    <xf numFmtId="0" fontId="10" fillId="0" borderId="7" xfId="1" applyNumberFormat="1" applyFont="1" applyBorder="1" applyAlignment="1" applyProtection="1">
      <alignment horizontal="center" vertical="center" shrinkToFit="1" readingOrder="2"/>
      <protection hidden="1"/>
    </xf>
    <xf numFmtId="2" fontId="14" fillId="0" borderId="62" xfId="1" applyNumberFormat="1" applyFont="1" applyBorder="1" applyAlignment="1" applyProtection="1">
      <alignment horizontal="center" vertical="center" shrinkToFit="1" readingOrder="2"/>
      <protection hidden="1"/>
    </xf>
    <xf numFmtId="0" fontId="14" fillId="0" borderId="63" xfId="1" applyNumberFormat="1" applyFont="1" applyBorder="1" applyAlignment="1" applyProtection="1">
      <alignment horizontal="center" vertical="center" shrinkToFit="1" readingOrder="2"/>
      <protection hidden="1"/>
    </xf>
    <xf numFmtId="0" fontId="10" fillId="0" borderId="4"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right" wrapText="1" shrinkToFit="1" readingOrder="2"/>
      <protection hidden="1"/>
    </xf>
    <xf numFmtId="49" fontId="6" fillId="0" borderId="39" xfId="1" applyNumberFormat="1" applyFont="1" applyBorder="1" applyAlignment="1" applyProtection="1">
      <alignment horizontal="center" vertical="center" wrapText="1" shrinkToFit="1" readingOrder="2"/>
      <protection hidden="1"/>
    </xf>
    <xf numFmtId="1" fontId="5" fillId="0" borderId="39" xfId="1" applyNumberFormat="1" applyFont="1" applyBorder="1" applyAlignment="1" applyProtection="1">
      <alignment horizontal="center" vertical="center" shrinkToFit="1" readingOrder="2"/>
      <protection hidden="1"/>
    </xf>
    <xf numFmtId="2" fontId="10" fillId="0" borderId="13" xfId="1" applyNumberFormat="1" applyFont="1" applyBorder="1" applyAlignment="1" applyProtection="1">
      <alignment horizontal="center" vertical="center" shrinkToFit="1" readingOrder="2"/>
      <protection hidden="1"/>
    </xf>
    <xf numFmtId="0" fontId="10" fillId="0" borderId="57" xfId="1" applyNumberFormat="1" applyFont="1" applyBorder="1" applyAlignment="1" applyProtection="1">
      <alignment horizontal="center" vertical="center" shrinkToFit="1" readingOrder="2"/>
      <protection hidden="1"/>
    </xf>
    <xf numFmtId="49" fontId="20" fillId="0" borderId="57" xfId="1" applyNumberFormat="1" applyFont="1" applyBorder="1" applyAlignment="1" applyProtection="1">
      <alignment horizontal="center" vertical="center" shrinkToFit="1" readingOrder="2"/>
      <protection hidden="1"/>
    </xf>
    <xf numFmtId="0" fontId="20" fillId="0" borderId="57" xfId="1" applyNumberFormat="1" applyFont="1" applyBorder="1" applyAlignment="1" applyProtection="1">
      <alignment horizontal="center" vertical="center" shrinkToFit="1" readingOrder="2"/>
      <protection hidden="1"/>
    </xf>
    <xf numFmtId="0" fontId="2" fillId="0" borderId="57" xfId="1" applyNumberFormat="1" applyFont="1" applyBorder="1" applyAlignment="1" applyProtection="1">
      <alignment horizontal="center" vertical="center" wrapText="1" shrinkToFit="1" readingOrder="2"/>
      <protection hidden="1"/>
    </xf>
    <xf numFmtId="0" fontId="65" fillId="0" borderId="7" xfId="1" applyNumberFormat="1" applyFont="1" applyBorder="1" applyAlignment="1" applyProtection="1">
      <alignment horizontal="center" vertical="center" wrapText="1" shrinkToFit="1" readingOrder="2"/>
      <protection hidden="1"/>
    </xf>
    <xf numFmtId="0" fontId="30" fillId="0" borderId="30"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right" wrapText="1" shrinkToFit="1" readingOrder="2"/>
      <protection hidden="1"/>
    </xf>
    <xf numFmtId="0" fontId="6" fillId="0" borderId="25" xfId="1" applyNumberFormat="1" applyFont="1" applyBorder="1" applyAlignment="1" applyProtection="1">
      <alignment horizontal="center" vertical="center" wrapText="1" shrinkToFit="1" readingOrder="2"/>
      <protection hidden="1"/>
    </xf>
    <xf numFmtId="0" fontId="6" fillId="0" borderId="13" xfId="1" applyNumberFormat="1" applyFont="1" applyBorder="1" applyAlignment="1" applyProtection="1">
      <alignment horizontal="center" vertical="center" wrapText="1" shrinkToFit="1" readingOrder="2"/>
      <protection hidden="1"/>
    </xf>
    <xf numFmtId="0" fontId="6" fillId="0" borderId="26" xfId="1" applyNumberFormat="1" applyFont="1" applyBorder="1" applyAlignment="1" applyProtection="1">
      <alignment horizontal="center" vertical="center" wrapText="1" shrinkToFit="1" readingOrder="2"/>
      <protection hidden="1"/>
    </xf>
    <xf numFmtId="0" fontId="15" fillId="0" borderId="25" xfId="1" applyNumberFormat="1" applyFont="1" applyBorder="1" applyAlignment="1" applyProtection="1">
      <alignment horizontal="center" vertical="center" wrapText="1" shrinkToFit="1" readingOrder="2"/>
      <protection hidden="1"/>
    </xf>
    <xf numFmtId="0" fontId="5" fillId="0" borderId="25" xfId="1" applyNumberFormat="1" applyFont="1" applyBorder="1" applyAlignment="1" applyProtection="1">
      <alignment horizontal="center" vertical="center" wrapText="1" shrinkToFit="1" readingOrder="2"/>
      <protection hidden="1"/>
    </xf>
    <xf numFmtId="0" fontId="5" fillId="0" borderId="13" xfId="1" applyNumberFormat="1" applyFont="1" applyBorder="1" applyAlignment="1" applyProtection="1">
      <alignment horizontal="center" vertical="center" wrapText="1" shrinkToFit="1" readingOrder="2"/>
      <protection hidden="1"/>
    </xf>
    <xf numFmtId="0" fontId="5" fillId="0" borderId="26" xfId="1" applyNumberFormat="1" applyFont="1" applyBorder="1" applyAlignment="1" applyProtection="1">
      <alignment horizontal="center" vertical="center" wrapText="1" shrinkToFit="1" readingOrder="2"/>
      <protection hidden="1"/>
    </xf>
    <xf numFmtId="0" fontId="65" fillId="0" borderId="13" xfId="1" applyNumberFormat="1" applyFont="1" applyBorder="1" applyAlignment="1" applyProtection="1">
      <alignment horizontal="center" vertical="center" wrapText="1" shrinkToFit="1" readingOrder="2"/>
      <protection hidden="1"/>
    </xf>
    <xf numFmtId="0" fontId="65" fillId="0" borderId="26" xfId="1" applyNumberFormat="1" applyFont="1" applyBorder="1" applyAlignment="1" applyProtection="1">
      <alignment horizontal="center" vertical="center" wrapText="1" shrinkToFit="1" readingOrder="2"/>
      <protection hidden="1"/>
    </xf>
    <xf numFmtId="2" fontId="10" fillId="0" borderId="14" xfId="1" applyNumberFormat="1" applyFont="1" applyBorder="1" applyAlignment="1" applyProtection="1">
      <alignment horizontal="center" vertical="center" shrinkToFit="1" readingOrder="2"/>
      <protection hidden="1"/>
    </xf>
    <xf numFmtId="0" fontId="10" fillId="0" borderId="15" xfId="1" applyNumberFormat="1" applyFont="1" applyBorder="1" applyAlignment="1" applyProtection="1">
      <alignment horizontal="center" vertical="center" shrinkToFit="1" readingOrder="2"/>
      <protection hidden="1"/>
    </xf>
    <xf numFmtId="0" fontId="5" fillId="0" borderId="23" xfId="1" applyNumberFormat="1" applyFont="1" applyBorder="1" applyAlignment="1" applyProtection="1">
      <alignment horizontal="center" vertical="center" wrapText="1" shrinkToFit="1" readingOrder="2"/>
      <protection hidden="1"/>
    </xf>
    <xf numFmtId="0" fontId="5" fillId="0" borderId="19" xfId="1" applyNumberFormat="1" applyFont="1" applyBorder="1" applyAlignment="1" applyProtection="1">
      <alignment horizontal="center" vertical="center" wrapText="1" shrinkToFit="1" readingOrder="2"/>
      <protection hidden="1"/>
    </xf>
    <xf numFmtId="0" fontId="5" fillId="0" borderId="24" xfId="1" applyNumberFormat="1" applyFont="1" applyBorder="1" applyAlignment="1" applyProtection="1">
      <alignment horizontal="center" vertical="center" wrapText="1" shrinkToFit="1" readingOrder="2"/>
      <protection hidden="1"/>
    </xf>
    <xf numFmtId="0" fontId="65" fillId="0" borderId="19" xfId="1" applyNumberFormat="1" applyFont="1" applyBorder="1" applyAlignment="1" applyProtection="1">
      <alignment horizontal="center" vertical="center" wrapText="1" shrinkToFit="1" readingOrder="2"/>
      <protection hidden="1"/>
    </xf>
    <xf numFmtId="0" fontId="65" fillId="0" borderId="24" xfId="1" applyNumberFormat="1" applyFont="1" applyBorder="1" applyAlignment="1" applyProtection="1">
      <alignment horizontal="center" vertical="center" wrapText="1" shrinkToFit="1" readingOrder="2"/>
      <protection hidden="1"/>
    </xf>
    <xf numFmtId="0" fontId="70" fillId="22" borderId="74" xfId="1" applyFont="1" applyFill="1" applyBorder="1" applyAlignment="1" applyProtection="1">
      <alignment horizontal="center" readingOrder="2"/>
      <protection locked="0"/>
    </xf>
    <xf numFmtId="0" fontId="70" fillId="22" borderId="73" xfId="1" applyFont="1" applyFill="1" applyBorder="1" applyAlignment="1" applyProtection="1">
      <alignment horizontal="center" readingOrder="2"/>
      <protection locked="0"/>
    </xf>
    <xf numFmtId="0" fontId="70" fillId="22" borderId="77" xfId="1" applyFont="1" applyFill="1" applyBorder="1" applyAlignment="1" applyProtection="1">
      <alignment horizontal="center" readingOrder="2"/>
      <protection locked="0"/>
    </xf>
    <xf numFmtId="0" fontId="70" fillId="22" borderId="75" xfId="1" applyFont="1" applyFill="1" applyBorder="1" applyAlignment="1" applyProtection="1">
      <alignment horizontal="center" readingOrder="2"/>
      <protection locked="0"/>
    </xf>
    <xf numFmtId="0" fontId="70" fillId="22" borderId="76" xfId="1" applyFont="1" applyFill="1" applyBorder="1" applyAlignment="1" applyProtection="1">
      <alignment horizontal="center" readingOrder="2"/>
      <protection locked="0"/>
    </xf>
    <xf numFmtId="0" fontId="17" fillId="18" borderId="0" xfId="0" applyFont="1" applyFill="1" applyAlignment="1" applyProtection="1">
      <alignment horizontal="center" readingOrder="2"/>
    </xf>
    <xf numFmtId="49" fontId="17" fillId="0" borderId="0" xfId="0" applyNumberFormat="1" applyFont="1" applyAlignment="1" applyProtection="1">
      <alignment horizontal="center" readingOrder="2"/>
    </xf>
    <xf numFmtId="0" fontId="17" fillId="0" borderId="0" xfId="0" applyFont="1" applyAlignment="1" applyProtection="1">
      <alignment horizontal="center" readingOrder="2"/>
    </xf>
    <xf numFmtId="0" fontId="17" fillId="12" borderId="0" xfId="0" applyFont="1" applyFill="1" applyAlignment="1" applyProtection="1">
      <alignment horizontal="center" readingOrder="2"/>
    </xf>
    <xf numFmtId="0" fontId="17" fillId="16" borderId="0" xfId="0" applyFont="1" applyFill="1" applyAlignment="1" applyProtection="1">
      <alignment horizontal="center" readingOrder="2"/>
    </xf>
    <xf numFmtId="0" fontId="17" fillId="17" borderId="7" xfId="0" applyFont="1" applyFill="1" applyBorder="1" applyAlignment="1" applyProtection="1">
      <alignment horizontal="center" readingOrder="2"/>
    </xf>
    <xf numFmtId="0" fontId="5" fillId="0" borderId="6"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0" fontId="5" fillId="0" borderId="0" xfId="0" applyFont="1" applyBorder="1" applyAlignment="1" applyProtection="1">
      <alignment horizontal="center" vertical="center" shrinkToFit="1" readingOrder="2"/>
      <protection locked="0"/>
    </xf>
    <xf numFmtId="0" fontId="5" fillId="0" borderId="46" xfId="0" applyFont="1" applyBorder="1" applyAlignment="1" applyProtection="1">
      <alignment horizontal="center" vertical="center" shrinkToFit="1" readingOrder="2"/>
      <protection locked="0"/>
    </xf>
    <xf numFmtId="0" fontId="17" fillId="3" borderId="7" xfId="0" applyFont="1" applyFill="1" applyBorder="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15" fillId="3" borderId="7" xfId="1" applyFont="1" applyFill="1" applyBorder="1" applyAlignment="1" applyProtection="1">
      <alignment horizontal="center" vertical="center" shrinkToFit="1"/>
    </xf>
  </cellXfs>
  <cellStyles count="4">
    <cellStyle name="Bad 2" xfId="3"/>
    <cellStyle name="Normal" xfId="0" builtinId="0"/>
    <cellStyle name="Normal 2" xfId="1"/>
    <cellStyle name="Percent 2" xfId="2"/>
  </cellStyles>
  <dxfs count="259">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rgb="FF9C0006"/>
      </font>
      <fill>
        <patternFill>
          <bgColor rgb="FFFFC7CE"/>
        </patternFill>
      </fill>
    </dxf>
    <dxf>
      <fill>
        <patternFill>
          <bgColor rgb="FFFFC000"/>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theme="7" tint="0.39994506668294322"/>
      </font>
    </dxf>
    <dxf>
      <fill>
        <patternFill>
          <bgColor rgb="FFF1C35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theme="0" tint="-0.14996795556505021"/>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rgb="FF9C0006"/>
      </font>
      <fill>
        <patternFill>
          <bgColor rgb="FFFFC7CE"/>
        </patternFill>
      </fill>
    </dxf>
    <dxf>
      <fill>
        <patternFill>
          <bgColor rgb="FFF1C35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1C351"/>
        </patternFill>
      </fill>
    </dxf>
    <dxf>
      <fill>
        <patternFill>
          <bgColor rgb="FFF1C351"/>
        </patternFill>
      </fill>
    </dxf>
    <dxf>
      <font>
        <condense val="0"/>
        <extend val="0"/>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C00000"/>
      </font>
      <fill>
        <patternFill>
          <bgColor theme="5" tint="0.59996337778862885"/>
        </patternFill>
      </fill>
    </dxf>
    <dxf>
      <font>
        <color rgb="FFC00000"/>
      </font>
      <fill>
        <patternFill>
          <bgColor theme="5" tint="0.59996337778862885"/>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FB011"/>
        </patternFill>
      </fill>
    </dxf>
    <dxf>
      <fill>
        <patternFill>
          <bgColor rgb="FFFFC7CE"/>
        </patternFill>
      </fill>
    </dxf>
  </dxfs>
  <tableStyles count="0" defaultTableStyle="TableStyleMedium2" defaultPivotStyle="PivotStyleMedium9"/>
  <colors>
    <mruColors>
      <color rgb="FF05C7A7"/>
      <color rgb="FFF2C554"/>
      <color rgb="FF9AEDF8"/>
      <color rgb="FFFEC6D3"/>
      <color rgb="FF2D6BB5"/>
      <color rgb="FFFB5F19"/>
      <color rgb="FF275C9D"/>
      <color rgb="FFFEBACA"/>
      <color rgb="FFEAB200"/>
      <color rgb="FFEFB0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619125</xdr:colOff>
      <xdr:row>0</xdr:row>
      <xdr:rowOff>9525</xdr:rowOff>
    </xdr:from>
    <xdr:to>
      <xdr:col>8</xdr:col>
      <xdr:colOff>647701</xdr:colOff>
      <xdr:row>10</xdr:row>
      <xdr:rowOff>0</xdr:rowOff>
    </xdr:to>
    <xdr:pic>
      <xdr:nvPicPr>
        <xdr:cNvPr id="9" name="Picture 8"/>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802" t="6289" b="5522"/>
        <a:stretch/>
      </xdr:blipFill>
      <xdr:spPr>
        <a:xfrm>
          <a:off x="9982219049" y="9525"/>
          <a:ext cx="2695576" cy="2962275"/>
        </a:xfrm>
        <a:prstGeom prst="rect">
          <a:avLst/>
        </a:prstGeom>
      </xdr:spPr>
    </xdr:pic>
    <xdr:clientData/>
  </xdr:twoCellAnchor>
  <xdr:twoCellAnchor editAs="oneCell">
    <xdr:from>
      <xdr:col>7</xdr:col>
      <xdr:colOff>0</xdr:colOff>
      <xdr:row>0</xdr:row>
      <xdr:rowOff>0</xdr:rowOff>
    </xdr:from>
    <xdr:to>
      <xdr:col>8</xdr:col>
      <xdr:colOff>657225</xdr:colOff>
      <xdr:row>10</xdr:row>
      <xdr:rowOff>12957</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209525" y="0"/>
          <a:ext cx="1323975" cy="2984757"/>
        </a:xfrm>
        <a:prstGeom prst="rect">
          <a:avLst/>
        </a:prstGeom>
      </xdr:spPr>
    </xdr:pic>
    <xdr:clientData/>
  </xdr:twoCellAnchor>
  <xdr:twoCellAnchor editAs="oneCell">
    <xdr:from>
      <xdr:col>6</xdr:col>
      <xdr:colOff>533400</xdr:colOff>
      <xdr:row>2</xdr:row>
      <xdr:rowOff>104775</xdr:rowOff>
    </xdr:from>
    <xdr:to>
      <xdr:col>8</xdr:col>
      <xdr:colOff>656451</xdr:colOff>
      <xdr:row>10</xdr:row>
      <xdr:rowOff>0</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2210299" y="676275"/>
          <a:ext cx="1456551" cy="2295525"/>
        </a:xfrm>
        <a:prstGeom prst="rect">
          <a:avLst/>
        </a:prstGeom>
      </xdr:spPr>
    </xdr:pic>
    <xdr:clientData/>
  </xdr:twoCellAnchor>
  <xdr:twoCellAnchor editAs="oneCell">
    <xdr:from>
      <xdr:col>2</xdr:col>
      <xdr:colOff>12947</xdr:colOff>
      <xdr:row>3</xdr:row>
      <xdr:rowOff>190500</xdr:rowOff>
    </xdr:from>
    <xdr:to>
      <xdr:col>6</xdr:col>
      <xdr:colOff>276225</xdr:colOff>
      <xdr:row>8</xdr:row>
      <xdr:rowOff>66676</xdr:rowOff>
    </xdr:to>
    <xdr:pic>
      <xdr:nvPicPr>
        <xdr:cNvPr id="4" name="Picture 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10" b="31464"/>
        <a:stretch/>
      </xdr:blipFill>
      <xdr:spPr>
        <a:xfrm>
          <a:off x="9983924025" y="1047750"/>
          <a:ext cx="2930278" cy="1304926"/>
        </a:xfrm>
        <a:prstGeom prst="rect">
          <a:avLst/>
        </a:prstGeom>
      </xdr:spPr>
    </xdr:pic>
    <xdr:clientData/>
  </xdr:twoCellAnchor>
  <xdr:twoCellAnchor editAs="oneCell">
    <xdr:from>
      <xdr:col>0</xdr:col>
      <xdr:colOff>1</xdr:colOff>
      <xdr:row>0</xdr:row>
      <xdr:rowOff>28576</xdr:rowOff>
    </xdr:from>
    <xdr:to>
      <xdr:col>2</xdr:col>
      <xdr:colOff>161925</xdr:colOff>
      <xdr:row>4</xdr:row>
      <xdr:rowOff>152400</xdr:rowOff>
    </xdr:to>
    <xdr:pic>
      <xdr:nvPicPr>
        <xdr:cNvPr id="3" name="Picture 2"/>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905" t="9687" r="2074"/>
        <a:stretch/>
      </xdr:blipFill>
      <xdr:spPr>
        <a:xfrm>
          <a:off x="9986705325" y="28576"/>
          <a:ext cx="1495424" cy="1266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438149</xdr:colOff>
      <xdr:row>4</xdr:row>
      <xdr:rowOff>95250</xdr:rowOff>
    </xdr:from>
    <xdr:to>
      <xdr:col>13</xdr:col>
      <xdr:colOff>38100</xdr:colOff>
      <xdr:row>4</xdr:row>
      <xdr:rowOff>190500</xdr:rowOff>
    </xdr:to>
    <xdr:cxnSp macro="">
      <xdr:nvCxnSpPr>
        <xdr:cNvPr id="2" name="Straight Connector 1"/>
        <xdr:cNvCxnSpPr/>
      </xdr:nvCxnSpPr>
      <xdr:spPr>
        <a:xfrm flipH="1">
          <a:off x="9979399650"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18</xdr:row>
      <xdr:rowOff>66675</xdr:rowOff>
    </xdr:from>
    <xdr:to>
      <xdr:col>11</xdr:col>
      <xdr:colOff>47626</xdr:colOff>
      <xdr:row>18</xdr:row>
      <xdr:rowOff>190500</xdr:rowOff>
    </xdr:to>
    <xdr:cxnSp macro="">
      <xdr:nvCxnSpPr>
        <xdr:cNvPr id="4" name="Straight Connector 3"/>
        <xdr:cNvCxnSpPr/>
      </xdr:nvCxnSpPr>
      <xdr:spPr>
        <a:xfrm flipH="1">
          <a:off x="9980075924" y="44386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361951</xdr:colOff>
      <xdr:row>18</xdr:row>
      <xdr:rowOff>57150</xdr:rowOff>
    </xdr:from>
    <xdr:to>
      <xdr:col>11</xdr:col>
      <xdr:colOff>409577</xdr:colOff>
      <xdr:row>18</xdr:row>
      <xdr:rowOff>180975</xdr:rowOff>
    </xdr:to>
    <xdr:cxnSp macro="">
      <xdr:nvCxnSpPr>
        <xdr:cNvPr id="6" name="Straight Connector 5"/>
        <xdr:cNvCxnSpPr/>
      </xdr:nvCxnSpPr>
      <xdr:spPr>
        <a:xfrm flipH="1">
          <a:off x="9979713973" y="44291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438149</xdr:colOff>
      <xdr:row>3</xdr:row>
      <xdr:rowOff>95250</xdr:rowOff>
    </xdr:from>
    <xdr:to>
      <xdr:col>13</xdr:col>
      <xdr:colOff>38100</xdr:colOff>
      <xdr:row>3</xdr:row>
      <xdr:rowOff>190500</xdr:rowOff>
    </xdr:to>
    <xdr:cxnSp macro="">
      <xdr:nvCxnSpPr>
        <xdr:cNvPr id="15" name="Straight Connector 14"/>
        <xdr:cNvCxnSpPr/>
      </xdr:nvCxnSpPr>
      <xdr:spPr>
        <a:xfrm flipH="1">
          <a:off x="9979399650"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247652</xdr:colOff>
      <xdr:row>0</xdr:row>
      <xdr:rowOff>1</xdr:rowOff>
    </xdr:from>
    <xdr:to>
      <xdr:col>1</xdr:col>
      <xdr:colOff>381001</xdr:colOff>
      <xdr:row>2</xdr:row>
      <xdr:rowOff>228600</xdr:rowOff>
    </xdr:to>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410049" y="1"/>
          <a:ext cx="800099" cy="800099"/>
        </a:xfrm>
        <a:prstGeom prst="rect">
          <a:avLst/>
        </a:prstGeom>
      </xdr:spPr>
    </xdr:pic>
    <xdr:clientData/>
  </xdr:twoCellAnchor>
  <xdr:twoCellAnchor editAs="oneCell">
    <xdr:from>
      <xdr:col>12</xdr:col>
      <xdr:colOff>342899</xdr:colOff>
      <xdr:row>0</xdr:row>
      <xdr:rowOff>6878</xdr:rowOff>
    </xdr:from>
    <xdr:to>
      <xdr:col>14</xdr:col>
      <xdr:colOff>152399</xdr:colOff>
      <xdr:row>2</xdr:row>
      <xdr:rowOff>224367</xdr:rowOff>
    </xdr:to>
    <xdr:pic>
      <xdr:nvPicPr>
        <xdr:cNvPr id="18" name="Picture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523475" y="6878"/>
          <a:ext cx="600076" cy="788989"/>
        </a:xfrm>
        <a:prstGeom prst="rect">
          <a:avLst/>
        </a:prstGeom>
      </xdr:spPr>
    </xdr:pic>
    <xdr:clientData/>
  </xdr:twoCellAnchor>
  <xdr:twoCellAnchor>
    <xdr:from>
      <xdr:col>12</xdr:col>
      <xdr:colOff>438156</xdr:colOff>
      <xdr:row>7</xdr:row>
      <xdr:rowOff>180975</xdr:rowOff>
    </xdr:from>
    <xdr:to>
      <xdr:col>13</xdr:col>
      <xdr:colOff>57159</xdr:colOff>
      <xdr:row>8</xdr:row>
      <xdr:rowOff>76200</xdr:rowOff>
    </xdr:to>
    <xdr:cxnSp macro="">
      <xdr:nvCxnSpPr>
        <xdr:cNvPr id="23" name="Straight Connector 22"/>
        <xdr:cNvCxnSpPr/>
      </xdr:nvCxnSpPr>
      <xdr:spPr>
        <a:xfrm flipH="1">
          <a:off x="9979380591"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371478</xdr:colOff>
      <xdr:row>7</xdr:row>
      <xdr:rowOff>180975</xdr:rowOff>
    </xdr:from>
    <xdr:to>
      <xdr:col>7</xdr:col>
      <xdr:colOff>438156</xdr:colOff>
      <xdr:row>8</xdr:row>
      <xdr:rowOff>76200</xdr:rowOff>
    </xdr:to>
    <xdr:cxnSp macro="">
      <xdr:nvCxnSpPr>
        <xdr:cNvPr id="24" name="Straight Connector 23"/>
        <xdr:cNvCxnSpPr/>
      </xdr:nvCxnSpPr>
      <xdr:spPr>
        <a:xfrm flipH="1">
          <a:off x="9981504669"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438156</xdr:colOff>
      <xdr:row>7</xdr:row>
      <xdr:rowOff>180975</xdr:rowOff>
    </xdr:from>
    <xdr:to>
      <xdr:col>7</xdr:col>
      <xdr:colOff>57159</xdr:colOff>
      <xdr:row>8</xdr:row>
      <xdr:rowOff>76200</xdr:rowOff>
    </xdr:to>
    <xdr:cxnSp macro="">
      <xdr:nvCxnSpPr>
        <xdr:cNvPr id="25" name="Straight Connector 24"/>
        <xdr:cNvCxnSpPr/>
      </xdr:nvCxnSpPr>
      <xdr:spPr>
        <a:xfrm flipH="1">
          <a:off x="9981885666"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438150</xdr:colOff>
      <xdr:row>9</xdr:row>
      <xdr:rowOff>95250</xdr:rowOff>
    </xdr:from>
    <xdr:to>
      <xdr:col>13</xdr:col>
      <xdr:colOff>38101</xdr:colOff>
      <xdr:row>9</xdr:row>
      <xdr:rowOff>219075</xdr:rowOff>
    </xdr:to>
    <xdr:cxnSp macro="">
      <xdr:nvCxnSpPr>
        <xdr:cNvPr id="26" name="Straight Connector 25"/>
        <xdr:cNvCxnSpPr/>
      </xdr:nvCxnSpPr>
      <xdr:spPr>
        <a:xfrm flipH="1">
          <a:off x="9979380599" y="23717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428627</xdr:colOff>
      <xdr:row>10</xdr:row>
      <xdr:rowOff>76200</xdr:rowOff>
    </xdr:from>
    <xdr:to>
      <xdr:col>13</xdr:col>
      <xdr:colOff>28578</xdr:colOff>
      <xdr:row>10</xdr:row>
      <xdr:rowOff>200025</xdr:rowOff>
    </xdr:to>
    <xdr:cxnSp macro="">
      <xdr:nvCxnSpPr>
        <xdr:cNvPr id="28" name="Straight Connector 27"/>
        <xdr:cNvCxnSpPr/>
      </xdr:nvCxnSpPr>
      <xdr:spPr>
        <a:xfrm flipH="1">
          <a:off x="9979390122" y="26384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4</xdr:row>
      <xdr:rowOff>95250</xdr:rowOff>
    </xdr:from>
    <xdr:to>
      <xdr:col>13</xdr:col>
      <xdr:colOff>333376</xdr:colOff>
      <xdr:row>4</xdr:row>
      <xdr:rowOff>190500</xdr:rowOff>
    </xdr:to>
    <xdr:cxnSp macro="">
      <xdr:nvCxnSpPr>
        <xdr:cNvPr id="21" name="Straight Connector 20"/>
        <xdr:cNvCxnSpPr/>
      </xdr:nvCxnSpPr>
      <xdr:spPr>
        <a:xfrm flipH="1">
          <a:off x="9979085324"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3</xdr:row>
      <xdr:rowOff>95250</xdr:rowOff>
    </xdr:from>
    <xdr:to>
      <xdr:col>13</xdr:col>
      <xdr:colOff>333376</xdr:colOff>
      <xdr:row>3</xdr:row>
      <xdr:rowOff>190500</xdr:rowOff>
    </xdr:to>
    <xdr:cxnSp macro="">
      <xdr:nvCxnSpPr>
        <xdr:cNvPr id="30" name="Straight Connector 29"/>
        <xdr:cNvCxnSpPr/>
      </xdr:nvCxnSpPr>
      <xdr:spPr>
        <a:xfrm flipH="1">
          <a:off x="9979085324"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285754</xdr:colOff>
      <xdr:row>7</xdr:row>
      <xdr:rowOff>190500</xdr:rowOff>
    </xdr:from>
    <xdr:to>
      <xdr:col>14</xdr:col>
      <xdr:colOff>9532</xdr:colOff>
      <xdr:row>8</xdr:row>
      <xdr:rowOff>85725</xdr:rowOff>
    </xdr:to>
    <xdr:cxnSp macro="">
      <xdr:nvCxnSpPr>
        <xdr:cNvPr id="31" name="Straight Connector 30"/>
        <xdr:cNvCxnSpPr/>
      </xdr:nvCxnSpPr>
      <xdr:spPr>
        <a:xfrm flipH="1">
          <a:off x="9979066268" y="18954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285748</xdr:colOff>
      <xdr:row>9</xdr:row>
      <xdr:rowOff>104775</xdr:rowOff>
    </xdr:from>
    <xdr:to>
      <xdr:col>13</xdr:col>
      <xdr:colOff>333374</xdr:colOff>
      <xdr:row>9</xdr:row>
      <xdr:rowOff>228600</xdr:rowOff>
    </xdr:to>
    <xdr:cxnSp macro="">
      <xdr:nvCxnSpPr>
        <xdr:cNvPr id="32" name="Straight Connector 31"/>
        <xdr:cNvCxnSpPr/>
      </xdr:nvCxnSpPr>
      <xdr:spPr>
        <a:xfrm flipH="1">
          <a:off x="9979085326" y="23812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276225</xdr:colOff>
      <xdr:row>10</xdr:row>
      <xdr:rowOff>85725</xdr:rowOff>
    </xdr:from>
    <xdr:to>
      <xdr:col>13</xdr:col>
      <xdr:colOff>323851</xdr:colOff>
      <xdr:row>10</xdr:row>
      <xdr:rowOff>209550</xdr:rowOff>
    </xdr:to>
    <xdr:cxnSp macro="">
      <xdr:nvCxnSpPr>
        <xdr:cNvPr id="33" name="Straight Connector 32"/>
        <xdr:cNvCxnSpPr/>
      </xdr:nvCxnSpPr>
      <xdr:spPr>
        <a:xfrm flipH="1">
          <a:off x="9979094849" y="26479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0</xdr:row>
      <xdr:rowOff>95250</xdr:rowOff>
    </xdr:from>
    <xdr:to>
      <xdr:col>13</xdr:col>
      <xdr:colOff>57151</xdr:colOff>
      <xdr:row>0</xdr:row>
      <xdr:rowOff>200025</xdr:rowOff>
    </xdr:to>
    <xdr:cxnSp macro="">
      <xdr:nvCxnSpPr>
        <xdr:cNvPr id="6" name="Straight Connector 5"/>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7" name="Straight Connector 6"/>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8" name="Straight Connector 7"/>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9" name="Straight Connector 8"/>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12" name="Straight Connector 11"/>
        <xdr:cNvCxnSpPr/>
      </xdr:nvCxnSpPr>
      <xdr:spPr>
        <a:xfrm flipH="1">
          <a:off x="98346196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6" name="Straight Connector 5"/>
        <xdr:cNvCxnSpPr/>
      </xdr:nvCxnSpPr>
      <xdr:spPr>
        <a:xfrm flipH="1">
          <a:off x="9874711348"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7" name="Straight Connector 6"/>
        <xdr:cNvCxnSpPr/>
      </xdr:nvCxnSpPr>
      <xdr:spPr>
        <a:xfrm flipH="1">
          <a:off x="9874711348" y="31918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9525</xdr:colOff>
      <xdr:row>0</xdr:row>
      <xdr:rowOff>95250</xdr:rowOff>
    </xdr:from>
    <xdr:to>
      <xdr:col>14</xdr:col>
      <xdr:colOff>57151</xdr:colOff>
      <xdr:row>0</xdr:row>
      <xdr:rowOff>200025</xdr:rowOff>
    </xdr:to>
    <xdr:cxnSp macro="">
      <xdr:nvCxnSpPr>
        <xdr:cNvPr id="10" name="Straight Connector 9"/>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xdr:row>
      <xdr:rowOff>76200</xdr:rowOff>
    </xdr:from>
    <xdr:to>
      <xdr:col>14</xdr:col>
      <xdr:colOff>57151</xdr:colOff>
      <xdr:row>1</xdr:row>
      <xdr:rowOff>180975</xdr:rowOff>
    </xdr:to>
    <xdr:cxnSp macro="">
      <xdr:nvCxnSpPr>
        <xdr:cNvPr id="12" name="Straight Connector 11"/>
        <xdr:cNvCxnSpPr/>
      </xdr:nvCxnSpPr>
      <xdr:spPr>
        <a:xfrm flipH="1">
          <a:off x="9833752874"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0</xdr:row>
      <xdr:rowOff>85725</xdr:rowOff>
    </xdr:from>
    <xdr:to>
      <xdr:col>14</xdr:col>
      <xdr:colOff>428626</xdr:colOff>
      <xdr:row>0</xdr:row>
      <xdr:rowOff>190500</xdr:rowOff>
    </xdr:to>
    <xdr:cxnSp macro="">
      <xdr:nvCxnSpPr>
        <xdr:cNvPr id="14" name="Straight Connector 13"/>
        <xdr:cNvCxnSpPr/>
      </xdr:nvCxnSpPr>
      <xdr:spPr>
        <a:xfrm flipH="1">
          <a:off x="9828771299" y="857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1</xdr:row>
      <xdr:rowOff>66675</xdr:rowOff>
    </xdr:from>
    <xdr:to>
      <xdr:col>14</xdr:col>
      <xdr:colOff>428626</xdr:colOff>
      <xdr:row>1</xdr:row>
      <xdr:rowOff>171450</xdr:rowOff>
    </xdr:to>
    <xdr:cxnSp macro="">
      <xdr:nvCxnSpPr>
        <xdr:cNvPr id="15" name="Straight Connector 14"/>
        <xdr:cNvCxnSpPr/>
      </xdr:nvCxnSpPr>
      <xdr:spPr>
        <a:xfrm flipH="1">
          <a:off x="9828771299" y="3143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579456</xdr:colOff>
      <xdr:row>134</xdr:row>
      <xdr:rowOff>7967</xdr:rowOff>
    </xdr:from>
    <xdr:to>
      <xdr:col>3</xdr:col>
      <xdr:colOff>1000125</xdr:colOff>
      <xdr:row>134</xdr:row>
      <xdr:rowOff>9525</xdr:rowOff>
    </xdr:to>
    <xdr:cxnSp macro="">
      <xdr:nvCxnSpPr>
        <xdr:cNvPr id="2" name="Straight Connector 1"/>
        <xdr:cNvCxnSpPr/>
      </xdr:nvCxnSpPr>
      <xdr:spPr>
        <a:xfrm flipV="1">
          <a:off x="9824951775" y="30545117"/>
          <a:ext cx="1569" cy="1558"/>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384811</xdr:colOff>
      <xdr:row>85</xdr:row>
      <xdr:rowOff>66675</xdr:rowOff>
    </xdr:from>
    <xdr:to>
      <xdr:col>8</xdr:col>
      <xdr:colOff>476251</xdr:colOff>
      <xdr:row>85</xdr:row>
      <xdr:rowOff>228600</xdr:rowOff>
    </xdr:to>
    <xdr:cxnSp macro="">
      <xdr:nvCxnSpPr>
        <xdr:cNvPr id="5" name="Straight Connector 4"/>
        <xdr:cNvCxnSpPr/>
      </xdr:nvCxnSpPr>
      <xdr:spPr>
        <a:xfrm flipH="1">
          <a:off x="9823437299" y="27555825"/>
          <a:ext cx="91440"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273326</xdr:colOff>
      <xdr:row>85</xdr:row>
      <xdr:rowOff>82826</xdr:rowOff>
    </xdr:from>
    <xdr:to>
      <xdr:col>9</xdr:col>
      <xdr:colOff>367666</xdr:colOff>
      <xdr:row>85</xdr:row>
      <xdr:rowOff>228600</xdr:rowOff>
    </xdr:to>
    <xdr:cxnSp macro="">
      <xdr:nvCxnSpPr>
        <xdr:cNvPr id="6" name="Straight Connector 5"/>
        <xdr:cNvCxnSpPr/>
      </xdr:nvCxnSpPr>
      <xdr:spPr>
        <a:xfrm flipH="1">
          <a:off x="9768240421" y="25924565"/>
          <a:ext cx="94340" cy="1457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352425</xdr:colOff>
      <xdr:row>0</xdr:row>
      <xdr:rowOff>76200</xdr:rowOff>
    </xdr:from>
    <xdr:to>
      <xdr:col>10</xdr:col>
      <xdr:colOff>66675</xdr:colOff>
      <xdr:row>0</xdr:row>
      <xdr:rowOff>209550</xdr:rowOff>
    </xdr:to>
    <xdr:cxnSp macro="">
      <xdr:nvCxnSpPr>
        <xdr:cNvPr id="4" name="Straight Connector 3"/>
        <xdr:cNvCxnSpPr/>
      </xdr:nvCxnSpPr>
      <xdr:spPr>
        <a:xfrm>
          <a:off x="9829180875"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428625</xdr:colOff>
      <xdr:row>0</xdr:row>
      <xdr:rowOff>76200</xdr:rowOff>
    </xdr:from>
    <xdr:to>
      <xdr:col>9</xdr:col>
      <xdr:colOff>28575</xdr:colOff>
      <xdr:row>0</xdr:row>
      <xdr:rowOff>209550</xdr:rowOff>
    </xdr:to>
    <xdr:cxnSp macro="">
      <xdr:nvCxnSpPr>
        <xdr:cNvPr id="7" name="Straight Connector 6"/>
        <xdr:cNvCxnSpPr/>
      </xdr:nvCxnSpPr>
      <xdr:spPr>
        <a:xfrm>
          <a:off x="9829590450"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152399</xdr:colOff>
      <xdr:row>80</xdr:row>
      <xdr:rowOff>57151</xdr:rowOff>
    </xdr:from>
    <xdr:to>
      <xdr:col>6</xdr:col>
      <xdr:colOff>219074</xdr:colOff>
      <xdr:row>82</xdr:row>
      <xdr:rowOff>457200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05" t="9177" r="401" b="3382"/>
        <a:stretch/>
      </xdr:blipFill>
      <xdr:spPr>
        <a:xfrm>
          <a:off x="9830428651" y="24993601"/>
          <a:ext cx="1276350" cy="1181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2</xdr:row>
      <xdr:rowOff>123825</xdr:rowOff>
    </xdr:from>
    <xdr:to>
      <xdr:col>14</xdr:col>
      <xdr:colOff>47626</xdr:colOff>
      <xdr:row>2</xdr:row>
      <xdr:rowOff>247650</xdr:rowOff>
    </xdr:to>
    <xdr:cxnSp macro="">
      <xdr:nvCxnSpPr>
        <xdr:cNvPr id="2" name="Straight Connector 1"/>
        <xdr:cNvCxnSpPr/>
      </xdr:nvCxnSpPr>
      <xdr:spPr>
        <a:xfrm flipH="1">
          <a:off x="9813416999" y="12763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261810</xdr:colOff>
      <xdr:row>4</xdr:row>
      <xdr:rowOff>171450</xdr:rowOff>
    </xdr:from>
    <xdr:to>
      <xdr:col>20</xdr:col>
      <xdr:colOff>330845</xdr:colOff>
      <xdr:row>4</xdr:row>
      <xdr:rowOff>171450</xdr:rowOff>
    </xdr:to>
    <xdr:cxnSp macro="">
      <xdr:nvCxnSpPr>
        <xdr:cNvPr id="4" name="Straight Connector 3"/>
        <xdr:cNvCxnSpPr/>
      </xdr:nvCxnSpPr>
      <xdr:spPr>
        <a:xfrm>
          <a:off x="9862891321" y="2002367"/>
          <a:ext cx="69035" cy="0"/>
        </a:xfrm>
        <a:prstGeom prst="line">
          <a:avLst/>
        </a:prstGeom>
        <a:ln w="285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296334</xdr:colOff>
      <xdr:row>2</xdr:row>
      <xdr:rowOff>127001</xdr:rowOff>
    </xdr:from>
    <xdr:to>
      <xdr:col>14</xdr:col>
      <xdr:colOff>343960</xdr:colOff>
      <xdr:row>2</xdr:row>
      <xdr:rowOff>250826</xdr:rowOff>
    </xdr:to>
    <xdr:cxnSp macro="">
      <xdr:nvCxnSpPr>
        <xdr:cNvPr id="5" name="Straight Connector 4"/>
        <xdr:cNvCxnSpPr/>
      </xdr:nvCxnSpPr>
      <xdr:spPr>
        <a:xfrm flipH="1">
          <a:off x="9870170123" y="1280584"/>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576;&#1606;&#1583;3-1&#1605;&#1602;&#1575;&#1604;&#1607;%20&#1593;&#1604;&#1605;&#1610;%20&#1662;&#1688;&#1608;&#1607;&#1588;&#1610;,ISI&#160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ند3-1مقاله علمي پژوهشي,ISIو.."/>
      <sheetName val="Data Base"/>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8"/>
  <sheetViews>
    <sheetView showGridLines="0" rightToLeft="1" tabSelected="1" zoomScaleNormal="100" zoomScaleSheetLayoutView="115" workbookViewId="0">
      <selection activeCell="H19" sqref="H19"/>
    </sheetView>
  </sheetViews>
  <sheetFormatPr defaultRowHeight="15"/>
  <cols>
    <col min="1" max="9" width="10" style="37" customWidth="1"/>
    <col min="10" max="16384" width="9.140625" style="37"/>
  </cols>
  <sheetData>
    <row r="1" spans="1:9" ht="22.5" customHeight="1">
      <c r="A1" s="986"/>
      <c r="B1" s="986"/>
      <c r="C1" s="986"/>
      <c r="D1" s="986"/>
      <c r="E1" s="986"/>
      <c r="F1" s="986"/>
      <c r="G1" s="986"/>
      <c r="H1" s="986"/>
      <c r="I1" s="986"/>
    </row>
    <row r="2" spans="1:9" ht="22.5" customHeight="1">
      <c r="A2" s="986"/>
      <c r="B2" s="986"/>
      <c r="C2" s="986"/>
      <c r="D2" s="986"/>
      <c r="E2" s="986"/>
      <c r="F2" s="986"/>
      <c r="G2" s="986"/>
      <c r="H2" s="986"/>
      <c r="I2" s="986"/>
    </row>
    <row r="3" spans="1:9" ht="22.5" customHeight="1">
      <c r="A3" s="986"/>
      <c r="B3" s="986"/>
      <c r="C3" s="986"/>
      <c r="D3" s="986"/>
      <c r="E3" s="986"/>
      <c r="F3" s="986"/>
      <c r="G3" s="986"/>
      <c r="H3" s="986"/>
      <c r="I3" s="986"/>
    </row>
    <row r="4" spans="1:9" ht="22.5" customHeight="1">
      <c r="A4" s="986"/>
      <c r="B4" s="986"/>
      <c r="C4" s="986"/>
      <c r="D4" s="986"/>
      <c r="E4" s="986"/>
      <c r="F4" s="986"/>
      <c r="G4" s="986"/>
      <c r="H4" s="986"/>
      <c r="I4" s="986"/>
    </row>
    <row r="5" spans="1:9" ht="22.5" customHeight="1">
      <c r="A5" s="986"/>
      <c r="B5" s="986"/>
      <c r="C5" s="986"/>
      <c r="D5" s="986"/>
      <c r="E5" s="986"/>
      <c r="F5" s="986"/>
      <c r="G5" s="986"/>
      <c r="H5" s="986"/>
      <c r="I5" s="986"/>
    </row>
    <row r="6" spans="1:9" ht="22.5" customHeight="1">
      <c r="A6" s="986"/>
      <c r="B6" s="986"/>
      <c r="C6" s="986"/>
      <c r="D6" s="986"/>
      <c r="E6" s="986"/>
      <c r="F6" s="986"/>
      <c r="G6" s="986"/>
      <c r="H6" s="986"/>
      <c r="I6" s="986"/>
    </row>
    <row r="7" spans="1:9" ht="22.5" customHeight="1">
      <c r="A7" s="986"/>
      <c r="B7" s="986"/>
      <c r="C7" s="986"/>
      <c r="D7" s="986"/>
      <c r="E7" s="986"/>
      <c r="F7" s="986"/>
      <c r="G7" s="986"/>
      <c r="H7" s="986"/>
      <c r="I7" s="986"/>
    </row>
    <row r="8" spans="1:9" ht="22.5" customHeight="1">
      <c r="A8" s="986"/>
      <c r="B8" s="986"/>
      <c r="C8" s="986"/>
      <c r="D8" s="986"/>
      <c r="E8" s="986"/>
      <c r="F8" s="986"/>
      <c r="G8" s="986"/>
      <c r="H8" s="986"/>
      <c r="I8" s="986"/>
    </row>
    <row r="9" spans="1:9" ht="22.5" customHeight="1">
      <c r="A9" s="986"/>
      <c r="B9" s="986"/>
      <c r="C9" s="986"/>
      <c r="D9" s="986"/>
      <c r="E9" s="986"/>
      <c r="F9" s="986"/>
      <c r="G9" s="986"/>
      <c r="H9" s="986"/>
      <c r="I9" s="986"/>
    </row>
    <row r="10" spans="1:9" ht="31.5" customHeight="1">
      <c r="A10" s="986"/>
      <c r="B10" s="986"/>
      <c r="C10" s="986"/>
      <c r="D10" s="986"/>
      <c r="E10" s="986"/>
      <c r="F10" s="986"/>
      <c r="G10" s="986"/>
      <c r="H10" s="986"/>
      <c r="I10" s="986"/>
    </row>
    <row r="11" spans="1:9" ht="22.5" customHeight="1">
      <c r="A11" s="985" t="s">
        <v>973</v>
      </c>
      <c r="B11" s="985"/>
      <c r="C11" s="985"/>
      <c r="D11" s="985"/>
      <c r="E11" s="985"/>
      <c r="F11" s="985"/>
      <c r="G11" s="985"/>
      <c r="H11" s="985"/>
      <c r="I11" s="985"/>
    </row>
    <row r="12" spans="1:9" ht="4.5" customHeight="1">
      <c r="A12" s="987"/>
      <c r="B12" s="987"/>
      <c r="C12" s="987"/>
      <c r="D12" s="987"/>
      <c r="E12" s="987"/>
      <c r="F12" s="987"/>
      <c r="G12" s="987"/>
      <c r="H12" s="987"/>
      <c r="I12" s="987"/>
    </row>
    <row r="13" spans="1:9" ht="22.5" customHeight="1">
      <c r="A13" s="988" t="s">
        <v>974</v>
      </c>
      <c r="B13" s="988"/>
      <c r="C13" s="988"/>
      <c r="D13" s="988"/>
      <c r="E13" s="988"/>
      <c r="F13" s="988"/>
      <c r="G13" s="988"/>
      <c r="H13" s="988"/>
      <c r="I13" s="988"/>
    </row>
    <row r="14" spans="1:9" ht="87.75" customHeight="1">
      <c r="A14" s="989" t="s">
        <v>1008</v>
      </c>
      <c r="B14" s="989"/>
      <c r="C14" s="989"/>
      <c r="D14" s="989"/>
      <c r="E14" s="989"/>
      <c r="F14" s="989"/>
      <c r="G14" s="989"/>
      <c r="H14" s="989"/>
      <c r="I14" s="989"/>
    </row>
    <row r="15" spans="1:9" ht="138.75" customHeight="1">
      <c r="A15" s="990" t="s">
        <v>975</v>
      </c>
      <c r="B15" s="990"/>
      <c r="C15" s="990"/>
      <c r="D15" s="990"/>
      <c r="E15" s="990"/>
      <c r="F15" s="990"/>
      <c r="G15" s="990"/>
      <c r="H15" s="990"/>
      <c r="I15" s="990"/>
    </row>
    <row r="16" spans="1:9" ht="17.25" customHeight="1">
      <c r="A16" s="346"/>
      <c r="B16" s="346"/>
      <c r="C16" s="346"/>
      <c r="D16" s="346"/>
      <c r="E16" s="346"/>
      <c r="F16" s="346"/>
      <c r="G16" s="346"/>
      <c r="H16" s="984" t="s">
        <v>976</v>
      </c>
      <c r="I16" s="984"/>
    </row>
    <row r="17" spans="1:9" ht="17.25" customHeight="1">
      <c r="A17" s="347"/>
      <c r="B17" s="347"/>
      <c r="C17" s="347"/>
      <c r="D17" s="347"/>
      <c r="E17" s="347"/>
      <c r="F17" s="347"/>
      <c r="G17" s="347"/>
      <c r="H17" s="983" t="s">
        <v>1334</v>
      </c>
      <c r="I17" s="983"/>
    </row>
    <row r="18" spans="1:9" ht="17.25" customHeight="1">
      <c r="A18" s="347"/>
      <c r="B18" s="347"/>
      <c r="C18" s="347"/>
      <c r="D18" s="347"/>
      <c r="E18" s="347"/>
      <c r="F18" s="347"/>
      <c r="G18" s="347"/>
      <c r="H18" s="983" t="s">
        <v>1349</v>
      </c>
      <c r="I18" s="983"/>
    </row>
  </sheetData>
  <sheetProtection algorithmName="SHA-512" hashValue="+jd+B2JKfwBDYK1J3QAQoJPMM76xVyWaZyQPMod9jmL4EfbbYVBsytnNUHM6MaIRPVdErymPqdcEJPSgQ4VLLQ==" saltValue="DJqqwTLIdED3yTQJGfTbfQ==" spinCount="100000" sheet="1" objects="1" scenarios="1" selectLockedCells="1" selectUnlockedCells="1"/>
  <mergeCells count="9">
    <mergeCell ref="H17:I17"/>
    <mergeCell ref="H18:I18"/>
    <mergeCell ref="H16:I16"/>
    <mergeCell ref="A11:I11"/>
    <mergeCell ref="A1:I10"/>
    <mergeCell ref="A12:I12"/>
    <mergeCell ref="A13:I13"/>
    <mergeCell ref="A14:I14"/>
    <mergeCell ref="A15:I15"/>
  </mergeCells>
  <pageMargins left="0.25" right="0.25" top="0.5" bottom="0" header="0"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K9" sqref="K9:L9"/>
    </sheetView>
  </sheetViews>
  <sheetFormatPr defaultColWidth="9.140625" defaultRowHeight="15"/>
  <cols>
    <col min="1" max="1" width="2.85546875" style="11" customWidth="1"/>
    <col min="2" max="2" width="3.7109375" style="11" customWidth="1"/>
    <col min="3" max="6" width="5.42578125" style="11" customWidth="1"/>
    <col min="7" max="7" width="8.85546875" style="11" customWidth="1"/>
    <col min="8" max="10" width="10.42578125" style="11" customWidth="1"/>
    <col min="11" max="12" width="4.85546875" style="11" customWidth="1"/>
    <col min="13" max="14" width="7.5703125" style="11" customWidth="1"/>
    <col min="15" max="16" width="6.42578125" style="11" customWidth="1"/>
    <col min="17" max="17" width="5.28515625" style="11" customWidth="1"/>
    <col min="18" max="18" width="6.42578125" style="11" customWidth="1"/>
    <col min="19" max="19" width="7.140625" style="11" customWidth="1"/>
    <col min="20" max="20" width="3.28515625" style="11" customWidth="1"/>
    <col min="21" max="21" width="3.42578125" style="11" customWidth="1"/>
    <col min="22" max="25" width="7" style="11" hidden="1" customWidth="1"/>
    <col min="26" max="26" width="7" style="11" customWidth="1"/>
    <col min="27"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f>IF(SUMIF(H6:H15,'Data Base'!AA41,Q6:Q15)&gt;2,2,SUMIF(H6:H15,'Data Base'!AA41,Q6:Q15))</f>
        <v>0</v>
      </c>
      <c r="X1" s="37">
        <f>IF(SUMIF(H6:H15,'Data Base'!$AA$42,Q6:Q15)&gt;2,2,SUMIF(H6:H15,'Data Base'!$AA$42,Q6:Q15))</f>
        <v>0</v>
      </c>
      <c r="Y1" s="37">
        <f>IF(SUMIF(H6:H15,'Data Base'!$AA$43,Q6:Q15)&gt;2,2,SUMIF(H6:H15,'Data Base'!$AA$43,Q6:Q15))</f>
        <v>0</v>
      </c>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37">
        <f>IF(SUMIF(H6:H15,'Data Base'!AA42,S6:S15)&gt;2,2,SUMIF(H6:H15,'Data Base'!AA42,S6:S15))</f>
        <v>0</v>
      </c>
      <c r="X2" s="37">
        <f>IF(SUMIF(H6:H15,'Data Base'!$AA$42,S6:S15)&gt;2,2,SUMIF(H6:H15,'Data Base'!$AA$42,S6:S15))</f>
        <v>0</v>
      </c>
      <c r="Y2" s="37">
        <f>IF(SUMIF(H6:H15,'Data Base'!$AA$43,S6:S15)&gt;2,2,SUMIF(H6:H15,'Data Base'!$AA$43,S6:S15))</f>
        <v>0</v>
      </c>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174" t="s">
        <v>593</v>
      </c>
      <c r="B3" s="1174"/>
      <c r="C3" s="1118"/>
      <c r="D3" s="1118"/>
      <c r="E3" s="1118"/>
      <c r="F3" s="1118"/>
      <c r="G3" s="1118"/>
      <c r="H3" s="1118"/>
      <c r="I3" s="1118"/>
      <c r="J3" s="1118"/>
      <c r="K3" s="1118"/>
      <c r="L3" s="1118"/>
      <c r="M3" s="1118"/>
      <c r="N3" s="1118"/>
      <c r="O3" s="1118"/>
      <c r="P3" s="1118"/>
      <c r="Q3" s="1118"/>
      <c r="R3" s="1118"/>
      <c r="S3" s="1119" t="s">
        <v>594</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240</v>
      </c>
      <c r="C4" s="1123"/>
      <c r="D4" s="1123"/>
      <c r="E4" s="1123"/>
      <c r="F4" s="1123"/>
      <c r="G4" s="1124"/>
      <c r="H4" s="1130" t="s">
        <v>367</v>
      </c>
      <c r="I4" s="1130"/>
      <c r="J4" s="1136"/>
      <c r="K4" s="1122" t="s">
        <v>456</v>
      </c>
      <c r="L4" s="1136"/>
      <c r="M4" s="1122" t="s">
        <v>501</v>
      </c>
      <c r="N4" s="1136"/>
      <c r="O4" s="1122" t="s">
        <v>1313</v>
      </c>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c r="A5" s="1121"/>
      <c r="B5" s="1125"/>
      <c r="C5" s="1126"/>
      <c r="D5" s="1126"/>
      <c r="E5" s="1126"/>
      <c r="F5" s="1126"/>
      <c r="G5" s="1127"/>
      <c r="H5" s="1132"/>
      <c r="I5" s="1132"/>
      <c r="J5" s="1137"/>
      <c r="K5" s="1131"/>
      <c r="L5" s="1137"/>
      <c r="M5" s="1131"/>
      <c r="N5" s="1137"/>
      <c r="O5" s="1131"/>
      <c r="P5" s="1132"/>
      <c r="Q5" s="847" t="s">
        <v>1268</v>
      </c>
      <c r="R5" s="838" t="s">
        <v>1163</v>
      </c>
      <c r="S5" s="838"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c r="A6" s="151">
        <v>1</v>
      </c>
      <c r="B6" s="1160"/>
      <c r="C6" s="1201"/>
      <c r="D6" s="1201"/>
      <c r="E6" s="1201"/>
      <c r="F6" s="1201"/>
      <c r="G6" s="1161"/>
      <c r="H6" s="1201"/>
      <c r="I6" s="1201"/>
      <c r="J6" s="1161"/>
      <c r="K6" s="1160"/>
      <c r="L6" s="1161"/>
      <c r="M6" s="1249" t="str">
        <f>IF(H6='Data Base'!$AA$41,'Data Base'!$AD$41,IF(H6='Data Base'!$AA$42,'Data Base'!$AD$42,IF(H6='Data Base'!$AA$43,'Data Base'!$AD$43,"")))</f>
        <v/>
      </c>
      <c r="N6" s="1250"/>
      <c r="O6" s="1180"/>
      <c r="P6" s="1195"/>
      <c r="Q6" s="811">
        <f>IF(R6='Data Base'!$Q$79,0,IF(H6='Data Base'!$AA$41,'Data Base'!$AB$41,IF(H6='Data Base'!$AA$42,'Data Base'!$AB$42,IF(H6='Data Base'!$AA$43,'Data Base'!$AB$43,))))</f>
        <v>0</v>
      </c>
      <c r="R6" s="875"/>
      <c r="S6" s="764"/>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c r="A7" s="152">
        <v>2</v>
      </c>
      <c r="B7" s="1202"/>
      <c r="C7" s="1203"/>
      <c r="D7" s="1203"/>
      <c r="E7" s="1203"/>
      <c r="F7" s="1203"/>
      <c r="G7" s="1204"/>
      <c r="H7" s="1203"/>
      <c r="I7" s="1203"/>
      <c r="J7" s="1204"/>
      <c r="K7" s="1202"/>
      <c r="L7" s="1204"/>
      <c r="M7" s="1165" t="str">
        <f>IF(H7='Data Base'!$AA$41,'Data Base'!$AD$41,IF(H7='Data Base'!$AA$42,'Data Base'!$AD$42,IF(H7='Data Base'!$AA$43,'Data Base'!$AD$43,"")))</f>
        <v/>
      </c>
      <c r="N7" s="1166"/>
      <c r="O7" s="1157"/>
      <c r="P7" s="1157"/>
      <c r="Q7" s="809">
        <f>IF(R7='Data Base'!$Q$79,0,IF(H7='Data Base'!$AA$41,'Data Base'!$AB$41,IF(H7='Data Base'!$AA$42,'Data Base'!$AB$42,IF(H7='Data Base'!$AA$43,'Data Base'!$AB$43,))))</f>
        <v>0</v>
      </c>
      <c r="R7" s="842"/>
      <c r="S7" s="766"/>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c r="A8" s="152">
        <v>3</v>
      </c>
      <c r="B8" s="1202"/>
      <c r="C8" s="1203"/>
      <c r="D8" s="1203"/>
      <c r="E8" s="1203"/>
      <c r="F8" s="1203"/>
      <c r="G8" s="1204"/>
      <c r="H8" s="1203"/>
      <c r="I8" s="1203"/>
      <c r="J8" s="1204"/>
      <c r="K8" s="1202"/>
      <c r="L8" s="1204"/>
      <c r="M8" s="1165" t="str">
        <f>IF(H8='Data Base'!$AA$41,'Data Base'!$AD$41,IF(H8='Data Base'!$AA$42,'Data Base'!$AD$42,IF(H8='Data Base'!$AA$43,'Data Base'!$AD$43,"")))</f>
        <v/>
      </c>
      <c r="N8" s="1166"/>
      <c r="O8" s="1157"/>
      <c r="P8" s="1157"/>
      <c r="Q8" s="809">
        <f>IF(R8='Data Base'!$Q$79,0,IF(H8='Data Base'!$AA$41,'Data Base'!$AB$41,IF(H8='Data Base'!$AA$42,'Data Base'!$AB$42,IF(H8='Data Base'!$AA$43,'Data Base'!$AB$43,))))</f>
        <v>0</v>
      </c>
      <c r="R8" s="842"/>
      <c r="S8" s="766"/>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c r="A9" s="152">
        <v>4</v>
      </c>
      <c r="B9" s="1202"/>
      <c r="C9" s="1203"/>
      <c r="D9" s="1203"/>
      <c r="E9" s="1203"/>
      <c r="F9" s="1203"/>
      <c r="G9" s="1204"/>
      <c r="H9" s="1203"/>
      <c r="I9" s="1203"/>
      <c r="J9" s="1204"/>
      <c r="K9" s="1202"/>
      <c r="L9" s="1204"/>
      <c r="M9" s="1165" t="str">
        <f>IF(H9='Data Base'!$AA$41,'Data Base'!$AD$41,IF(H9='Data Base'!$AA$42,'Data Base'!$AD$42,IF(H9='Data Base'!$AA$43,'Data Base'!$AD$43,"")))</f>
        <v/>
      </c>
      <c r="N9" s="1166"/>
      <c r="O9" s="1157"/>
      <c r="P9" s="1157"/>
      <c r="Q9" s="809">
        <f>IF(R9='Data Base'!$Q$79,0,IF(H9='Data Base'!$AA$41,'Data Base'!$AB$41,IF(H9='Data Base'!$AA$42,'Data Base'!$AB$42,IF(H9='Data Base'!$AA$43,'Data Base'!$AB$43,))))</f>
        <v>0</v>
      </c>
      <c r="R9" s="842"/>
      <c r="S9" s="766"/>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c r="A10" s="152">
        <v>5</v>
      </c>
      <c r="B10" s="1202"/>
      <c r="C10" s="1203"/>
      <c r="D10" s="1203"/>
      <c r="E10" s="1203"/>
      <c r="F10" s="1203"/>
      <c r="G10" s="1204"/>
      <c r="H10" s="1203"/>
      <c r="I10" s="1203"/>
      <c r="J10" s="1204"/>
      <c r="K10" s="1202"/>
      <c r="L10" s="1204"/>
      <c r="M10" s="1165" t="str">
        <f>IF(H10='Data Base'!$AA$41,'Data Base'!$AD$41,IF(H10='Data Base'!$AA$42,'Data Base'!$AD$42,IF(H10='Data Base'!$AA$43,'Data Base'!$AD$43,"")))</f>
        <v/>
      </c>
      <c r="N10" s="1166"/>
      <c r="O10" s="1157"/>
      <c r="P10" s="1157"/>
      <c r="Q10" s="809">
        <f>IF(R10='Data Base'!$Q$79,0,IF(H10='Data Base'!$AA$41,'Data Base'!$AB$41,IF(H10='Data Base'!$AA$42,'Data Base'!$AB$42,IF(H10='Data Base'!$AA$43,'Data Base'!$AB$43,))))</f>
        <v>0</v>
      </c>
      <c r="R10" s="842"/>
      <c r="S10" s="766"/>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 customHeight="1">
      <c r="A11" s="152">
        <v>2</v>
      </c>
      <c r="B11" s="1202"/>
      <c r="C11" s="1203"/>
      <c r="D11" s="1203"/>
      <c r="E11" s="1203"/>
      <c r="F11" s="1203"/>
      <c r="G11" s="1204"/>
      <c r="H11" s="1203"/>
      <c r="I11" s="1203"/>
      <c r="J11" s="1204"/>
      <c r="K11" s="1202"/>
      <c r="L11" s="1204"/>
      <c r="M11" s="1165" t="str">
        <f>IF(H11='Data Base'!$AA$41,'Data Base'!$AD$41,IF(H11='Data Base'!$AA$42,'Data Base'!$AD$42,IF(H11='Data Base'!$AA$43,'Data Base'!$AD$43,"")))</f>
        <v/>
      </c>
      <c r="N11" s="1166"/>
      <c r="O11" s="1157"/>
      <c r="P11" s="1157"/>
      <c r="Q11" s="809">
        <f>IF(R11='Data Base'!$Q$79,0,IF(H11='Data Base'!$AA$41,'Data Base'!$AB$41,IF(H11='Data Base'!$AA$42,'Data Base'!$AB$42,IF(H11='Data Base'!$AA$43,'Data Base'!$AB$43,))))</f>
        <v>0</v>
      </c>
      <c r="R11" s="842"/>
      <c r="S11" s="766"/>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 customHeight="1">
      <c r="A12" s="152">
        <v>7</v>
      </c>
      <c r="B12" s="1202"/>
      <c r="C12" s="1203"/>
      <c r="D12" s="1203"/>
      <c r="E12" s="1203"/>
      <c r="F12" s="1203"/>
      <c r="G12" s="1204"/>
      <c r="H12" s="1203"/>
      <c r="I12" s="1203"/>
      <c r="J12" s="1204"/>
      <c r="K12" s="1202"/>
      <c r="L12" s="1204"/>
      <c r="M12" s="1165" t="str">
        <f>IF(H12='Data Base'!$AA$41,'Data Base'!$AD$41,IF(H12='Data Base'!$AA$42,'Data Base'!$AD$42,IF(H12='Data Base'!$AA$43,'Data Base'!$AD$43,"")))</f>
        <v/>
      </c>
      <c r="N12" s="1166"/>
      <c r="O12" s="1157"/>
      <c r="P12" s="1157"/>
      <c r="Q12" s="809">
        <f>IF(R12='Data Base'!$Q$79,0,IF(H12='Data Base'!$AA$41,'Data Base'!$AB$41,IF(H12='Data Base'!$AA$42,'Data Base'!$AB$42,IF(H12='Data Base'!$AA$43,'Data Base'!$AB$43,))))</f>
        <v>0</v>
      </c>
      <c r="R12" s="842"/>
      <c r="S12" s="766"/>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c r="A13" s="152">
        <v>8</v>
      </c>
      <c r="B13" s="1202"/>
      <c r="C13" s="1203"/>
      <c r="D13" s="1203"/>
      <c r="E13" s="1203"/>
      <c r="F13" s="1203"/>
      <c r="G13" s="1204"/>
      <c r="H13" s="1203"/>
      <c r="I13" s="1203"/>
      <c r="J13" s="1204"/>
      <c r="K13" s="1202"/>
      <c r="L13" s="1204"/>
      <c r="M13" s="1165" t="str">
        <f>IF(H13='Data Base'!$AA$41,'Data Base'!$AD$41,IF(H13='Data Base'!$AA$42,'Data Base'!$AD$42,IF(H13='Data Base'!$AA$43,'Data Base'!$AD$43,"")))</f>
        <v/>
      </c>
      <c r="N13" s="1166"/>
      <c r="O13" s="1157"/>
      <c r="P13" s="1157"/>
      <c r="Q13" s="809">
        <f>IF(R13='Data Base'!$Q$79,0,IF(H13='Data Base'!$AA$41,'Data Base'!$AB$41,IF(H13='Data Base'!$AA$42,'Data Base'!$AB$42,IF(H13='Data Base'!$AA$43,'Data Base'!$AB$43,))))</f>
        <v>0</v>
      </c>
      <c r="R13" s="842"/>
      <c r="S13" s="766"/>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 customHeight="1">
      <c r="A14" s="152">
        <v>9</v>
      </c>
      <c r="B14" s="1202"/>
      <c r="C14" s="1203"/>
      <c r="D14" s="1203"/>
      <c r="E14" s="1203"/>
      <c r="F14" s="1203"/>
      <c r="G14" s="1204"/>
      <c r="H14" s="1203"/>
      <c r="I14" s="1203"/>
      <c r="J14" s="1204"/>
      <c r="K14" s="1202"/>
      <c r="L14" s="1204"/>
      <c r="M14" s="1165" t="str">
        <f>IF(H14='Data Base'!$AA$41,'Data Base'!$AD$41,IF(H14='Data Base'!$AA$42,'Data Base'!$AD$42,IF(H14='Data Base'!$AA$43,'Data Base'!$AD$43,"")))</f>
        <v/>
      </c>
      <c r="N14" s="1166"/>
      <c r="O14" s="1157"/>
      <c r="P14" s="1157"/>
      <c r="Q14" s="809">
        <f>IF(R14='Data Base'!$Q$79,0,IF(H14='Data Base'!$AA$41,'Data Base'!$AB$41,IF(H14='Data Base'!$AA$42,'Data Base'!$AB$42,IF(H14='Data Base'!$AA$43,'Data Base'!$AB$43,))))</f>
        <v>0</v>
      </c>
      <c r="R14" s="842"/>
      <c r="S14" s="766"/>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 customHeight="1" thickBot="1">
      <c r="A15" s="152">
        <v>10</v>
      </c>
      <c r="B15" s="1255"/>
      <c r="C15" s="1256"/>
      <c r="D15" s="1256"/>
      <c r="E15" s="1256"/>
      <c r="F15" s="1256"/>
      <c r="G15" s="1257"/>
      <c r="H15" s="1203"/>
      <c r="I15" s="1203"/>
      <c r="J15" s="1204"/>
      <c r="K15" s="1255"/>
      <c r="L15" s="1257"/>
      <c r="M15" s="1170" t="str">
        <f>IF(H15='Data Base'!$AA$41,'Data Base'!$AD$41,IF(H15='Data Base'!$AA$42,'Data Base'!$AD$42,IF(H15='Data Base'!$AA$43,'Data Base'!$AD$43,"")))</f>
        <v/>
      </c>
      <c r="N15" s="1171"/>
      <c r="O15" s="1160"/>
      <c r="P15" s="1201"/>
      <c r="Q15" s="812">
        <f>IF(R15='Data Base'!$Q$79,0,IF(H15='Data Base'!$AA$41,'Data Base'!$AB$41,IF(H15='Data Base'!$AA$42,'Data Base'!$AB$42,IF(H15='Data Base'!$AA$43,'Data Base'!$AB$43,))))</f>
        <v>0</v>
      </c>
      <c r="R15" s="876"/>
      <c r="S15" s="766"/>
      <c r="T15" s="1104"/>
      <c r="U15" s="110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270</v>
      </c>
      <c r="B16" s="1144"/>
      <c r="C16" s="1144"/>
      <c r="D16" s="1144"/>
      <c r="E16" s="1144"/>
      <c r="F16" s="1144"/>
      <c r="G16" s="1144"/>
      <c r="H16" s="1144"/>
      <c r="I16" s="1144"/>
      <c r="J16" s="1144"/>
      <c r="K16" s="1144"/>
      <c r="L16" s="215">
        <f>SUM(Q6:Q15)</f>
        <v>0</v>
      </c>
      <c r="M16" s="1189" t="s">
        <v>845</v>
      </c>
      <c r="N16" s="1205"/>
      <c r="O16" s="1205"/>
      <c r="P16" s="1205"/>
      <c r="Q16" s="1205"/>
      <c r="R16" s="807">
        <f>IF(SUM(W1:Y1)&gt;6,6,SUM(W1:Y1))</f>
        <v>0</v>
      </c>
      <c r="S16" s="807">
        <f>IF(SUM(W2:Y2)&gt;6,6,SUM(W2:Y2))</f>
        <v>0</v>
      </c>
      <c r="T16" s="1102"/>
      <c r="U16" s="110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096" t="s">
        <v>592</v>
      </c>
      <c r="B19" s="1097"/>
      <c r="C19" s="1097"/>
      <c r="D19" s="1097"/>
      <c r="E19" s="1097"/>
      <c r="F19" s="1097"/>
      <c r="G19" s="1097"/>
      <c r="H19" s="1097"/>
      <c r="I19" s="1097"/>
      <c r="J19" s="1097"/>
      <c r="K19" s="1097"/>
      <c r="L19" s="1097"/>
      <c r="M19" s="1097"/>
      <c r="N19" s="1097"/>
      <c r="O19" s="1097"/>
      <c r="P19" s="1097"/>
      <c r="Q19" s="1097"/>
      <c r="R19" s="1097"/>
      <c r="S19" s="1097"/>
      <c r="T19" s="1097"/>
      <c r="U19" s="1097"/>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2NeeA3SLxxCj/wuSqOYqDscW6f0IksWqQldeDERD/0XuATNjpb9TfG6QlZ5HD64+KbhAd+TUf8XazQjtKS5eZA==" saltValue="Up32KbIx/xrhFvWwOqcWKQ==" spinCount="100000" sheet="1" objects="1" scenarios="1" formatCells="0" formatRows="0" selectLockedCells="1"/>
  <mergeCells count="87">
    <mergeCell ref="A18:K18"/>
    <mergeCell ref="L18:U18"/>
    <mergeCell ref="A19:U19"/>
    <mergeCell ref="A16:K16"/>
    <mergeCell ref="M16:Q16"/>
    <mergeCell ref="T15:U15"/>
    <mergeCell ref="T16:U16"/>
    <mergeCell ref="A17:K17"/>
    <mergeCell ref="L17:U17"/>
    <mergeCell ref="B15:G15"/>
    <mergeCell ref="H15:J15"/>
    <mergeCell ref="K15:L15"/>
    <mergeCell ref="M15:N15"/>
    <mergeCell ref="O15:P15"/>
    <mergeCell ref="T13:U13"/>
    <mergeCell ref="B14:G14"/>
    <mergeCell ref="H14:J14"/>
    <mergeCell ref="K14:L14"/>
    <mergeCell ref="M14:N14"/>
    <mergeCell ref="T14:U14"/>
    <mergeCell ref="B13:G13"/>
    <mergeCell ref="H13:J13"/>
    <mergeCell ref="K13:L13"/>
    <mergeCell ref="M13:N13"/>
    <mergeCell ref="O13:P13"/>
    <mergeCell ref="O14:P14"/>
    <mergeCell ref="T11:U11"/>
    <mergeCell ref="B12:G12"/>
    <mergeCell ref="H12:J12"/>
    <mergeCell ref="K12:L12"/>
    <mergeCell ref="M12:N12"/>
    <mergeCell ref="T12:U12"/>
    <mergeCell ref="B11:G11"/>
    <mergeCell ref="H11:J11"/>
    <mergeCell ref="K11:L11"/>
    <mergeCell ref="M11:N11"/>
    <mergeCell ref="O11:P11"/>
    <mergeCell ref="O12:P12"/>
    <mergeCell ref="B10:G10"/>
    <mergeCell ref="H10:J10"/>
    <mergeCell ref="K10:L10"/>
    <mergeCell ref="M10:N10"/>
    <mergeCell ref="T10:U10"/>
    <mergeCell ref="O10:P10"/>
    <mergeCell ref="B7:G7"/>
    <mergeCell ref="H7:J7"/>
    <mergeCell ref="K7:L7"/>
    <mergeCell ref="M7:N7"/>
    <mergeCell ref="T9:U9"/>
    <mergeCell ref="B9:G9"/>
    <mergeCell ref="H9:J9"/>
    <mergeCell ref="K9:L9"/>
    <mergeCell ref="M9:N9"/>
    <mergeCell ref="O9:P9"/>
    <mergeCell ref="B8:G8"/>
    <mergeCell ref="H8:J8"/>
    <mergeCell ref="K8:L8"/>
    <mergeCell ref="M8:N8"/>
    <mergeCell ref="T8:U8"/>
    <mergeCell ref="O7:P7"/>
    <mergeCell ref="B6:G6"/>
    <mergeCell ref="H6:J6"/>
    <mergeCell ref="K6:L6"/>
    <mergeCell ref="O4:P5"/>
    <mergeCell ref="Q4:U4"/>
    <mergeCell ref="O6:P6"/>
    <mergeCell ref="H4:J5"/>
    <mergeCell ref="K4:L5"/>
    <mergeCell ref="M4:N5"/>
    <mergeCell ref="T5:U5"/>
    <mergeCell ref="T6:U6"/>
    <mergeCell ref="O8:P8"/>
    <mergeCell ref="T7:U7"/>
    <mergeCell ref="A1:B2"/>
    <mergeCell ref="C1:G1"/>
    <mergeCell ref="H1:L1"/>
    <mergeCell ref="M1:P1"/>
    <mergeCell ref="Q1:U1"/>
    <mergeCell ref="C2:G2"/>
    <mergeCell ref="H2:L2"/>
    <mergeCell ref="M2:P2"/>
    <mergeCell ref="Q2:U2"/>
    <mergeCell ref="M6:N6"/>
    <mergeCell ref="A3:R3"/>
    <mergeCell ref="S3:U3"/>
    <mergeCell ref="A4:A5"/>
    <mergeCell ref="B4:G5"/>
  </mergeCells>
  <conditionalFormatting sqref="B6:M6 O6">
    <cfRule type="containsBlanks" dxfId="211" priority="3">
      <formula>LEN(TRIM(B6))=0</formula>
    </cfRule>
  </conditionalFormatting>
  <conditionalFormatting sqref="B7:M15">
    <cfRule type="containsBlanks" dxfId="210" priority="2">
      <formula>LEN(TRIM(B7))=0</formula>
    </cfRule>
  </conditionalFormatting>
  <conditionalFormatting sqref="O7:O15">
    <cfRule type="containsBlanks" dxfId="209" priority="1">
      <formula>LEN(TRIM(O7))=0</formula>
    </cfRule>
  </conditionalFormatting>
  <dataValidations count="1">
    <dataValidation type="decimal" allowBlank="1" showInputMessage="1" showErrorMessage="1" errorTitle="خطا در ورود امتياز" error="لطفا يك عدد بين 1 و 2 وارد نماييد" promptTitle="توجه:" prompt="حداكثر امتياز در واحد كار يك تا 2 امتياز" sqref="S6:S15">
      <formula1>1</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Base'!$AC$41:$AC$42</xm:f>
          </x14:formula1>
          <xm:sqref>K6:L15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Base'!$AA$41:$AA$43</xm:f>
          </x14:formula1>
          <xm:sqref>H6:J15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CB40"/>
  <sheetViews>
    <sheetView showGridLines="0" rightToLeft="1" zoomScale="115" zoomScaleNormal="115" zoomScaleSheetLayoutView="100" workbookViewId="0">
      <pane ySplit="5" topLeftCell="A6" activePane="bottomLeft" state="frozen"/>
      <selection pane="bottomLeft" activeCell="M8" sqref="M8:N8"/>
    </sheetView>
  </sheetViews>
  <sheetFormatPr defaultColWidth="9.140625" defaultRowHeight="15"/>
  <cols>
    <col min="1" max="1" width="2.85546875" style="11" customWidth="1"/>
    <col min="2" max="2" width="3.7109375" style="11" customWidth="1"/>
    <col min="3" max="7" width="5.7109375" style="11" customWidth="1"/>
    <col min="8" max="8" width="3.5703125" style="11" customWidth="1"/>
    <col min="9" max="9" width="26.85546875" style="11" customWidth="1"/>
    <col min="10" max="11" width="4.140625" style="11" customWidth="1"/>
    <col min="12" max="12" width="8.7109375" style="11" customWidth="1"/>
    <col min="13" max="14" width="7.140625" style="11" customWidth="1"/>
    <col min="15" max="17" width="5.5703125" style="11" customWidth="1"/>
    <col min="18" max="19" width="7.42578125" style="11" customWidth="1"/>
    <col min="20" max="21" width="3.140625" style="11" customWidth="1"/>
    <col min="22"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174" t="s">
        <v>598</v>
      </c>
      <c r="B3" s="1174"/>
      <c r="C3" s="1118"/>
      <c r="D3" s="1118"/>
      <c r="E3" s="1118"/>
      <c r="F3" s="1118"/>
      <c r="G3" s="1118"/>
      <c r="H3" s="1118"/>
      <c r="I3" s="1118"/>
      <c r="J3" s="1118"/>
      <c r="K3" s="1118"/>
      <c r="L3" s="1118"/>
      <c r="M3" s="1118"/>
      <c r="N3" s="1118"/>
      <c r="O3" s="1118"/>
      <c r="P3" s="1118"/>
      <c r="Q3" s="1118"/>
      <c r="R3" s="1118"/>
      <c r="S3" s="1119" t="s">
        <v>599</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603</v>
      </c>
      <c r="C4" s="1130"/>
      <c r="D4" s="1130"/>
      <c r="E4" s="1130"/>
      <c r="F4" s="1130"/>
      <c r="G4" s="1130"/>
      <c r="H4" s="1136"/>
      <c r="I4" s="1136" t="s">
        <v>495</v>
      </c>
      <c r="J4" s="1122" t="s">
        <v>602</v>
      </c>
      <c r="K4" s="1136"/>
      <c r="L4" s="1136" t="s">
        <v>601</v>
      </c>
      <c r="M4" s="1122" t="s">
        <v>600</v>
      </c>
      <c r="N4" s="1136"/>
      <c r="O4" s="1122" t="s">
        <v>501</v>
      </c>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c r="A5" s="1121"/>
      <c r="B5" s="1131"/>
      <c r="C5" s="1132"/>
      <c r="D5" s="1132"/>
      <c r="E5" s="1132"/>
      <c r="F5" s="1132"/>
      <c r="G5" s="1132"/>
      <c r="H5" s="1137"/>
      <c r="I5" s="1137"/>
      <c r="J5" s="1131"/>
      <c r="K5" s="1137"/>
      <c r="L5" s="1137"/>
      <c r="M5" s="1131"/>
      <c r="N5" s="1137"/>
      <c r="O5" s="1131"/>
      <c r="P5" s="1132"/>
      <c r="Q5" s="847" t="s">
        <v>1268</v>
      </c>
      <c r="R5" s="838" t="s">
        <v>1163</v>
      </c>
      <c r="S5" s="838"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c r="A6" s="151">
        <v>1</v>
      </c>
      <c r="B6" s="1167"/>
      <c r="C6" s="1168"/>
      <c r="D6" s="1168"/>
      <c r="E6" s="1168"/>
      <c r="F6" s="1168"/>
      <c r="G6" s="1168"/>
      <c r="H6" s="1169"/>
      <c r="I6" s="835"/>
      <c r="J6" s="1160"/>
      <c r="K6" s="1161"/>
      <c r="L6" s="965"/>
      <c r="M6" s="1160"/>
      <c r="N6" s="1161"/>
      <c r="O6" s="1258" t="str">
        <f>IF(B6="","",'Data Base'!$AH$41)</f>
        <v/>
      </c>
      <c r="P6" s="1259"/>
      <c r="Q6" s="811">
        <f>IF(R6='Data Base'!$Q$79,0,IF(I6='Data Base'!$AE$41,L6/'Data Base'!$AF$41*'Data Base'!$AG$41,IF(I6='Data Base'!$AE$42,L6/'Data Base'!$AF$42*'Data Base'!$AG$42,IF(I6='Data Base'!$AE$43,'Data Base'!$AF$43,))))</f>
        <v>0</v>
      </c>
      <c r="R6" s="848"/>
      <c r="S6" s="787"/>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c r="A7" s="152">
        <v>2</v>
      </c>
      <c r="B7" s="1164"/>
      <c r="C7" s="1164"/>
      <c r="D7" s="1164"/>
      <c r="E7" s="1164"/>
      <c r="F7" s="1164"/>
      <c r="G7" s="1164"/>
      <c r="H7" s="1164"/>
      <c r="I7" s="795"/>
      <c r="J7" s="1202"/>
      <c r="K7" s="1204"/>
      <c r="L7" s="965"/>
      <c r="M7" s="1202"/>
      <c r="N7" s="1204"/>
      <c r="O7" s="1258" t="str">
        <f>IF(B7="","",'Data Base'!$AH$41)</f>
        <v/>
      </c>
      <c r="P7" s="1259"/>
      <c r="Q7" s="809">
        <f>IF(R7='Data Base'!$Q$79,0,IF(I7='Data Base'!$AE$41,L7/'Data Base'!$AF$41*'Data Base'!$AG$41,IF(I7='Data Base'!$AE$42,L7/'Data Base'!$AF$42*'Data Base'!$AG$42,IF(I7='Data Base'!$AE$43,'Data Base'!$AF$43,))))</f>
        <v>0</v>
      </c>
      <c r="R7" s="842"/>
      <c r="S7" s="788"/>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c r="A8" s="152">
        <v>3</v>
      </c>
      <c r="B8" s="1164"/>
      <c r="C8" s="1164"/>
      <c r="D8" s="1164"/>
      <c r="E8" s="1164"/>
      <c r="F8" s="1164"/>
      <c r="G8" s="1164"/>
      <c r="H8" s="1164"/>
      <c r="I8" s="795"/>
      <c r="J8" s="1202"/>
      <c r="K8" s="1204"/>
      <c r="L8" s="965"/>
      <c r="M8" s="1202"/>
      <c r="N8" s="1204"/>
      <c r="O8" s="1258" t="str">
        <f>IF(B8="","",'Data Base'!$AH$41)</f>
        <v/>
      </c>
      <c r="P8" s="1259"/>
      <c r="Q8" s="809">
        <f>IF(R8='Data Base'!$Q$79,0,IF(I8='Data Base'!$AE$41,L8/'Data Base'!$AF$41*'Data Base'!$AG$41,IF(I8='Data Base'!$AE$42,L8/'Data Base'!$AF$42*'Data Base'!$AG$42,IF(I8='Data Base'!$AE$43,'Data Base'!$AF$43,))))</f>
        <v>0</v>
      </c>
      <c r="R8" s="842"/>
      <c r="S8" s="788"/>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c r="A9" s="151">
        <v>4</v>
      </c>
      <c r="B9" s="1164"/>
      <c r="C9" s="1164"/>
      <c r="D9" s="1164"/>
      <c r="E9" s="1164"/>
      <c r="F9" s="1164"/>
      <c r="G9" s="1164"/>
      <c r="H9" s="1164"/>
      <c r="I9" s="795"/>
      <c r="J9" s="1202"/>
      <c r="K9" s="1204"/>
      <c r="L9" s="965"/>
      <c r="M9" s="1202"/>
      <c r="N9" s="1204"/>
      <c r="O9" s="1258" t="str">
        <f>IF(B9="","",'Data Base'!$AH$41)</f>
        <v/>
      </c>
      <c r="P9" s="1259"/>
      <c r="Q9" s="809">
        <f>IF(R9='Data Base'!$Q$79,0,IF(I9='Data Base'!$AE$41,L9/'Data Base'!$AF$41*'Data Base'!$AG$41,IF(I9='Data Base'!$AE$42,L9/'Data Base'!$AF$42*'Data Base'!$AG$42,IF(I9='Data Base'!$AE$43,'Data Base'!$AF$43,))))</f>
        <v>0</v>
      </c>
      <c r="R9" s="842"/>
      <c r="S9" s="788"/>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c r="A10" s="152">
        <v>5</v>
      </c>
      <c r="B10" s="1164"/>
      <c r="C10" s="1164"/>
      <c r="D10" s="1164"/>
      <c r="E10" s="1164"/>
      <c r="F10" s="1164"/>
      <c r="G10" s="1164"/>
      <c r="H10" s="1164"/>
      <c r="I10" s="795"/>
      <c r="J10" s="1202"/>
      <c r="K10" s="1204"/>
      <c r="L10" s="965"/>
      <c r="M10" s="1202"/>
      <c r="N10" s="1204"/>
      <c r="O10" s="1258" t="str">
        <f>IF(B10="","",'Data Base'!$AH$41)</f>
        <v/>
      </c>
      <c r="P10" s="1259"/>
      <c r="Q10" s="809">
        <f>IF(R10='Data Base'!$Q$79,0,IF(I10='Data Base'!$AE$41,L10/'Data Base'!$AF$41*'Data Base'!$AG$41,IF(I10='Data Base'!$AE$42,L10/'Data Base'!$AF$42*'Data Base'!$AG$42,IF(I10='Data Base'!$AE$43,'Data Base'!$AF$43,))))</f>
        <v>0</v>
      </c>
      <c r="R10" s="842"/>
      <c r="S10" s="788"/>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 customHeight="1">
      <c r="A11" s="152">
        <v>6</v>
      </c>
      <c r="B11" s="1164"/>
      <c r="C11" s="1164"/>
      <c r="D11" s="1164"/>
      <c r="E11" s="1164"/>
      <c r="F11" s="1164"/>
      <c r="G11" s="1164"/>
      <c r="H11" s="1164"/>
      <c r="I11" s="795"/>
      <c r="J11" s="1202"/>
      <c r="K11" s="1204"/>
      <c r="L11" s="965"/>
      <c r="M11" s="1202"/>
      <c r="N11" s="1204"/>
      <c r="O11" s="1258" t="str">
        <f>IF(B11="","",'Data Base'!$AH$41)</f>
        <v/>
      </c>
      <c r="P11" s="1259"/>
      <c r="Q11" s="809">
        <f>IF(R11='Data Base'!$Q$79,0,IF(I11='Data Base'!$AE$41,L11/'Data Base'!$AF$41*'Data Base'!$AG$41,IF(I11='Data Base'!$AE$42,L11/'Data Base'!$AF$42*'Data Base'!$AG$42,IF(I11='Data Base'!$AE$43,'Data Base'!$AF$43,))))</f>
        <v>0</v>
      </c>
      <c r="R11" s="842"/>
      <c r="S11" s="788"/>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 customHeight="1">
      <c r="A12" s="151">
        <v>7</v>
      </c>
      <c r="B12" s="1164"/>
      <c r="C12" s="1164"/>
      <c r="D12" s="1164"/>
      <c r="E12" s="1164"/>
      <c r="F12" s="1164"/>
      <c r="G12" s="1164"/>
      <c r="H12" s="1164"/>
      <c r="I12" s="795"/>
      <c r="J12" s="1202"/>
      <c r="K12" s="1204"/>
      <c r="L12" s="965"/>
      <c r="M12" s="1202"/>
      <c r="N12" s="1204"/>
      <c r="O12" s="1258" t="str">
        <f>IF(B12="","",'Data Base'!$AH$41)</f>
        <v/>
      </c>
      <c r="P12" s="1259"/>
      <c r="Q12" s="809">
        <f>IF(R12='Data Base'!$Q$79,0,IF(I12='Data Base'!$AE$41,L12/'Data Base'!$AF$41*'Data Base'!$AG$41,IF(I12='Data Base'!$AE$42,L12/'Data Base'!$AF$42*'Data Base'!$AG$42,IF(I12='Data Base'!$AE$43,'Data Base'!$AF$43,))))</f>
        <v>0</v>
      </c>
      <c r="R12" s="842"/>
      <c r="S12" s="788"/>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c r="A13" s="152">
        <v>8</v>
      </c>
      <c r="B13" s="1164"/>
      <c r="C13" s="1164"/>
      <c r="D13" s="1164"/>
      <c r="E13" s="1164"/>
      <c r="F13" s="1164"/>
      <c r="G13" s="1164"/>
      <c r="H13" s="1164"/>
      <c r="I13" s="795"/>
      <c r="J13" s="1202"/>
      <c r="K13" s="1204"/>
      <c r="L13" s="965"/>
      <c r="M13" s="1202"/>
      <c r="N13" s="1204"/>
      <c r="O13" s="1258" t="str">
        <f>IF(B13="","",'Data Base'!$AH$41)</f>
        <v/>
      </c>
      <c r="P13" s="1259"/>
      <c r="Q13" s="809">
        <f>IF(R13='Data Base'!$Q$79,0,IF(I13='Data Base'!$AE$41,L13/'Data Base'!$AF$41*'Data Base'!$AG$41,IF(I13='Data Base'!$AE$42,L13/'Data Base'!$AF$42*'Data Base'!$AG$42,IF(I13='Data Base'!$AE$43,'Data Base'!$AF$43,))))</f>
        <v>0</v>
      </c>
      <c r="R13" s="842"/>
      <c r="S13" s="788"/>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 customHeight="1">
      <c r="A14" s="152">
        <v>9</v>
      </c>
      <c r="B14" s="1164"/>
      <c r="C14" s="1164"/>
      <c r="D14" s="1164"/>
      <c r="E14" s="1164"/>
      <c r="F14" s="1164"/>
      <c r="G14" s="1164"/>
      <c r="H14" s="1164"/>
      <c r="I14" s="795"/>
      <c r="J14" s="1202"/>
      <c r="K14" s="1204"/>
      <c r="L14" s="965"/>
      <c r="M14" s="1202"/>
      <c r="N14" s="1204"/>
      <c r="O14" s="1258" t="str">
        <f>IF(B14="","",'Data Base'!$AH$41)</f>
        <v/>
      </c>
      <c r="P14" s="1259"/>
      <c r="Q14" s="809">
        <f>IF(R14='Data Base'!$Q$79,0,IF(I14='Data Base'!$AE$41,L14/'Data Base'!$AF$41*'Data Base'!$AG$41,IF(I14='Data Base'!$AE$42,L14/'Data Base'!$AF$42*'Data Base'!$AG$42,IF(I14='Data Base'!$AE$43,'Data Base'!$AF$43,))))</f>
        <v>0</v>
      </c>
      <c r="R14" s="842"/>
      <c r="S14" s="788"/>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 customHeight="1">
      <c r="A15" s="151">
        <v>10</v>
      </c>
      <c r="B15" s="1164"/>
      <c r="C15" s="1164"/>
      <c r="D15" s="1164"/>
      <c r="E15" s="1164"/>
      <c r="F15" s="1164"/>
      <c r="G15" s="1164"/>
      <c r="H15" s="1164"/>
      <c r="I15" s="795"/>
      <c r="J15" s="1202"/>
      <c r="K15" s="1204"/>
      <c r="L15" s="965"/>
      <c r="M15" s="1202"/>
      <c r="N15" s="1204"/>
      <c r="O15" s="1258" t="str">
        <f>IF(B15="","",'Data Base'!$AH$41)</f>
        <v/>
      </c>
      <c r="P15" s="1259"/>
      <c r="Q15" s="809">
        <f>IF(R15='Data Base'!$Q$79,0,IF(I15='Data Base'!$AE$41,L15/'Data Base'!$AF$41*'Data Base'!$AG$41,IF(I15='Data Base'!$AE$42,L15/'Data Base'!$AF$42*'Data Base'!$AG$42,IF(I15='Data Base'!$AE$43,'Data Base'!$AF$43,))))</f>
        <v>0</v>
      </c>
      <c r="R15" s="842"/>
      <c r="S15" s="788"/>
      <c r="T15" s="1104"/>
      <c r="U15" s="110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3" customHeight="1">
      <c r="A16" s="152">
        <v>11</v>
      </c>
      <c r="B16" s="1164"/>
      <c r="C16" s="1164"/>
      <c r="D16" s="1164"/>
      <c r="E16" s="1164"/>
      <c r="F16" s="1164"/>
      <c r="G16" s="1164"/>
      <c r="H16" s="1164"/>
      <c r="I16" s="795"/>
      <c r="J16" s="1202"/>
      <c r="K16" s="1204"/>
      <c r="L16" s="965"/>
      <c r="M16" s="1202"/>
      <c r="N16" s="1204"/>
      <c r="O16" s="1258" t="str">
        <f>IF(B16="","",'Data Base'!$AH$41)</f>
        <v/>
      </c>
      <c r="P16" s="1259"/>
      <c r="Q16" s="809">
        <f>IF(R16='Data Base'!$Q$79,0,IF(I16='Data Base'!$AE$41,L16/'Data Base'!$AF$41*'Data Base'!$AG$41,IF(I16='Data Base'!$AE$42,L16/'Data Base'!$AF$42*'Data Base'!$AG$42,IF(I16='Data Base'!$AE$43,'Data Base'!$AF$43,))))</f>
        <v>0</v>
      </c>
      <c r="R16" s="842"/>
      <c r="S16" s="788"/>
      <c r="T16" s="1104"/>
      <c r="U16" s="1105"/>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52">
        <v>12</v>
      </c>
      <c r="B17" s="1164"/>
      <c r="C17" s="1164"/>
      <c r="D17" s="1164"/>
      <c r="E17" s="1164"/>
      <c r="F17" s="1164"/>
      <c r="G17" s="1164"/>
      <c r="H17" s="1164"/>
      <c r="I17" s="795"/>
      <c r="J17" s="1202"/>
      <c r="K17" s="1204"/>
      <c r="L17" s="965"/>
      <c r="M17" s="1202"/>
      <c r="N17" s="1204"/>
      <c r="O17" s="1258" t="str">
        <f>IF(B17="","",'Data Base'!$AH$41)</f>
        <v/>
      </c>
      <c r="P17" s="1259"/>
      <c r="Q17" s="809">
        <f>IF(R17='Data Base'!$Q$79,0,IF(I17='Data Base'!$AE$41,L17/'Data Base'!$AF$41*'Data Base'!$AG$41,IF(I17='Data Base'!$AE$42,L17/'Data Base'!$AF$42*'Data Base'!$AG$42,IF(I17='Data Base'!$AE$43,'Data Base'!$AF$43,))))</f>
        <v>0</v>
      </c>
      <c r="R17" s="842"/>
      <c r="S17" s="788"/>
      <c r="T17" s="1104"/>
      <c r="U17" s="110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c r="A18" s="151">
        <v>13</v>
      </c>
      <c r="B18" s="1164"/>
      <c r="C18" s="1164"/>
      <c r="D18" s="1164"/>
      <c r="E18" s="1164"/>
      <c r="F18" s="1164"/>
      <c r="G18" s="1164"/>
      <c r="H18" s="1164"/>
      <c r="I18" s="795"/>
      <c r="J18" s="1202"/>
      <c r="K18" s="1204"/>
      <c r="L18" s="965"/>
      <c r="M18" s="1202"/>
      <c r="N18" s="1204"/>
      <c r="O18" s="1258" t="str">
        <f>IF(B18="","",'Data Base'!$AH$41)</f>
        <v/>
      </c>
      <c r="P18" s="1259"/>
      <c r="Q18" s="809">
        <f>IF(R18='Data Base'!$Q$79,0,IF(I18='Data Base'!$AE$41,L18/'Data Base'!$AF$41*'Data Base'!$AG$41,IF(I18='Data Base'!$AE$42,L18/'Data Base'!$AF$42*'Data Base'!$AG$42,IF(I18='Data Base'!$AE$43,'Data Base'!$AF$43,))))</f>
        <v>0</v>
      </c>
      <c r="R18" s="842"/>
      <c r="S18" s="788"/>
      <c r="T18" s="1104"/>
      <c r="U18" s="1105"/>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3" customHeight="1">
      <c r="A19" s="152">
        <v>14</v>
      </c>
      <c r="B19" s="1164"/>
      <c r="C19" s="1164"/>
      <c r="D19" s="1164"/>
      <c r="E19" s="1164"/>
      <c r="F19" s="1164"/>
      <c r="G19" s="1164"/>
      <c r="H19" s="1164"/>
      <c r="I19" s="795"/>
      <c r="J19" s="1202"/>
      <c r="K19" s="1204"/>
      <c r="L19" s="965"/>
      <c r="M19" s="1202"/>
      <c r="N19" s="1204"/>
      <c r="O19" s="1258" t="str">
        <f>IF(B19="","",'Data Base'!$AH$41)</f>
        <v/>
      </c>
      <c r="P19" s="1259"/>
      <c r="Q19" s="809">
        <f>IF(R19='Data Base'!$Q$79,0,IF(I19='Data Base'!$AE$41,L19/'Data Base'!$AF$41*'Data Base'!$AG$41,IF(I19='Data Base'!$AE$42,L19/'Data Base'!$AF$42*'Data Base'!$AG$42,IF(I19='Data Base'!$AE$43,'Data Base'!$AF$43,))))</f>
        <v>0</v>
      </c>
      <c r="R19" s="842"/>
      <c r="S19" s="788"/>
      <c r="T19" s="1104"/>
      <c r="U19" s="1105"/>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3" customHeight="1">
      <c r="A20" s="152">
        <v>15</v>
      </c>
      <c r="B20" s="1164"/>
      <c r="C20" s="1164"/>
      <c r="D20" s="1164"/>
      <c r="E20" s="1164"/>
      <c r="F20" s="1164"/>
      <c r="G20" s="1164"/>
      <c r="H20" s="1164"/>
      <c r="I20" s="795"/>
      <c r="J20" s="1202"/>
      <c r="K20" s="1204"/>
      <c r="L20" s="965"/>
      <c r="M20" s="1202"/>
      <c r="N20" s="1204"/>
      <c r="O20" s="1258" t="str">
        <f>IF(B20="","",'Data Base'!$AH$41)</f>
        <v/>
      </c>
      <c r="P20" s="1259"/>
      <c r="Q20" s="809">
        <f>IF(R20='Data Base'!$Q$79,0,IF(I20='Data Base'!$AE$41,L20/'Data Base'!$AF$41*'Data Base'!$AG$41,IF(I20='Data Base'!$AE$42,L20/'Data Base'!$AF$42*'Data Base'!$AG$42,IF(I20='Data Base'!$AE$43,'Data Base'!$AF$43,))))</f>
        <v>0</v>
      </c>
      <c r="R20" s="842"/>
      <c r="S20" s="788"/>
      <c r="T20" s="1104"/>
      <c r="U20" s="1105"/>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3" customHeight="1">
      <c r="A21" s="151">
        <v>16</v>
      </c>
      <c r="B21" s="1164"/>
      <c r="C21" s="1164"/>
      <c r="D21" s="1164"/>
      <c r="E21" s="1164"/>
      <c r="F21" s="1164"/>
      <c r="G21" s="1164"/>
      <c r="H21" s="1164"/>
      <c r="I21" s="795"/>
      <c r="J21" s="1202"/>
      <c r="K21" s="1204"/>
      <c r="L21" s="965"/>
      <c r="M21" s="1202"/>
      <c r="N21" s="1204"/>
      <c r="O21" s="1258" t="str">
        <f>IF(B21="","",'Data Base'!$AH$41)</f>
        <v/>
      </c>
      <c r="P21" s="1259"/>
      <c r="Q21" s="809">
        <f>IF(R21='Data Base'!$Q$79,0,IF(I21='Data Base'!$AE$41,L21/'Data Base'!$AF$41*'Data Base'!$AG$41,IF(I21='Data Base'!$AE$42,L21/'Data Base'!$AF$42*'Data Base'!$AG$42,IF(I21='Data Base'!$AE$43,'Data Base'!$AF$43,))))</f>
        <v>0</v>
      </c>
      <c r="R21" s="842"/>
      <c r="S21" s="788"/>
      <c r="T21" s="1104"/>
      <c r="U21" s="1105"/>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3" customHeight="1">
      <c r="A22" s="152">
        <v>17</v>
      </c>
      <c r="B22" s="1164"/>
      <c r="C22" s="1164"/>
      <c r="D22" s="1164"/>
      <c r="E22" s="1164"/>
      <c r="F22" s="1164"/>
      <c r="G22" s="1164"/>
      <c r="H22" s="1164"/>
      <c r="I22" s="795"/>
      <c r="J22" s="1202"/>
      <c r="K22" s="1204"/>
      <c r="L22" s="965"/>
      <c r="M22" s="1202"/>
      <c r="N22" s="1204"/>
      <c r="O22" s="1258" t="str">
        <f>IF(B22="","",'Data Base'!$AH$41)</f>
        <v/>
      </c>
      <c r="P22" s="1259"/>
      <c r="Q22" s="809">
        <f>IF(R22='Data Base'!$Q$79,0,IF(I22='Data Base'!$AE$41,L22/'Data Base'!$AF$41*'Data Base'!$AG$41,IF(I22='Data Base'!$AE$42,L22/'Data Base'!$AF$42*'Data Base'!$AG$42,IF(I22='Data Base'!$AE$43,'Data Base'!$AF$43,))))</f>
        <v>0</v>
      </c>
      <c r="R22" s="842"/>
      <c r="S22" s="788"/>
      <c r="T22" s="1104"/>
      <c r="U22" s="1105"/>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3" customHeight="1">
      <c r="A23" s="152">
        <v>18</v>
      </c>
      <c r="B23" s="1164"/>
      <c r="C23" s="1164"/>
      <c r="D23" s="1164"/>
      <c r="E23" s="1164"/>
      <c r="F23" s="1164"/>
      <c r="G23" s="1164"/>
      <c r="H23" s="1164"/>
      <c r="I23" s="795"/>
      <c r="J23" s="1202"/>
      <c r="K23" s="1204"/>
      <c r="L23" s="965"/>
      <c r="M23" s="1202"/>
      <c r="N23" s="1204"/>
      <c r="O23" s="1258" t="str">
        <f>IF(B23="","",'Data Base'!$AH$41)</f>
        <v/>
      </c>
      <c r="P23" s="1259"/>
      <c r="Q23" s="809">
        <f>IF(R23='Data Base'!$Q$79,0,IF(I23='Data Base'!$AE$41,L23/'Data Base'!$AF$41*'Data Base'!$AG$41,IF(I23='Data Base'!$AE$42,L23/'Data Base'!$AF$42*'Data Base'!$AG$42,IF(I23='Data Base'!$AE$43,'Data Base'!$AF$43,))))</f>
        <v>0</v>
      </c>
      <c r="R23" s="842"/>
      <c r="S23" s="788"/>
      <c r="T23" s="1104"/>
      <c r="U23" s="1105"/>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33" customHeight="1">
      <c r="A24" s="151">
        <v>19</v>
      </c>
      <c r="B24" s="1164"/>
      <c r="C24" s="1164"/>
      <c r="D24" s="1164"/>
      <c r="E24" s="1164"/>
      <c r="F24" s="1164"/>
      <c r="G24" s="1164"/>
      <c r="H24" s="1164"/>
      <c r="I24" s="795"/>
      <c r="J24" s="1202"/>
      <c r="K24" s="1204"/>
      <c r="L24" s="965"/>
      <c r="M24" s="1202"/>
      <c r="N24" s="1204"/>
      <c r="O24" s="1258" t="str">
        <f>IF(B24="","",'Data Base'!$AH$41)</f>
        <v/>
      </c>
      <c r="P24" s="1259"/>
      <c r="Q24" s="809">
        <f>IF(R24='Data Base'!$Q$79,0,IF(I24='Data Base'!$AE$41,L24/'Data Base'!$AF$41*'Data Base'!$AG$41,IF(I24='Data Base'!$AE$42,L24/'Data Base'!$AF$42*'Data Base'!$AG$42,IF(I24='Data Base'!$AE$43,'Data Base'!$AF$43,))))</f>
        <v>0</v>
      </c>
      <c r="R24" s="842"/>
      <c r="S24" s="788"/>
      <c r="T24" s="1104"/>
      <c r="U24" s="1105"/>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3" customHeight="1" thickBot="1">
      <c r="A25" s="775">
        <v>20</v>
      </c>
      <c r="B25" s="1260"/>
      <c r="C25" s="1260"/>
      <c r="D25" s="1260"/>
      <c r="E25" s="1260"/>
      <c r="F25" s="1260"/>
      <c r="G25" s="1260"/>
      <c r="H25" s="1260"/>
      <c r="I25" s="796"/>
      <c r="J25" s="1244"/>
      <c r="K25" s="1246"/>
      <c r="L25" s="965"/>
      <c r="M25" s="1244"/>
      <c r="N25" s="1246"/>
      <c r="O25" s="1258" t="str">
        <f>IF(B25="","",'Data Base'!$AH$41)</f>
        <v/>
      </c>
      <c r="P25" s="1259"/>
      <c r="Q25" s="812">
        <f>IF(R25='Data Base'!$Q$79,0,IF(I25='Data Base'!$AE$41,L25/'Data Base'!$AF$41*'Data Base'!$AG$41,IF(I25='Data Base'!$AE$42,L25/'Data Base'!$AF$42*'Data Base'!$AG$42,IF(I25='Data Base'!$AE$43,'Data Base'!$AF$43,))))</f>
        <v>0</v>
      </c>
      <c r="R25" s="848"/>
      <c r="S25" s="805"/>
      <c r="T25" s="1158"/>
      <c r="U25" s="1159"/>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thickBot="1">
      <c r="A26" s="1143" t="s">
        <v>270</v>
      </c>
      <c r="B26" s="1144"/>
      <c r="C26" s="1144"/>
      <c r="D26" s="1144"/>
      <c r="E26" s="1144"/>
      <c r="F26" s="1144"/>
      <c r="G26" s="1144"/>
      <c r="H26" s="1144"/>
      <c r="I26" s="1144"/>
      <c r="J26" s="1144"/>
      <c r="K26" s="1144"/>
      <c r="L26" s="215">
        <f>SUM(Q6:Q25)</f>
        <v>0</v>
      </c>
      <c r="M26" s="1189" t="s">
        <v>846</v>
      </c>
      <c r="N26" s="1205"/>
      <c r="O26" s="1205"/>
      <c r="P26" s="1205"/>
      <c r="Q26" s="1205"/>
      <c r="R26" s="807">
        <f>IF(L26&gt;10,10,L26)</f>
        <v>0</v>
      </c>
      <c r="S26" s="807">
        <f>IF(SUM(S6:S25)&gt;10,10,SUM(S6:S25))</f>
        <v>0</v>
      </c>
      <c r="T26" s="1102"/>
      <c r="U26" s="1103"/>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15.75">
      <c r="A27" s="1148" t="s">
        <v>31</v>
      </c>
      <c r="B27" s="1149"/>
      <c r="C27" s="1149"/>
      <c r="D27" s="1149"/>
      <c r="E27" s="1149"/>
      <c r="F27" s="1149"/>
      <c r="G27" s="1149"/>
      <c r="H27" s="1149"/>
      <c r="I27" s="1149"/>
      <c r="J27" s="1149"/>
      <c r="K27" s="1149"/>
      <c r="L27" s="1149" t="s">
        <v>572</v>
      </c>
      <c r="M27" s="1149"/>
      <c r="N27" s="1149"/>
      <c r="O27" s="1149"/>
      <c r="P27" s="1149"/>
      <c r="Q27" s="1149"/>
      <c r="R27" s="1149"/>
      <c r="S27" s="1149"/>
      <c r="T27" s="1149"/>
      <c r="U27" s="115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thickBot="1">
      <c r="A28" s="1151">
        <f>'فرم الف'!A27</f>
        <v>0</v>
      </c>
      <c r="B28" s="1153"/>
      <c r="C28" s="1153"/>
      <c r="D28" s="1153"/>
      <c r="E28" s="1153"/>
      <c r="F28" s="1153"/>
      <c r="G28" s="1153"/>
      <c r="H28" s="1153"/>
      <c r="I28" s="1153"/>
      <c r="J28" s="1153"/>
      <c r="K28" s="1153"/>
      <c r="L28" s="1153" t="str">
        <f>'Data Base'!N32</f>
        <v>حميدرضا طاهري تربتي</v>
      </c>
      <c r="M28" s="1153"/>
      <c r="N28" s="1153"/>
      <c r="O28" s="1153"/>
      <c r="P28" s="1153"/>
      <c r="Q28" s="1153"/>
      <c r="R28" s="1153"/>
      <c r="S28" s="1153"/>
      <c r="T28" s="1153"/>
      <c r="U28" s="115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psTQOqJEOc/kJiiaV43cro8TCbhez/GwOwfYYOkZm86NF0f2ZS4Q4OxEGMGZyhkiwKsSLR+ep4kRkO5EBPh0jA==" saltValue="nvD0GfIqcxavzcm1uxumAw==" spinCount="100000" sheet="1" objects="1" scenarios="1" formatCells="0" formatRows="0" selectLockedCells="1"/>
  <mergeCells count="127">
    <mergeCell ref="A1:B2"/>
    <mergeCell ref="C1:G1"/>
    <mergeCell ref="H1:L1"/>
    <mergeCell ref="M1:P1"/>
    <mergeCell ref="Q1:U1"/>
    <mergeCell ref="C2:G2"/>
    <mergeCell ref="H2:L2"/>
    <mergeCell ref="M2:P2"/>
    <mergeCell ref="Q2:U2"/>
    <mergeCell ref="A3:R3"/>
    <mergeCell ref="S3:U3"/>
    <mergeCell ref="A4:A5"/>
    <mergeCell ref="J4:K5"/>
    <mergeCell ref="L4:L5"/>
    <mergeCell ref="M4:N5"/>
    <mergeCell ref="T5:U5"/>
    <mergeCell ref="I4:I5"/>
    <mergeCell ref="B4:H5"/>
    <mergeCell ref="O4:P5"/>
    <mergeCell ref="Q4:U4"/>
    <mergeCell ref="T6:U6"/>
    <mergeCell ref="J7:K7"/>
    <mergeCell ref="M7:N7"/>
    <mergeCell ref="T7:U7"/>
    <mergeCell ref="J6:K6"/>
    <mergeCell ref="M6:N6"/>
    <mergeCell ref="B6:H6"/>
    <mergeCell ref="B7:H7"/>
    <mergeCell ref="O6:P6"/>
    <mergeCell ref="O7:P7"/>
    <mergeCell ref="T23:U23"/>
    <mergeCell ref="J22:K22"/>
    <mergeCell ref="M22:N22"/>
    <mergeCell ref="T16:U16"/>
    <mergeCell ref="J17:K17"/>
    <mergeCell ref="M17:N17"/>
    <mergeCell ref="T17:U17"/>
    <mergeCell ref="J16:K16"/>
    <mergeCell ref="M16:N16"/>
    <mergeCell ref="J21:K21"/>
    <mergeCell ref="M21:N21"/>
    <mergeCell ref="T21:U21"/>
    <mergeCell ref="J18:K18"/>
    <mergeCell ref="M18:N18"/>
    <mergeCell ref="T18:U18"/>
    <mergeCell ref="O21:P21"/>
    <mergeCell ref="O22:P22"/>
    <mergeCell ref="O23:P23"/>
    <mergeCell ref="J20:K20"/>
    <mergeCell ref="M20:N20"/>
    <mergeCell ref="T20:U20"/>
    <mergeCell ref="T13:U13"/>
    <mergeCell ref="J10:K10"/>
    <mergeCell ref="M10:N10"/>
    <mergeCell ref="T10:U10"/>
    <mergeCell ref="J11:K11"/>
    <mergeCell ref="M11:N11"/>
    <mergeCell ref="T11:U11"/>
    <mergeCell ref="O13:P13"/>
    <mergeCell ref="A28:K28"/>
    <mergeCell ref="L28:U28"/>
    <mergeCell ref="A26:K26"/>
    <mergeCell ref="M26:Q26"/>
    <mergeCell ref="T26:U26"/>
    <mergeCell ref="A27:K27"/>
    <mergeCell ref="L27:U27"/>
    <mergeCell ref="T24:U24"/>
    <mergeCell ref="J25:K25"/>
    <mergeCell ref="M25:N25"/>
    <mergeCell ref="T25:U25"/>
    <mergeCell ref="J24:K24"/>
    <mergeCell ref="M24:N24"/>
    <mergeCell ref="O24:P24"/>
    <mergeCell ref="O25:P25"/>
    <mergeCell ref="T22:U22"/>
    <mergeCell ref="B8:H8"/>
    <mergeCell ref="B9:H9"/>
    <mergeCell ref="B10:H10"/>
    <mergeCell ref="B11:H11"/>
    <mergeCell ref="B12:H12"/>
    <mergeCell ref="J12:K12"/>
    <mergeCell ref="M12:N12"/>
    <mergeCell ref="T12:U12"/>
    <mergeCell ref="T8:U8"/>
    <mergeCell ref="J9:K9"/>
    <mergeCell ref="M9:N9"/>
    <mergeCell ref="T9:U9"/>
    <mergeCell ref="J8:K8"/>
    <mergeCell ref="M8:N8"/>
    <mergeCell ref="O8:P8"/>
    <mergeCell ref="O9:P9"/>
    <mergeCell ref="O10:P10"/>
    <mergeCell ref="O11:P11"/>
    <mergeCell ref="O12:P12"/>
    <mergeCell ref="T14:U14"/>
    <mergeCell ref="J15:K15"/>
    <mergeCell ref="M15:N15"/>
    <mergeCell ref="T15:U15"/>
    <mergeCell ref="J19:K19"/>
    <mergeCell ref="M19:N19"/>
    <mergeCell ref="T19:U19"/>
    <mergeCell ref="O14:P14"/>
    <mergeCell ref="O15:P15"/>
    <mergeCell ref="O16:P16"/>
    <mergeCell ref="O17:P17"/>
    <mergeCell ref="O18:P18"/>
    <mergeCell ref="O19:P19"/>
    <mergeCell ref="B13:H13"/>
    <mergeCell ref="B14:H14"/>
    <mergeCell ref="B15:H15"/>
    <mergeCell ref="B16:H16"/>
    <mergeCell ref="B17:H17"/>
    <mergeCell ref="O20:P20"/>
    <mergeCell ref="B23:H23"/>
    <mergeCell ref="B24:H24"/>
    <mergeCell ref="B25:H25"/>
    <mergeCell ref="B18:H18"/>
    <mergeCell ref="B19:H19"/>
    <mergeCell ref="B20:H20"/>
    <mergeCell ref="B21:H21"/>
    <mergeCell ref="B22:H22"/>
    <mergeCell ref="J14:K14"/>
    <mergeCell ref="M14:N14"/>
    <mergeCell ref="J13:K13"/>
    <mergeCell ref="M13:N13"/>
    <mergeCell ref="J23:K23"/>
    <mergeCell ref="M23:N23"/>
  </mergeCells>
  <conditionalFormatting sqref="J6:J9 L6:M6 M16:M17 J16:J17 J22:J25 M22:M25 B6 M7:M9 O6:O25">
    <cfRule type="containsBlanks" dxfId="208" priority="10">
      <formula>LEN(TRIM(B6))=0</formula>
    </cfRule>
  </conditionalFormatting>
  <conditionalFormatting sqref="M10:M15 J10:J15">
    <cfRule type="containsBlanks" dxfId="207" priority="8">
      <formula>LEN(TRIM(J10))=0</formula>
    </cfRule>
  </conditionalFormatting>
  <conditionalFormatting sqref="J18:J21 M18:M21">
    <cfRule type="containsBlanks" dxfId="206" priority="7">
      <formula>LEN(TRIM(J18))=0</formula>
    </cfRule>
  </conditionalFormatting>
  <conditionalFormatting sqref="I6">
    <cfRule type="containsBlanks" dxfId="205" priority="2">
      <formula>LEN(TRIM(I6))=0</formula>
    </cfRule>
  </conditionalFormatting>
  <conditionalFormatting sqref="I7:I25">
    <cfRule type="containsBlanks" dxfId="204" priority="5">
      <formula>LEN(TRIM(I7))=0</formula>
    </cfRule>
  </conditionalFormatting>
  <conditionalFormatting sqref="B7:B25">
    <cfRule type="containsBlanks" dxfId="203" priority="4">
      <formula>LEN(TRIM(B7))=0</formula>
    </cfRule>
  </conditionalFormatting>
  <conditionalFormatting sqref="L7:L25">
    <cfRule type="containsBlanks" dxfId="202" priority="3">
      <formula>LEN(TRIM(L7))=0</formula>
    </cfRule>
  </conditionalFormatting>
  <dataValidations count="2">
    <dataValidation type="decimal" operator="greaterThanOrEqual" allowBlank="1" showInputMessage="1" showErrorMessage="1" promptTitle="توجه:" prompt="به ازاي هر 4 ساعت تدریس  1  امتياز  و هر 8 ساعت شرکت در دوره ضیافت اندیشه 1 امتیاز كسب مي گردد." sqref="S6:S25">
      <formula1>0</formula1>
    </dataValidation>
    <dataValidation type="whole" operator="greaterThan" allowBlank="1" showInputMessage="1" showErrorMessage="1" errorTitle="توجه:" error="لطفا یک عدد صحیح وارد نمایید" sqref="L6:L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Base'!$AE$41:$AE$42</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CB41"/>
  <sheetViews>
    <sheetView showGridLines="0" rightToLeft="1" view="pageBreakPreview" zoomScale="115" zoomScaleNormal="100" zoomScaleSheetLayoutView="115" workbookViewId="0">
      <pane ySplit="6" topLeftCell="A7" activePane="bottomLeft" state="frozen"/>
      <selection pane="bottomLeft" activeCell="O10" sqref="O10"/>
    </sheetView>
  </sheetViews>
  <sheetFormatPr defaultColWidth="9.140625" defaultRowHeight="15"/>
  <cols>
    <col min="1" max="1" width="2.85546875" style="11" customWidth="1"/>
    <col min="2" max="2" width="3.7109375" style="11" customWidth="1"/>
    <col min="3" max="7" width="7.5703125" style="11" customWidth="1"/>
    <col min="8" max="13" width="4.85546875" style="11" customWidth="1"/>
    <col min="14" max="15" width="13.5703125" style="11" customWidth="1"/>
    <col min="16" max="16" width="10.140625" style="11" customWidth="1"/>
    <col min="17" max="17" width="4.5703125" style="11" customWidth="1"/>
    <col min="18" max="19" width="7.140625" style="11" customWidth="1"/>
    <col min="20" max="21" width="2.7109375" style="11" customWidth="1"/>
    <col min="22" max="16384" width="9.140625" style="11"/>
  </cols>
  <sheetData>
    <row r="1" spans="1:80" ht="13.5" customHeight="1">
      <c r="A1" s="1109" t="s">
        <v>550</v>
      </c>
      <c r="B1" s="1110"/>
      <c r="C1" s="1093" t="s">
        <v>0</v>
      </c>
      <c r="D1" s="1091"/>
      <c r="E1" s="1091"/>
      <c r="F1" s="1091"/>
      <c r="G1" s="1091"/>
      <c r="H1" s="1261" t="s">
        <v>1</v>
      </c>
      <c r="I1" s="1261"/>
      <c r="J1" s="1261"/>
      <c r="K1" s="1261"/>
      <c r="L1" s="1261"/>
      <c r="M1" s="1261"/>
      <c r="N1" s="128" t="s">
        <v>2</v>
      </c>
      <c r="O1" s="128"/>
      <c r="P1" s="128"/>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19.5" customHeight="1" thickBot="1">
      <c r="A2" s="1111"/>
      <c r="B2" s="1112"/>
      <c r="C2" s="1094">
        <f>'فرم الف'!B5</f>
        <v>0</v>
      </c>
      <c r="D2" s="1095"/>
      <c r="E2" s="1095"/>
      <c r="F2" s="1095"/>
      <c r="G2" s="1095"/>
      <c r="H2" s="1092">
        <f>'فرم الف'!A27</f>
        <v>0</v>
      </c>
      <c r="I2" s="1095"/>
      <c r="J2" s="1095"/>
      <c r="K2" s="1095"/>
      <c r="L2" s="1095"/>
      <c r="M2" s="1095"/>
      <c r="N2" s="1092">
        <f>'فرم الف'!J15</f>
        <v>0</v>
      </c>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2.5" customHeight="1" thickBot="1">
      <c r="A3" s="1174" t="s">
        <v>604</v>
      </c>
      <c r="B3" s="1174"/>
      <c r="C3" s="1118"/>
      <c r="D3" s="1118"/>
      <c r="E3" s="1118"/>
      <c r="F3" s="1118"/>
      <c r="G3" s="1118"/>
      <c r="H3" s="1118"/>
      <c r="I3" s="1118"/>
      <c r="J3" s="1118"/>
      <c r="K3" s="1118"/>
      <c r="L3" s="1118"/>
      <c r="M3" s="1118"/>
      <c r="N3" s="1118"/>
      <c r="O3" s="1118"/>
      <c r="P3" s="1118"/>
      <c r="Q3" s="1118"/>
      <c r="R3" s="1118"/>
      <c r="S3" s="1119" t="s">
        <v>605</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6.5" customHeight="1">
      <c r="A4" s="1120" t="s">
        <v>9</v>
      </c>
      <c r="B4" s="1122" t="s">
        <v>609</v>
      </c>
      <c r="C4" s="1130"/>
      <c r="D4" s="1130"/>
      <c r="E4" s="1130"/>
      <c r="F4" s="1130"/>
      <c r="G4" s="1136"/>
      <c r="H4" s="1130" t="s">
        <v>608</v>
      </c>
      <c r="I4" s="1130"/>
      <c r="J4" s="1130"/>
      <c r="K4" s="1130"/>
      <c r="L4" s="1130"/>
      <c r="M4" s="1136"/>
      <c r="N4" s="1136" t="s">
        <v>607</v>
      </c>
      <c r="O4" s="1128" t="s">
        <v>606</v>
      </c>
      <c r="P4" s="1128" t="s">
        <v>501</v>
      </c>
      <c r="Q4" s="1268" t="s">
        <v>13</v>
      </c>
      <c r="R4" s="1268"/>
      <c r="S4" s="1268"/>
      <c r="T4" s="1268"/>
      <c r="U4" s="1269"/>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17.25" customHeight="1">
      <c r="A5" s="1262"/>
      <c r="B5" s="1263"/>
      <c r="C5" s="1264"/>
      <c r="D5" s="1264"/>
      <c r="E5" s="1264"/>
      <c r="F5" s="1264"/>
      <c r="G5" s="1265"/>
      <c r="H5" s="1273" t="s">
        <v>491</v>
      </c>
      <c r="I5" s="1273"/>
      <c r="J5" s="1273"/>
      <c r="K5" s="1273" t="s">
        <v>492</v>
      </c>
      <c r="L5" s="1273"/>
      <c r="M5" s="1274"/>
      <c r="N5" s="1265"/>
      <c r="O5" s="1272"/>
      <c r="P5" s="1272"/>
      <c r="Q5" s="1270" t="s">
        <v>1268</v>
      </c>
      <c r="R5" s="1266" t="s">
        <v>1163</v>
      </c>
      <c r="S5" s="1266" t="s">
        <v>1174</v>
      </c>
      <c r="T5" s="1266" t="s">
        <v>18</v>
      </c>
      <c r="U5" s="1275"/>
      <c r="V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row>
    <row r="6" spans="1:80" ht="27" customHeight="1" thickBot="1">
      <c r="A6" s="1121"/>
      <c r="B6" s="1131"/>
      <c r="C6" s="1132"/>
      <c r="D6" s="1132"/>
      <c r="E6" s="1132"/>
      <c r="F6" s="1132"/>
      <c r="G6" s="1137"/>
      <c r="H6" s="836" t="s">
        <v>230</v>
      </c>
      <c r="I6" s="837" t="s">
        <v>231</v>
      </c>
      <c r="J6" s="837" t="s">
        <v>16</v>
      </c>
      <c r="K6" s="837" t="s">
        <v>230</v>
      </c>
      <c r="L6" s="837" t="s">
        <v>231</v>
      </c>
      <c r="M6" s="837" t="s">
        <v>16</v>
      </c>
      <c r="N6" s="1137"/>
      <c r="O6" s="1129"/>
      <c r="P6" s="1129"/>
      <c r="Q6" s="1271"/>
      <c r="R6" s="1267"/>
      <c r="S6" s="1267"/>
      <c r="T6" s="1267"/>
      <c r="U6" s="1276"/>
      <c r="V6" s="37"/>
      <c r="AC6" s="39"/>
      <c r="AD6" s="2"/>
      <c r="AE6" s="2"/>
      <c r="AF6" s="2"/>
      <c r="AG6" s="2"/>
      <c r="AH6" s="39"/>
      <c r="AI6" s="2"/>
      <c r="AJ6" s="39"/>
      <c r="AK6" s="39"/>
      <c r="AL6" s="39"/>
      <c r="AM6" s="39"/>
      <c r="AN6" s="39"/>
      <c r="AO6" s="39"/>
      <c r="AP6" s="39"/>
      <c r="AQ6" s="39"/>
      <c r="AR6" s="40"/>
      <c r="AS6" s="39"/>
      <c r="AT6" s="39"/>
      <c r="AU6" s="40"/>
      <c r="AV6" s="39"/>
      <c r="AW6" s="39"/>
      <c r="AX6" s="40"/>
      <c r="AY6" s="39"/>
      <c r="AZ6" s="39"/>
      <c r="BA6" s="40"/>
      <c r="BB6" s="39"/>
      <c r="BC6" s="39"/>
      <c r="BD6" s="40"/>
      <c r="BE6" s="2"/>
      <c r="BF6" s="40"/>
      <c r="BG6" s="40"/>
      <c r="BH6" s="2"/>
      <c r="BI6" s="40"/>
      <c r="BJ6" s="41"/>
      <c r="BK6" s="18"/>
      <c r="BL6" s="41"/>
      <c r="BM6" s="41"/>
      <c r="BN6" s="18"/>
      <c r="BO6" s="41"/>
      <c r="BP6" s="41"/>
      <c r="BQ6" s="41"/>
      <c r="BR6" s="41"/>
      <c r="BS6" s="41"/>
      <c r="BT6" s="41"/>
      <c r="BU6" s="41"/>
      <c r="BV6" s="40"/>
      <c r="BW6" s="2"/>
      <c r="BX6" s="39"/>
      <c r="BY6" s="40"/>
      <c r="BZ6" s="2"/>
      <c r="CA6" s="39"/>
      <c r="CB6" s="37"/>
    </row>
    <row r="7" spans="1:80" ht="30.75" customHeight="1">
      <c r="A7" s="151">
        <v>1</v>
      </c>
      <c r="B7" s="1160"/>
      <c r="C7" s="1201"/>
      <c r="D7" s="1201"/>
      <c r="E7" s="1201"/>
      <c r="F7" s="1201"/>
      <c r="G7" s="1201"/>
      <c r="H7" s="859"/>
      <c r="I7" s="859"/>
      <c r="J7" s="859"/>
      <c r="K7" s="859"/>
      <c r="L7" s="859"/>
      <c r="M7" s="860"/>
      <c r="N7" s="118"/>
      <c r="O7" s="119"/>
      <c r="P7" s="855"/>
      <c r="Q7" s="856">
        <f>IF(R7='Data Base'!$Q$79,0,IF(AND(B7="",H7="",I7="",J7="",K7="",L7="",M7="",N7="",O7=""),0,2))</f>
        <v>0</v>
      </c>
      <c r="R7" s="848"/>
      <c r="S7" s="764"/>
      <c r="T7" s="1100"/>
      <c r="U7" s="1101"/>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75" customHeight="1">
      <c r="A8" s="152">
        <v>2</v>
      </c>
      <c r="B8" s="1202"/>
      <c r="C8" s="1203"/>
      <c r="D8" s="1203"/>
      <c r="E8" s="1203"/>
      <c r="F8" s="1203"/>
      <c r="G8" s="1203"/>
      <c r="H8" s="57"/>
      <c r="I8" s="57"/>
      <c r="J8" s="57"/>
      <c r="K8" s="57"/>
      <c r="L8" s="57"/>
      <c r="M8" s="59"/>
      <c r="N8" s="57"/>
      <c r="O8" s="59"/>
      <c r="P8" s="855" t="str">
        <f>IF(B8="","",'Data Base'!$Y$56)</f>
        <v/>
      </c>
      <c r="Q8" s="857">
        <f>IF(R8='Data Base'!$Q$79,0,IF(AND(B8="",H8="",I8="",J8="",K8="",L8="",M8="",N8="",O8=""),0,2))</f>
        <v>0</v>
      </c>
      <c r="R8" s="766"/>
      <c r="S8" s="766"/>
      <c r="T8" s="1104"/>
      <c r="U8" s="1105"/>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75" customHeight="1">
      <c r="A9" s="152">
        <v>3</v>
      </c>
      <c r="B9" s="1202"/>
      <c r="C9" s="1203"/>
      <c r="D9" s="1203"/>
      <c r="E9" s="1203"/>
      <c r="F9" s="1203"/>
      <c r="G9" s="1203"/>
      <c r="H9" s="57"/>
      <c r="I9" s="57"/>
      <c r="J9" s="57"/>
      <c r="K9" s="57"/>
      <c r="L9" s="57"/>
      <c r="M9" s="59"/>
      <c r="N9" s="57"/>
      <c r="O9" s="59"/>
      <c r="P9" s="855" t="str">
        <f>IF(B9="","",'Data Base'!$Y$56)</f>
        <v/>
      </c>
      <c r="Q9" s="857">
        <f>IF(R9='Data Base'!$Q$79,0,IF(AND(B9="",H9="",I9="",J9="",K9="",L9="",M9="",N9="",O9=""),0,2))</f>
        <v>0</v>
      </c>
      <c r="R9" s="766"/>
      <c r="S9" s="766"/>
      <c r="T9" s="1104"/>
      <c r="U9" s="1105"/>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75" customHeight="1">
      <c r="A10" s="152">
        <v>4</v>
      </c>
      <c r="B10" s="1202"/>
      <c r="C10" s="1203"/>
      <c r="D10" s="1203"/>
      <c r="E10" s="1203"/>
      <c r="F10" s="1203"/>
      <c r="G10" s="1203"/>
      <c r="H10" s="57"/>
      <c r="I10" s="57"/>
      <c r="J10" s="57"/>
      <c r="K10" s="57"/>
      <c r="L10" s="57"/>
      <c r="M10" s="59"/>
      <c r="N10" s="57"/>
      <c r="O10" s="59"/>
      <c r="P10" s="855" t="str">
        <f>IF(B10="","",'Data Base'!$Y$56)</f>
        <v/>
      </c>
      <c r="Q10" s="857">
        <f>IF(R10='Data Base'!$Q$79,0,IF(AND(B10="",H10="",I10="",J10="",K10="",L10="",M10="",N10="",O10=""),0,2))</f>
        <v>0</v>
      </c>
      <c r="R10" s="766"/>
      <c r="S10" s="766"/>
      <c r="T10" s="1104"/>
      <c r="U10" s="1105"/>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75" customHeight="1">
      <c r="A11" s="152">
        <v>5</v>
      </c>
      <c r="B11" s="1202"/>
      <c r="C11" s="1203"/>
      <c r="D11" s="1203"/>
      <c r="E11" s="1203"/>
      <c r="F11" s="1203"/>
      <c r="G11" s="1203"/>
      <c r="H11" s="57"/>
      <c r="I11" s="57"/>
      <c r="J11" s="57"/>
      <c r="K11" s="57"/>
      <c r="L11" s="57"/>
      <c r="M11" s="59"/>
      <c r="N11" s="57"/>
      <c r="O11" s="59"/>
      <c r="P11" s="855" t="str">
        <f>IF(B11="","",'Data Base'!$Y$56)</f>
        <v/>
      </c>
      <c r="Q11" s="857">
        <f>IF(R11='Data Base'!$Q$79,0,IF(AND(B11="",H11="",I11="",J11="",K11="",L11="",M11="",N11="",O11=""),0,2))</f>
        <v>0</v>
      </c>
      <c r="R11" s="766"/>
      <c r="S11" s="766"/>
      <c r="T11" s="1104"/>
      <c r="U11" s="1105"/>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75" customHeight="1">
      <c r="A12" s="152">
        <v>6</v>
      </c>
      <c r="B12" s="1202"/>
      <c r="C12" s="1203"/>
      <c r="D12" s="1203"/>
      <c r="E12" s="1203"/>
      <c r="F12" s="1203"/>
      <c r="G12" s="1203"/>
      <c r="H12" s="57"/>
      <c r="I12" s="57"/>
      <c r="J12" s="57"/>
      <c r="K12" s="57"/>
      <c r="L12" s="57"/>
      <c r="M12" s="59"/>
      <c r="N12" s="57"/>
      <c r="O12" s="59"/>
      <c r="P12" s="855" t="str">
        <f>IF(B12="","",'Data Base'!$Y$56)</f>
        <v/>
      </c>
      <c r="Q12" s="857">
        <f>IF(R12='Data Base'!$Q$79,0,IF(AND(B12="",H12="",I12="",J12="",K12="",L12="",M12="",N12="",O12=""),0,2))</f>
        <v>0</v>
      </c>
      <c r="R12" s="766"/>
      <c r="S12" s="766"/>
      <c r="T12" s="1104"/>
      <c r="U12" s="1105"/>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75" customHeight="1">
      <c r="A13" s="152">
        <v>7</v>
      </c>
      <c r="B13" s="1202"/>
      <c r="C13" s="1203"/>
      <c r="D13" s="1203"/>
      <c r="E13" s="1203"/>
      <c r="F13" s="1203"/>
      <c r="G13" s="1203"/>
      <c r="H13" s="57"/>
      <c r="I13" s="57"/>
      <c r="J13" s="57"/>
      <c r="K13" s="57"/>
      <c r="L13" s="57"/>
      <c r="M13" s="59"/>
      <c r="N13" s="57"/>
      <c r="O13" s="59"/>
      <c r="P13" s="855" t="str">
        <f>IF(B13="","",'Data Base'!$Y$56)</f>
        <v/>
      </c>
      <c r="Q13" s="857">
        <f>IF(R13='Data Base'!$Q$79,0,IF(AND(B13="",H13="",I13="",J13="",K13="",L13="",M13="",N13="",O13=""),0,2))</f>
        <v>0</v>
      </c>
      <c r="R13" s="766"/>
      <c r="S13" s="766"/>
      <c r="T13" s="1104"/>
      <c r="U13" s="1105"/>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75" customHeight="1">
      <c r="A14" s="152">
        <v>8</v>
      </c>
      <c r="B14" s="1202"/>
      <c r="C14" s="1203"/>
      <c r="D14" s="1203"/>
      <c r="E14" s="1203"/>
      <c r="F14" s="1203"/>
      <c r="G14" s="1203"/>
      <c r="H14" s="57"/>
      <c r="I14" s="57"/>
      <c r="J14" s="57"/>
      <c r="K14" s="57"/>
      <c r="L14" s="57"/>
      <c r="M14" s="59"/>
      <c r="N14" s="57"/>
      <c r="O14" s="59"/>
      <c r="P14" s="855" t="str">
        <f>IF(B14="","",'Data Base'!$Y$56)</f>
        <v/>
      </c>
      <c r="Q14" s="857">
        <f>IF(R14='Data Base'!$Q$79,0,IF(AND(B14="",H14="",I14="",J14="",K14="",L14="",M14="",N14="",O14=""),0,2))</f>
        <v>0</v>
      </c>
      <c r="R14" s="766"/>
      <c r="S14" s="766"/>
      <c r="T14" s="1104"/>
      <c r="U14" s="1105"/>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75" customHeight="1">
      <c r="A15" s="152">
        <v>9</v>
      </c>
      <c r="B15" s="1202"/>
      <c r="C15" s="1203"/>
      <c r="D15" s="1203"/>
      <c r="E15" s="1203"/>
      <c r="F15" s="1203"/>
      <c r="G15" s="1203"/>
      <c r="H15" s="57"/>
      <c r="I15" s="57"/>
      <c r="J15" s="57"/>
      <c r="K15" s="57"/>
      <c r="L15" s="57"/>
      <c r="M15" s="59"/>
      <c r="N15" s="57"/>
      <c r="O15" s="59"/>
      <c r="P15" s="855" t="str">
        <f>IF(B15="","",'Data Base'!$Y$56)</f>
        <v/>
      </c>
      <c r="Q15" s="857">
        <f>IF(R15='Data Base'!$Q$79,0,IF(AND(B15="",H15="",I15="",J15="",K15="",L15="",M15="",N15="",O15=""),0,2))</f>
        <v>0</v>
      </c>
      <c r="R15" s="766"/>
      <c r="S15" s="766"/>
      <c r="T15" s="1104"/>
      <c r="U15" s="1105"/>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0.75" customHeight="1" thickBot="1">
      <c r="A16" s="153">
        <v>10</v>
      </c>
      <c r="B16" s="1202"/>
      <c r="C16" s="1203"/>
      <c r="D16" s="1203"/>
      <c r="E16" s="1203"/>
      <c r="F16" s="1203"/>
      <c r="G16" s="1203"/>
      <c r="H16" s="57"/>
      <c r="I16" s="57"/>
      <c r="J16" s="57"/>
      <c r="K16" s="57"/>
      <c r="L16" s="57"/>
      <c r="M16" s="59"/>
      <c r="N16" s="57"/>
      <c r="O16" s="59"/>
      <c r="P16" s="855" t="str">
        <f>IF(B16="","",'Data Base'!$Y$56)</f>
        <v/>
      </c>
      <c r="Q16" s="858">
        <f>IF(R16='Data Base'!$Q$79,0,IF(AND(B16="",H16="",I16="",J16="",K16="",L16="",M16="",N16="",O16=""),0,2))</f>
        <v>0</v>
      </c>
      <c r="R16" s="768"/>
      <c r="S16" s="768"/>
      <c r="T16" s="1155"/>
      <c r="U16" s="1156"/>
      <c r="V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23.25" customHeight="1" thickBot="1">
      <c r="A17" s="1143" t="s">
        <v>270</v>
      </c>
      <c r="B17" s="1144"/>
      <c r="C17" s="1144"/>
      <c r="D17" s="1144"/>
      <c r="E17" s="1144"/>
      <c r="F17" s="1144"/>
      <c r="G17" s="1144"/>
      <c r="H17" s="1144"/>
      <c r="I17" s="1144"/>
      <c r="J17" s="1144"/>
      <c r="K17" s="1144"/>
      <c r="L17" s="215">
        <f>SUM(Q7:Q16)</f>
        <v>0</v>
      </c>
      <c r="M17" s="1189" t="s">
        <v>847</v>
      </c>
      <c r="N17" s="1205"/>
      <c r="O17" s="1205"/>
      <c r="P17" s="1205"/>
      <c r="Q17" s="1205"/>
      <c r="R17" s="807">
        <f>IF(L17&gt;5,5,L17)</f>
        <v>0</v>
      </c>
      <c r="S17" s="807">
        <f>IF(SUM(S7:S16)&gt;5,5,SUM(S7:S16))</f>
        <v>0</v>
      </c>
      <c r="T17" s="1102"/>
      <c r="U17" s="1103"/>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26.25" customHeight="1">
      <c r="A18" s="1148" t="s">
        <v>31</v>
      </c>
      <c r="B18" s="1149"/>
      <c r="C18" s="1149"/>
      <c r="D18" s="1149"/>
      <c r="E18" s="1149"/>
      <c r="F18" s="1149"/>
      <c r="G18" s="1149"/>
      <c r="H18" s="1149"/>
      <c r="I18" s="1149"/>
      <c r="J18" s="1149"/>
      <c r="K18" s="1149"/>
      <c r="L18" s="1149" t="s">
        <v>572</v>
      </c>
      <c r="M18" s="1149"/>
      <c r="N18" s="1149"/>
      <c r="O18" s="1149"/>
      <c r="P18" s="1149"/>
      <c r="Q18" s="1149"/>
      <c r="R18" s="1149"/>
      <c r="S18" s="1149"/>
      <c r="T18" s="1149"/>
      <c r="U18" s="1150"/>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6.25" customHeight="1" thickBot="1">
      <c r="A19" s="1151">
        <f>'فرم الف'!A27</f>
        <v>0</v>
      </c>
      <c r="B19" s="1153"/>
      <c r="C19" s="1153"/>
      <c r="D19" s="1153"/>
      <c r="E19" s="1153"/>
      <c r="F19" s="1153"/>
      <c r="G19" s="1153"/>
      <c r="H19" s="1153"/>
      <c r="I19" s="1153"/>
      <c r="J19" s="1153"/>
      <c r="K19" s="1153"/>
      <c r="L19" s="1153" t="str">
        <f>'Data Base'!N32</f>
        <v>حميدرضا طاهري تربتي</v>
      </c>
      <c r="M19" s="1153"/>
      <c r="N19" s="1153"/>
      <c r="O19" s="1153"/>
      <c r="P19" s="1153"/>
      <c r="Q19" s="1153"/>
      <c r="R19" s="1153"/>
      <c r="S19" s="1153"/>
      <c r="T19" s="1153"/>
      <c r="U19" s="115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JI1QMn0w7Zalg860NAcMALvziCKuIivrLgEarWjbQQPVFGyNUNeIlvXm+FTTtrPTLawOwJxYdil1x/JsT3g5RA==" saltValue="KQzqfl/An4Uiquf3rQYFLw==" spinCount="100000" sheet="1" objects="1" scenarios="1" formatCells="0" formatRows="0" selectLockedCells="1"/>
  <mergeCells count="50">
    <mergeCell ref="A19:K19"/>
    <mergeCell ref="L19:U19"/>
    <mergeCell ref="T5:U6"/>
    <mergeCell ref="N4:N6"/>
    <mergeCell ref="T16:U16"/>
    <mergeCell ref="A17:K17"/>
    <mergeCell ref="M17:Q17"/>
    <mergeCell ref="T17:U17"/>
    <mergeCell ref="T14:U14"/>
    <mergeCell ref="B7:G7"/>
    <mergeCell ref="B8:G8"/>
    <mergeCell ref="B15:G15"/>
    <mergeCell ref="B16:G16"/>
    <mergeCell ref="B11:G11"/>
    <mergeCell ref="B12:G12"/>
    <mergeCell ref="B13:G13"/>
    <mergeCell ref="T15:U15"/>
    <mergeCell ref="B14:G14"/>
    <mergeCell ref="T12:U12"/>
    <mergeCell ref="T13:U13"/>
    <mergeCell ref="A18:K18"/>
    <mergeCell ref="L18:U18"/>
    <mergeCell ref="T8:U8"/>
    <mergeCell ref="T9:U9"/>
    <mergeCell ref="B9:G9"/>
    <mergeCell ref="T10:U10"/>
    <mergeCell ref="T11:U11"/>
    <mergeCell ref="B10:G10"/>
    <mergeCell ref="T7:U7"/>
    <mergeCell ref="O4:O6"/>
    <mergeCell ref="H5:J5"/>
    <mergeCell ref="K5:M5"/>
    <mergeCell ref="H4:M4"/>
    <mergeCell ref="A3:R3"/>
    <mergeCell ref="S3:U3"/>
    <mergeCell ref="A4:A6"/>
    <mergeCell ref="B4:G6"/>
    <mergeCell ref="R5:R6"/>
    <mergeCell ref="S5:S6"/>
    <mergeCell ref="Q4:U4"/>
    <mergeCell ref="Q5:Q6"/>
    <mergeCell ref="P4:P6"/>
    <mergeCell ref="A1:B2"/>
    <mergeCell ref="C1:G1"/>
    <mergeCell ref="Q1:U1"/>
    <mergeCell ref="C2:G2"/>
    <mergeCell ref="Q2:U2"/>
    <mergeCell ref="N2:P2"/>
    <mergeCell ref="H2:M2"/>
    <mergeCell ref="H1:M1"/>
  </mergeCells>
  <conditionalFormatting sqref="B7:P7">
    <cfRule type="containsBlanks" dxfId="201" priority="6">
      <formula>LEN(TRIM(B7))=0</formula>
    </cfRule>
  </conditionalFormatting>
  <conditionalFormatting sqref="B8:O16">
    <cfRule type="containsBlanks" dxfId="200" priority="2">
      <formula>LEN(TRIM(B8))=0</formula>
    </cfRule>
  </conditionalFormatting>
  <conditionalFormatting sqref="P8:P16">
    <cfRule type="containsBlanks" dxfId="199" priority="1">
      <formula>LEN(TRIM(P8))=0</formula>
    </cfRule>
  </conditionalFormatting>
  <dataValidations count="5">
    <dataValidation type="decimal" allowBlank="1" showInputMessage="1" showErrorMessage="1" errorTitle="خطا در ورود امتياز" error="لطفا يك عدد بين صفر تا 2 وارد نماييد" promptTitle="توجه:" prompt="حداكثر امتياز در واحد كار تا 2 امتياز" sqref="S7:S16">
      <formula1>0</formula1>
      <formula2>2</formula2>
    </dataValidation>
    <dataValidation type="whole" allowBlank="1" showInputMessage="1" showErrorMessage="1" errorTitle="توجه:" error="لطفا یک عدد بین 1 تا 31 وارد نمایید" sqref="H7:H16 K7:K16">
      <formula1>1</formula1>
      <formula2>31</formula2>
    </dataValidation>
    <dataValidation type="whole" allowBlank="1" showInputMessage="1" showErrorMessage="1" errorTitle="توجه:" error="لطفا یک عدد بین 1 تا 12 وارد نمایید" sqref="I7:I16">
      <formula1>1</formula1>
      <formula2>12</formula2>
    </dataValidation>
    <dataValidation type="whole" allowBlank="1" showInputMessage="1" showErrorMessage="1" errorTitle="توجه:" error="لطفا یک عدد بین 1 تا 12 وارد نمایید" sqref="L7:L16">
      <formula1>1</formula1>
      <formula2>12</formula2>
    </dataValidation>
    <dataValidation type="whole" allowBlank="1" showInputMessage="1" showErrorMessage="1" errorTitle="توجه:" error="لطفا یک عدد بین 1370 تا 1400 وارد نمایید" sqref="J7:J16 M7:M16">
      <formula1>1370</formula1>
      <formula2>1400</formula2>
    </dataValidation>
  </dataValidations>
  <printOptions horizontalCentered="1" verticalCentered="1"/>
  <pageMargins left="0" right="0" top="1" bottom="0" header="0" footer="0.31496062992126"/>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Base'!$Q$79:$Q$80</xm:f>
          </x14:formula1>
          <xm:sqref>R7:R16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AO17"/>
  <sheetViews>
    <sheetView showGridLines="0" rightToLeft="1" view="pageBreakPreview" zoomScale="90" zoomScaleNormal="100" zoomScaleSheetLayoutView="90" workbookViewId="0">
      <selection activeCell="A10" sqref="A10:B10"/>
    </sheetView>
  </sheetViews>
  <sheetFormatPr defaultColWidth="9" defaultRowHeight="18"/>
  <cols>
    <col min="1" max="2" width="4.140625" style="141" customWidth="1"/>
    <col min="3" max="11" width="8.42578125" style="141" customWidth="1"/>
    <col min="12" max="12" width="6.7109375" style="141" customWidth="1"/>
    <col min="13" max="18" width="5.140625" style="141" customWidth="1"/>
    <col min="19" max="21" width="4" style="141" customWidth="1"/>
    <col min="22" max="24" width="13" style="141" customWidth="1"/>
    <col min="25" max="16384" width="9" style="141"/>
  </cols>
  <sheetData>
    <row r="1" spans="1:41" ht="15.75" customHeight="1">
      <c r="A1" s="1109" t="s">
        <v>626</v>
      </c>
      <c r="B1" s="1110"/>
      <c r="C1" s="1093" t="s">
        <v>0</v>
      </c>
      <c r="D1" s="1091"/>
      <c r="E1" s="1091"/>
      <c r="F1" s="1091"/>
      <c r="G1" s="1091" t="s">
        <v>1</v>
      </c>
      <c r="H1" s="1091"/>
      <c r="I1" s="1091"/>
      <c r="J1" s="1091"/>
      <c r="K1" s="1091"/>
      <c r="L1" s="1113" t="s">
        <v>2</v>
      </c>
      <c r="M1" s="1113"/>
      <c r="N1" s="1113"/>
      <c r="O1" s="1113"/>
      <c r="P1" s="1113"/>
      <c r="Q1" s="1091" t="s">
        <v>3</v>
      </c>
      <c r="R1" s="1091"/>
      <c r="S1" s="1091"/>
      <c r="T1" s="1091"/>
      <c r="U1" s="1114"/>
      <c r="W1" s="61"/>
      <c r="X1" s="61"/>
      <c r="Y1" s="61"/>
      <c r="Z1" s="61"/>
      <c r="AA1" s="61"/>
      <c r="AB1" s="61"/>
      <c r="AC1" s="61"/>
      <c r="AD1" s="61"/>
      <c r="AE1" s="62"/>
      <c r="AF1" s="63"/>
      <c r="AG1" s="63"/>
      <c r="AH1" s="61"/>
      <c r="AI1" s="61"/>
      <c r="AJ1" s="61"/>
      <c r="AK1" s="61"/>
      <c r="AL1" s="61"/>
      <c r="AM1" s="61"/>
      <c r="AN1" s="61"/>
      <c r="AO1" s="62"/>
    </row>
    <row r="2" spans="1:41" ht="20.25" customHeight="1" thickBot="1">
      <c r="A2" s="1111"/>
      <c r="B2" s="1112"/>
      <c r="C2" s="1094">
        <f>'فرم الف'!B5</f>
        <v>0</v>
      </c>
      <c r="D2" s="1095"/>
      <c r="E2" s="1095"/>
      <c r="F2" s="1095"/>
      <c r="G2" s="1092">
        <f>'فرم الف'!A27</f>
        <v>0</v>
      </c>
      <c r="H2" s="1095"/>
      <c r="I2" s="1095"/>
      <c r="J2" s="1095"/>
      <c r="K2" s="1095"/>
      <c r="L2" s="1092">
        <f>'فرم الف'!J15</f>
        <v>0</v>
      </c>
      <c r="M2" s="1095"/>
      <c r="N2" s="1095"/>
      <c r="O2" s="1095"/>
      <c r="P2" s="1095"/>
      <c r="Q2" s="1115">
        <f>'فرم الف'!D9</f>
        <v>0</v>
      </c>
      <c r="R2" s="1116"/>
      <c r="S2" s="1116"/>
      <c r="T2" s="1116"/>
      <c r="U2" s="1117"/>
      <c r="W2" s="62"/>
      <c r="AA2" s="62"/>
      <c r="AB2" s="62"/>
      <c r="AC2" s="62"/>
      <c r="AD2" s="62"/>
      <c r="AE2" s="62"/>
      <c r="AF2" s="62"/>
      <c r="AG2" s="62"/>
      <c r="AH2" s="62"/>
      <c r="AI2" s="62"/>
      <c r="AJ2" s="62"/>
      <c r="AK2" s="62"/>
      <c r="AL2" s="62"/>
      <c r="AM2" s="62"/>
      <c r="AN2" s="62"/>
      <c r="AO2" s="62"/>
    </row>
    <row r="3" spans="1:41" ht="21.75" thickBot="1">
      <c r="A3" s="1283" t="s">
        <v>627</v>
      </c>
      <c r="B3" s="1283"/>
      <c r="C3" s="1283"/>
      <c r="D3" s="1283"/>
      <c r="E3" s="1283"/>
      <c r="F3" s="1283"/>
      <c r="G3" s="1283"/>
      <c r="H3" s="1283"/>
      <c r="I3" s="1283"/>
      <c r="J3" s="1283"/>
      <c r="K3" s="1283"/>
      <c r="L3" s="1283"/>
      <c r="M3" s="1283"/>
      <c r="N3" s="1283"/>
      <c r="O3" s="1283"/>
      <c r="P3" s="1283"/>
      <c r="Q3" s="1283"/>
      <c r="R3" s="1283"/>
      <c r="S3" s="1282" t="s">
        <v>630</v>
      </c>
      <c r="T3" s="1282"/>
      <c r="U3" s="1282"/>
      <c r="V3" s="66"/>
      <c r="W3" s="62"/>
    </row>
    <row r="4" spans="1:41" ht="30" customHeight="1">
      <c r="A4" s="1284" t="s">
        <v>628</v>
      </c>
      <c r="B4" s="1285"/>
      <c r="C4" s="1285"/>
      <c r="D4" s="1285"/>
      <c r="E4" s="1285"/>
      <c r="F4" s="1285"/>
      <c r="G4" s="1285"/>
      <c r="H4" s="1285"/>
      <c r="I4" s="1285"/>
      <c r="J4" s="1285"/>
      <c r="K4" s="1286"/>
      <c r="L4" s="1286" t="s">
        <v>610</v>
      </c>
      <c r="M4" s="1287" t="s">
        <v>501</v>
      </c>
      <c r="N4" s="1287"/>
      <c r="O4" s="1287"/>
      <c r="P4" s="1287" t="s">
        <v>13</v>
      </c>
      <c r="Q4" s="1287"/>
      <c r="R4" s="1287"/>
      <c r="S4" s="1287" t="s">
        <v>14</v>
      </c>
      <c r="T4" s="1287"/>
      <c r="U4" s="1288"/>
      <c r="V4" s="61"/>
      <c r="W4" s="62"/>
    </row>
    <row r="5" spans="1:41" ht="43.5" customHeight="1">
      <c r="A5" s="1278" t="s">
        <v>569</v>
      </c>
      <c r="B5" s="1279"/>
      <c r="C5" s="1279" t="s">
        <v>570</v>
      </c>
      <c r="D5" s="1279" t="s">
        <v>611</v>
      </c>
      <c r="E5" s="1279" t="s">
        <v>612</v>
      </c>
      <c r="F5" s="1279" t="s">
        <v>613</v>
      </c>
      <c r="G5" s="1279" t="s">
        <v>614</v>
      </c>
      <c r="H5" s="1279" t="s">
        <v>615</v>
      </c>
      <c r="I5" s="1279" t="s">
        <v>616</v>
      </c>
      <c r="J5" s="1279" t="s">
        <v>617</v>
      </c>
      <c r="K5" s="1279" t="s">
        <v>618</v>
      </c>
      <c r="L5" s="1279"/>
      <c r="M5" s="1291" t="s">
        <v>619</v>
      </c>
      <c r="N5" s="1291" t="s">
        <v>620</v>
      </c>
      <c r="O5" s="1291" t="s">
        <v>621</v>
      </c>
      <c r="P5" s="1291" t="s">
        <v>17</v>
      </c>
      <c r="Q5" s="1291" t="s">
        <v>622</v>
      </c>
      <c r="R5" s="1291" t="s">
        <v>18</v>
      </c>
      <c r="S5" s="1279"/>
      <c r="T5" s="1279"/>
      <c r="U5" s="1289"/>
      <c r="V5" s="62"/>
    </row>
    <row r="6" spans="1:41" ht="29.25" customHeight="1" thickBot="1">
      <c r="A6" s="1280"/>
      <c r="B6" s="1281"/>
      <c r="C6" s="1281"/>
      <c r="D6" s="1281"/>
      <c r="E6" s="1281"/>
      <c r="F6" s="1281"/>
      <c r="G6" s="1281"/>
      <c r="H6" s="1281"/>
      <c r="I6" s="1281"/>
      <c r="J6" s="1281"/>
      <c r="K6" s="1281"/>
      <c r="L6" s="1281"/>
      <c r="M6" s="1292"/>
      <c r="N6" s="1292"/>
      <c r="O6" s="1292"/>
      <c r="P6" s="1292"/>
      <c r="Q6" s="1292"/>
      <c r="R6" s="1292"/>
      <c r="S6" s="1281"/>
      <c r="T6" s="1281"/>
      <c r="U6" s="1290"/>
      <c r="V6" s="62"/>
    </row>
    <row r="7" spans="1:41" ht="20.25" customHeight="1">
      <c r="A7" s="1315">
        <f>'بند 2-3کمیت تدریس'!D5</f>
        <v>0</v>
      </c>
      <c r="B7" s="1316"/>
      <c r="C7" s="155">
        <f>'بند 2-3کمیت تدریس'!D21</f>
        <v>0</v>
      </c>
      <c r="D7" s="155">
        <f>'بند 2-3کمیت تدریس'!D37</f>
        <v>0</v>
      </c>
      <c r="E7" s="155">
        <f>'بند 2-3کمیت تدریس'!D53</f>
        <v>0</v>
      </c>
      <c r="F7" s="155">
        <f>'بند 2-3کمیت تدریس'!D69</f>
        <v>0</v>
      </c>
      <c r="G7" s="155">
        <f>'بند 2-3کمیت تدریس'!D85</f>
        <v>0</v>
      </c>
      <c r="H7" s="155">
        <f>'بند 2-3کمیت تدریس'!D101</f>
        <v>0</v>
      </c>
      <c r="I7" s="155">
        <f>'بند 2-3کمیت تدریس'!D117</f>
        <v>0</v>
      </c>
      <c r="J7" s="155">
        <f>'بند 2-3کمیت تدریس'!D133</f>
        <v>0</v>
      </c>
      <c r="K7" s="155">
        <f>'بند 2-3کمیت تدریس'!D149</f>
        <v>0</v>
      </c>
      <c r="L7" s="1293">
        <f>SUM(A10:K10)</f>
        <v>0</v>
      </c>
      <c r="M7" s="1296"/>
      <c r="N7" s="1296"/>
      <c r="O7" s="1298"/>
      <c r="P7" s="1301"/>
      <c r="Q7" s="1301"/>
      <c r="R7" s="1304"/>
      <c r="S7" s="1310"/>
      <c r="T7" s="1311"/>
      <c r="U7" s="1312"/>
      <c r="V7" s="62"/>
    </row>
    <row r="8" spans="1:41" ht="20.25" customHeight="1">
      <c r="A8" s="1317">
        <f>'بند 2-3کمیت تدریس'!B5</f>
        <v>0</v>
      </c>
      <c r="B8" s="1318"/>
      <c r="C8" s="67">
        <f>'بند 2-3کمیت تدریس'!B21</f>
        <v>0</v>
      </c>
      <c r="D8" s="67">
        <f>'بند 2-3کمیت تدریس'!B37</f>
        <v>0</v>
      </c>
      <c r="E8" s="67">
        <f>'بند 2-3کمیت تدریس'!B53</f>
        <v>0</v>
      </c>
      <c r="F8" s="67">
        <f>'بند 2-3کمیت تدریس'!B69</f>
        <v>0</v>
      </c>
      <c r="G8" s="67">
        <f>'بند 2-3کمیت تدریس'!B85</f>
        <v>0</v>
      </c>
      <c r="H8" s="67">
        <f>'بند 2-3کمیت تدریس'!B101</f>
        <v>0</v>
      </c>
      <c r="I8" s="67">
        <f>'بند 2-3کمیت تدریس'!B117</f>
        <v>0</v>
      </c>
      <c r="J8" s="67">
        <f>'بند 2-3کمیت تدریس'!B133</f>
        <v>0</v>
      </c>
      <c r="K8" s="67">
        <f>'بند 2-3کمیت تدریس'!B149</f>
        <v>0</v>
      </c>
      <c r="L8" s="1294"/>
      <c r="M8" s="1279"/>
      <c r="N8" s="1279"/>
      <c r="O8" s="1299"/>
      <c r="P8" s="1302"/>
      <c r="Q8" s="1302"/>
      <c r="R8" s="1304"/>
      <c r="S8" s="1310"/>
      <c r="T8" s="1311"/>
      <c r="U8" s="1312"/>
      <c r="V8" s="62"/>
    </row>
    <row r="9" spans="1:41" ht="42" customHeight="1">
      <c r="A9" s="1319" t="s">
        <v>623</v>
      </c>
      <c r="B9" s="1320"/>
      <c r="C9" s="1320"/>
      <c r="D9" s="1320"/>
      <c r="E9" s="1320"/>
      <c r="F9" s="1320"/>
      <c r="G9" s="1320"/>
      <c r="H9" s="1320"/>
      <c r="I9" s="1320"/>
      <c r="J9" s="1320"/>
      <c r="K9" s="1321"/>
      <c r="L9" s="1294"/>
      <c r="M9" s="1279"/>
      <c r="N9" s="1279"/>
      <c r="O9" s="1299"/>
      <c r="P9" s="1302"/>
      <c r="Q9" s="1302"/>
      <c r="R9" s="1304"/>
      <c r="S9" s="1310"/>
      <c r="T9" s="1311"/>
      <c r="U9" s="1312"/>
      <c r="V9" s="62"/>
      <c r="W9" s="62"/>
    </row>
    <row r="10" spans="1:41" ht="31.5" customHeight="1" thickBot="1">
      <c r="A10" s="1322"/>
      <c r="B10" s="1323"/>
      <c r="C10" s="64"/>
      <c r="D10" s="64"/>
      <c r="E10" s="64"/>
      <c r="F10" s="64"/>
      <c r="G10" s="64"/>
      <c r="H10" s="64"/>
      <c r="I10" s="64"/>
      <c r="J10" s="64"/>
      <c r="K10" s="64"/>
      <c r="L10" s="1295"/>
      <c r="M10" s="1297"/>
      <c r="N10" s="1297"/>
      <c r="O10" s="1300"/>
      <c r="P10" s="1303"/>
      <c r="Q10" s="1303"/>
      <c r="R10" s="1304"/>
      <c r="S10" s="1310"/>
      <c r="T10" s="1311"/>
      <c r="U10" s="1312"/>
      <c r="V10" s="62"/>
      <c r="W10" s="62"/>
    </row>
    <row r="11" spans="1:41" ht="33.75" customHeight="1" thickBot="1">
      <c r="A11" s="1324" t="s">
        <v>624</v>
      </c>
      <c r="B11" s="1325"/>
      <c r="C11" s="1325"/>
      <c r="D11" s="1325"/>
      <c r="E11" s="1325"/>
      <c r="F11" s="1325"/>
      <c r="G11" s="1325"/>
      <c r="H11" s="1325"/>
      <c r="I11" s="1325"/>
      <c r="J11" s="1325"/>
      <c r="K11" s="1325"/>
      <c r="L11" s="1326" t="str">
        <f>IF(L7&lt;5,'Data Base'!K18,L7)</f>
        <v>متقاضي حداقل امتياز لازم را از اين بند كسب نكرده است!</v>
      </c>
      <c r="M11" s="1326"/>
      <c r="N11" s="1326"/>
      <c r="O11" s="1326"/>
      <c r="P11" s="1326"/>
      <c r="Q11" s="1326"/>
      <c r="R11" s="1327"/>
      <c r="S11" s="1311"/>
      <c r="T11" s="1311"/>
      <c r="U11" s="1312"/>
      <c r="V11" s="62"/>
      <c r="W11" s="62"/>
    </row>
    <row r="12" spans="1:41" ht="33.75" customHeight="1">
      <c r="A12" s="1306" t="s">
        <v>629</v>
      </c>
      <c r="B12" s="1307"/>
      <c r="C12" s="1307"/>
      <c r="D12" s="1308">
        <f>Q2</f>
        <v>0</v>
      </c>
      <c r="E12" s="1309"/>
      <c r="F12" s="1309"/>
      <c r="G12" s="1309"/>
      <c r="H12" s="1307" t="s">
        <v>963</v>
      </c>
      <c r="I12" s="1307"/>
      <c r="J12" s="1313">
        <f>C2</f>
        <v>0</v>
      </c>
      <c r="K12" s="1313"/>
      <c r="L12" s="1313"/>
      <c r="M12" s="1313"/>
      <c r="N12" s="1307" t="s">
        <v>33</v>
      </c>
      <c r="O12" s="1307"/>
      <c r="P12" s="1307"/>
      <c r="Q12" s="1313">
        <f>C2</f>
        <v>0</v>
      </c>
      <c r="R12" s="1313"/>
      <c r="S12" s="1313"/>
      <c r="T12" s="1313"/>
      <c r="U12" s="1314"/>
      <c r="V12" s="62"/>
      <c r="W12" s="62"/>
    </row>
    <row r="13" spans="1:41" ht="35.25" customHeight="1" thickBot="1">
      <c r="A13" s="1277">
        <f>'فرم الف'!E27</f>
        <v>0</v>
      </c>
      <c r="B13" s="1153"/>
      <c r="C13" s="1153"/>
      <c r="D13" s="1153"/>
      <c r="E13" s="1153"/>
      <c r="F13" s="1153"/>
      <c r="G13" s="1153"/>
      <c r="H13" s="1153" t="str">
        <f>'فرم ب-2'!G7</f>
        <v/>
      </c>
      <c r="I13" s="1153"/>
      <c r="J13" s="1153"/>
      <c r="K13" s="1153"/>
      <c r="L13" s="1153"/>
      <c r="M13" s="1153"/>
      <c r="N13" s="1153" t="str">
        <f>'فرم الف'!J27</f>
        <v/>
      </c>
      <c r="O13" s="1153"/>
      <c r="P13" s="1153"/>
      <c r="Q13" s="1153"/>
      <c r="R13" s="1153"/>
      <c r="S13" s="1153"/>
      <c r="T13" s="1153"/>
      <c r="U13" s="1154"/>
      <c r="V13" s="62"/>
      <c r="W13" s="62"/>
    </row>
    <row r="14" spans="1:41" ht="63.75" customHeight="1">
      <c r="A14" s="1305" t="s">
        <v>835</v>
      </c>
      <c r="B14" s="1305"/>
      <c r="C14" s="1305"/>
      <c r="D14" s="1305"/>
      <c r="E14" s="1305"/>
      <c r="F14" s="1305"/>
      <c r="G14" s="1305"/>
      <c r="H14" s="1305"/>
      <c r="I14" s="1305"/>
      <c r="J14" s="1305"/>
      <c r="K14" s="1305"/>
      <c r="L14" s="1305"/>
      <c r="M14" s="1305"/>
      <c r="N14" s="1305"/>
      <c r="O14" s="1305"/>
      <c r="P14" s="1305"/>
      <c r="Q14" s="1305"/>
      <c r="R14" s="1305"/>
      <c r="S14" s="1305"/>
      <c r="T14" s="1305"/>
      <c r="U14" s="1305"/>
      <c r="V14" s="62"/>
      <c r="W14" s="62"/>
    </row>
    <row r="15" spans="1:41">
      <c r="A15" s="65"/>
      <c r="B15" s="65"/>
      <c r="C15" s="65"/>
      <c r="D15" s="65"/>
      <c r="E15" s="65"/>
      <c r="F15" s="65"/>
      <c r="G15" s="65"/>
      <c r="H15" s="65"/>
      <c r="I15" s="65"/>
      <c r="J15" s="65"/>
      <c r="K15" s="65"/>
      <c r="L15" s="65"/>
      <c r="M15" s="65"/>
      <c r="N15" s="65"/>
      <c r="O15" s="65"/>
      <c r="P15" s="65"/>
      <c r="Q15" s="65"/>
      <c r="R15" s="65"/>
      <c r="S15" s="65"/>
      <c r="T15" s="65"/>
      <c r="U15" s="65"/>
      <c r="V15" s="62"/>
    </row>
    <row r="16" spans="1:41">
      <c r="V16" s="62"/>
    </row>
    <row r="17" spans="22:22">
      <c r="V17" s="62"/>
    </row>
  </sheetData>
  <sheetProtection algorithmName="SHA-512" hashValue="haJT0+kix7DAeXgyKB8le2N8gSqIsXRxLPKrAh4LFrFHTXl39sT/FxjvPv94rCdHrwpQIinPmlHrel8jby97OQ==" saltValue="v+rKJZWQD9e6+JK6MPJh2Q==" spinCount="100000" sheet="1" objects="1" scenarios="1" formatCells="0" selectLockedCells="1"/>
  <mergeCells count="56">
    <mergeCell ref="A14:U14"/>
    <mergeCell ref="A12:C12"/>
    <mergeCell ref="D12:G12"/>
    <mergeCell ref="N12:P12"/>
    <mergeCell ref="S7:U11"/>
    <mergeCell ref="H13:M13"/>
    <mergeCell ref="Q12:U12"/>
    <mergeCell ref="N13:U13"/>
    <mergeCell ref="A7:B7"/>
    <mergeCell ref="A8:B8"/>
    <mergeCell ref="H12:I12"/>
    <mergeCell ref="J12:M12"/>
    <mergeCell ref="A9:K9"/>
    <mergeCell ref="A10:B10"/>
    <mergeCell ref="A11:K11"/>
    <mergeCell ref="L11:R11"/>
    <mergeCell ref="Q5:Q6"/>
    <mergeCell ref="R5:R6"/>
    <mergeCell ref="L7:L10"/>
    <mergeCell ref="M7:M10"/>
    <mergeCell ref="N7:N10"/>
    <mergeCell ref="O7:O10"/>
    <mergeCell ref="P7:P10"/>
    <mergeCell ref="Q7:Q10"/>
    <mergeCell ref="M5:M6"/>
    <mergeCell ref="N5:N6"/>
    <mergeCell ref="O5:O6"/>
    <mergeCell ref="R7:R10"/>
    <mergeCell ref="S3:U3"/>
    <mergeCell ref="A3:R3"/>
    <mergeCell ref="A4:K4"/>
    <mergeCell ref="A1:B2"/>
    <mergeCell ref="Q1:U1"/>
    <mergeCell ref="Q2:U2"/>
    <mergeCell ref="L4:L6"/>
    <mergeCell ref="M4:O4"/>
    <mergeCell ref="P4:R4"/>
    <mergeCell ref="S4:U6"/>
    <mergeCell ref="C5:C6"/>
    <mergeCell ref="P5:P6"/>
    <mergeCell ref="D5:D6"/>
    <mergeCell ref="E5:E6"/>
    <mergeCell ref="F5:F6"/>
    <mergeCell ref="G5:G6"/>
    <mergeCell ref="A13:G13"/>
    <mergeCell ref="A5:B6"/>
    <mergeCell ref="L1:P1"/>
    <mergeCell ref="L2:P2"/>
    <mergeCell ref="C1:F1"/>
    <mergeCell ref="C2:F2"/>
    <mergeCell ref="G1:K1"/>
    <mergeCell ref="G2:K2"/>
    <mergeCell ref="H5:H6"/>
    <mergeCell ref="I5:I6"/>
    <mergeCell ref="J5:J6"/>
    <mergeCell ref="K5:K6"/>
  </mergeCells>
  <conditionalFormatting sqref="L11">
    <cfRule type="containsText" dxfId="198" priority="3" operator="containsText" text="متقاضی حداقل امتیاز لازم از این بند را کسب نکرده است!">
      <formula>NOT(ISERROR(SEARCH("متقاضی حداقل امتیاز لازم از این بند را کسب نکرده است!",L11)))</formula>
    </cfRule>
  </conditionalFormatting>
  <conditionalFormatting sqref="P7:Q7">
    <cfRule type="containsText" dxfId="197" priority="2" operator="containsText" text="متقاضی حداقل امتیاز لازم از این بند را کسب نکرده است!">
      <formula>NOT(ISERROR(SEARCH("متقاضی حداقل امتیاز لازم از این بند را کسب نکرده است!",P7)))</formula>
    </cfRule>
  </conditionalFormatting>
  <dataValidations count="1">
    <dataValidation type="decimal" allowBlank="1" showInputMessage="1" showErrorMessage="1" errorTitle="خطا در ورود امتياز" error="لطفا یک عدد بین اعداد 0 تا 0/7 انتخاب نمایید" promptTitle="توجه:" prompt="حداكثر امتياز در هر نيم سال 0/7 مي باشد._x000a_چنانچه نمره ارزیابی عضو هیات علمی بیش از دو نيم سال تحصيلي از 0/35 کمتر باشد، ارتقا مرتبه وی به مدت یک سال به تعویق می افتد." sqref="A10:K10">
      <formula1>0</formula1>
      <formula2>0.7</formula2>
    </dataValidation>
  </dataValidations>
  <pageMargins left="0" right="0.2"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809EF12A-1071-4171-B046-F3D8BA5E27B7}">
            <xm:f>NOT(ISERROR(SEARCH('Data Base'!$K$18,L11)))</xm:f>
            <xm:f>'Data Base'!$K$18</xm:f>
            <x14:dxf>
              <font>
                <color rgb="FF9C0006"/>
              </font>
              <fill>
                <patternFill>
                  <bgColor rgb="FFFFC7CE"/>
                </patternFill>
              </fill>
            </x14:dxf>
          </x14:cfRule>
          <xm:sqref>L11:R11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249977111117893"/>
  </sheetPr>
  <dimension ref="A1:Z11"/>
  <sheetViews>
    <sheetView showGridLines="0" rightToLeft="1" view="pageBreakPreview" topLeftCell="D1" zoomScaleNormal="100" zoomScaleSheetLayoutView="100" workbookViewId="0">
      <selection activeCell="D6" sqref="D6"/>
    </sheetView>
  </sheetViews>
  <sheetFormatPr defaultColWidth="9" defaultRowHeight="18"/>
  <cols>
    <col min="1" max="1" width="3.140625" style="141" customWidth="1"/>
    <col min="2" max="2" width="3.85546875" style="141" customWidth="1"/>
    <col min="3" max="3" width="5.5703125" style="141" customWidth="1"/>
    <col min="4" max="6" width="13.140625" style="141" customWidth="1"/>
    <col min="7" max="7" width="13.7109375" style="141" customWidth="1"/>
    <col min="8" max="8" width="15.140625" style="141" customWidth="1"/>
    <col min="9" max="11" width="7.5703125" style="141" customWidth="1"/>
    <col min="12" max="12" width="5.85546875" style="141" customWidth="1"/>
    <col min="13" max="14" width="10" style="141" customWidth="1"/>
    <col min="15" max="15" width="13.140625" style="71" customWidth="1"/>
    <col min="16" max="17" width="13.140625" style="75" customWidth="1"/>
    <col min="18" max="18" width="16.5703125" style="71" customWidth="1"/>
    <col min="19" max="20" width="9" style="71"/>
    <col min="21" max="16384" width="9" style="141"/>
  </cols>
  <sheetData>
    <row r="1" spans="1:26" ht="17.25" customHeight="1">
      <c r="A1" s="1109" t="s">
        <v>626</v>
      </c>
      <c r="B1" s="1110"/>
      <c r="C1" s="1093" t="s">
        <v>0</v>
      </c>
      <c r="D1" s="1091"/>
      <c r="E1" s="1091"/>
      <c r="F1" s="1091" t="s">
        <v>1</v>
      </c>
      <c r="G1" s="1091"/>
      <c r="H1" s="1091"/>
      <c r="I1" s="1113" t="s">
        <v>2</v>
      </c>
      <c r="J1" s="1113"/>
      <c r="K1" s="1113"/>
      <c r="L1" s="1091" t="s">
        <v>3</v>
      </c>
      <c r="M1" s="1091"/>
      <c r="N1" s="1114"/>
      <c r="O1" s="141"/>
      <c r="P1" s="141"/>
      <c r="Q1" s="141"/>
      <c r="R1" s="141"/>
      <c r="S1" s="141"/>
      <c r="T1" s="141"/>
    </row>
    <row r="2" spans="1:26" ht="21" customHeight="1" thickBot="1">
      <c r="A2" s="1111"/>
      <c r="B2" s="1112"/>
      <c r="C2" s="1094">
        <f>'فرم الف'!B5</f>
        <v>0</v>
      </c>
      <c r="D2" s="1095"/>
      <c r="E2" s="1095"/>
      <c r="F2" s="1092">
        <f>'فرم الف'!A27</f>
        <v>0</v>
      </c>
      <c r="G2" s="1095"/>
      <c r="H2" s="1095"/>
      <c r="I2" s="1092">
        <f>'فرم الف'!J15</f>
        <v>0</v>
      </c>
      <c r="J2" s="1095"/>
      <c r="K2" s="1095"/>
      <c r="L2" s="1115">
        <f>'فرم الف'!D9</f>
        <v>0</v>
      </c>
      <c r="M2" s="1116"/>
      <c r="N2" s="1117"/>
      <c r="O2" s="141"/>
      <c r="P2" s="141"/>
      <c r="Q2" s="141"/>
      <c r="R2" s="141"/>
      <c r="S2" s="141"/>
      <c r="T2" s="141"/>
    </row>
    <row r="3" spans="1:26" ht="21.75" thickBot="1">
      <c r="A3" s="1222" t="s">
        <v>642</v>
      </c>
      <c r="B3" s="1222"/>
      <c r="C3" s="1283"/>
      <c r="D3" s="1283"/>
      <c r="E3" s="1283"/>
      <c r="F3" s="1283"/>
      <c r="G3" s="1283"/>
      <c r="H3" s="1283"/>
      <c r="I3" s="1283"/>
      <c r="J3" s="1283"/>
      <c r="K3" s="1283"/>
      <c r="L3" s="1283"/>
      <c r="M3" s="1282" t="s">
        <v>655</v>
      </c>
      <c r="N3" s="1282"/>
      <c r="O3" s="66"/>
      <c r="P3" s="62"/>
      <c r="Q3" s="62"/>
      <c r="R3" s="62"/>
      <c r="S3" s="62"/>
      <c r="T3" s="62"/>
    </row>
    <row r="4" spans="1:26" ht="21.75" customHeight="1">
      <c r="A4" s="1347" t="s">
        <v>9</v>
      </c>
      <c r="B4" s="1343" t="s">
        <v>631</v>
      </c>
      <c r="C4" s="1343"/>
      <c r="D4" s="1343" t="s">
        <v>632</v>
      </c>
      <c r="E4" s="1343"/>
      <c r="F4" s="1343"/>
      <c r="G4" s="1343" t="s">
        <v>633</v>
      </c>
      <c r="H4" s="1343" t="s">
        <v>641</v>
      </c>
      <c r="I4" s="1343" t="s">
        <v>13</v>
      </c>
      <c r="J4" s="1343"/>
      <c r="K4" s="1343"/>
      <c r="L4" s="1343" t="s">
        <v>14</v>
      </c>
      <c r="M4" s="1343"/>
      <c r="N4" s="1344"/>
      <c r="O4" s="68"/>
      <c r="P4" s="69"/>
      <c r="Q4" s="68"/>
      <c r="R4" s="70"/>
      <c r="V4" s="62"/>
      <c r="W4" s="62"/>
      <c r="X4" s="62"/>
      <c r="Y4" s="62"/>
      <c r="Z4" s="62"/>
    </row>
    <row r="5" spans="1:26" ht="61.5" customHeight="1" thickBot="1">
      <c r="A5" s="1348"/>
      <c r="B5" s="1345"/>
      <c r="C5" s="1345"/>
      <c r="D5" s="76" t="s">
        <v>638</v>
      </c>
      <c r="E5" s="76" t="s">
        <v>639</v>
      </c>
      <c r="F5" s="76" t="s">
        <v>640</v>
      </c>
      <c r="G5" s="1345"/>
      <c r="H5" s="1345"/>
      <c r="I5" s="90" t="s">
        <v>17</v>
      </c>
      <c r="J5" s="91" t="s">
        <v>349</v>
      </c>
      <c r="K5" s="91" t="s">
        <v>18</v>
      </c>
      <c r="L5" s="1345"/>
      <c r="M5" s="1345"/>
      <c r="N5" s="1346"/>
      <c r="O5" s="72"/>
      <c r="P5" s="141"/>
      <c r="Q5" s="141"/>
      <c r="R5" s="74"/>
      <c r="S5" s="68"/>
      <c r="T5" s="68"/>
      <c r="U5" s="62"/>
      <c r="V5" s="62"/>
      <c r="W5" s="62"/>
      <c r="X5" s="62"/>
      <c r="Y5" s="62"/>
      <c r="Z5" s="62"/>
    </row>
    <row r="6" spans="1:26" ht="54.75" customHeight="1">
      <c r="A6" s="77">
        <v>1</v>
      </c>
      <c r="B6" s="1296" t="s">
        <v>634</v>
      </c>
      <c r="C6" s="1296"/>
      <c r="D6" s="78"/>
      <c r="E6" s="79"/>
      <c r="F6" s="79"/>
      <c r="G6" s="1293" t="str">
        <f>IF(AND((EXACT(D6,"")),(EXACT(E7,"")),(EXACT(F8,""))),"",IF(AND(EXACT('فرم الف'!E10,'Data Base'!O34),(SUM(D6,E7,F8)&lt;16)),'Data Base'!K18,IF(AND(EXACT('فرم الف'!E10,'Data Base'!O35),(SUM(D6,E7,F8)&lt;17)),'Data Base'!K18,SUM(D6,E7,F8))))</f>
        <v/>
      </c>
      <c r="H6" s="1336" t="str">
        <f>IF(AND(EXACT('فرم الف'!E10,'Data Base'!O34),G6&lt;=17.99),G6-16,IF(AND(EXACT('فرم الف'!E10,'Data Base'!O35),G6&lt;=17.99),G6-17,IF(AND(G6&gt;=18,G6&lt;=18.99),(G6-18)*2+2,IF(AND(G6&gt;=19,G6&lt;=20),(G6-19)*4+4,""))))</f>
        <v/>
      </c>
      <c r="I6" s="1339" t="str">
        <f>IF(H6&lt;0,'Data Base'!K18,H6)</f>
        <v/>
      </c>
      <c r="J6" s="1339" t="str">
        <f>I6</f>
        <v/>
      </c>
      <c r="K6" s="1341"/>
      <c r="L6" s="1328" t="str">
        <f>IF(H6&lt;0,'Data Base'!K18,IF(H6=0,'Data Base'!T31,""))</f>
        <v/>
      </c>
      <c r="M6" s="1329"/>
      <c r="N6" s="1330"/>
      <c r="O6" s="72"/>
      <c r="P6" s="69"/>
      <c r="Q6" s="141"/>
      <c r="R6" s="74"/>
      <c r="S6" s="68"/>
      <c r="T6" s="68"/>
      <c r="U6" s="62"/>
      <c r="V6" s="62"/>
      <c r="W6" s="62"/>
      <c r="X6" s="62"/>
      <c r="Y6" s="62"/>
      <c r="Z6" s="62"/>
    </row>
    <row r="7" spans="1:26" ht="54.75" customHeight="1">
      <c r="A7" s="82">
        <v>3</v>
      </c>
      <c r="B7" s="1279" t="s">
        <v>123</v>
      </c>
      <c r="C7" s="1279"/>
      <c r="D7" s="83"/>
      <c r="E7" s="84"/>
      <c r="F7" s="83"/>
      <c r="G7" s="1294"/>
      <c r="H7" s="1337"/>
      <c r="I7" s="1339"/>
      <c r="J7" s="1339"/>
      <c r="K7" s="1341"/>
      <c r="L7" s="1328"/>
      <c r="M7" s="1329"/>
      <c r="N7" s="1330"/>
      <c r="O7" s="72"/>
      <c r="P7" s="69"/>
      <c r="Q7" s="141"/>
      <c r="R7" s="74"/>
      <c r="S7" s="68"/>
      <c r="T7" s="68"/>
      <c r="U7" s="62"/>
      <c r="V7" s="62"/>
      <c r="W7" s="62"/>
      <c r="X7" s="62"/>
      <c r="Y7" s="62"/>
      <c r="Z7" s="62"/>
    </row>
    <row r="8" spans="1:26" ht="54.75" customHeight="1" thickBot="1">
      <c r="A8" s="85">
        <v>4</v>
      </c>
      <c r="B8" s="1297" t="s">
        <v>636</v>
      </c>
      <c r="C8" s="1297"/>
      <c r="D8" s="86"/>
      <c r="E8" s="86"/>
      <c r="F8" s="87"/>
      <c r="G8" s="1295"/>
      <c r="H8" s="1338"/>
      <c r="I8" s="1339"/>
      <c r="J8" s="1339"/>
      <c r="K8" s="1341"/>
      <c r="L8" s="1328"/>
      <c r="M8" s="1329"/>
      <c r="N8" s="1330"/>
      <c r="O8" s="72"/>
      <c r="P8" s="73"/>
      <c r="Q8" s="141"/>
      <c r="R8" s="81"/>
      <c r="S8" s="68"/>
      <c r="T8" s="68"/>
      <c r="U8" s="62"/>
      <c r="V8" s="62"/>
      <c r="W8" s="62"/>
      <c r="X8" s="62"/>
      <c r="Y8" s="62"/>
      <c r="Z8" s="62"/>
    </row>
    <row r="9" spans="1:26" ht="36.75" customHeight="1" thickBot="1">
      <c r="A9" s="1334" t="s">
        <v>637</v>
      </c>
      <c r="B9" s="1335"/>
      <c r="C9" s="1335"/>
      <c r="D9" s="1335"/>
      <c r="E9" s="1335"/>
      <c r="F9" s="1335"/>
      <c r="G9" s="1335"/>
      <c r="H9" s="1335"/>
      <c r="I9" s="1340"/>
      <c r="J9" s="1340"/>
      <c r="K9" s="1342"/>
      <c r="L9" s="1331"/>
      <c r="M9" s="1332"/>
      <c r="N9" s="1333"/>
      <c r="O9" s="72"/>
      <c r="P9" s="73"/>
      <c r="Q9" s="80"/>
      <c r="R9" s="81"/>
      <c r="S9" s="68"/>
      <c r="T9" s="68"/>
      <c r="U9" s="62"/>
      <c r="V9" s="62"/>
      <c r="W9" s="62"/>
      <c r="X9" s="62"/>
      <c r="Y9" s="62"/>
      <c r="Z9" s="62"/>
    </row>
    <row r="10" spans="1:26" ht="40.5" customHeight="1">
      <c r="A10" s="1306" t="s">
        <v>629</v>
      </c>
      <c r="B10" s="1307"/>
      <c r="C10" s="1307"/>
      <c r="D10" s="1308">
        <f>L2</f>
        <v>0</v>
      </c>
      <c r="E10" s="1313"/>
      <c r="F10" s="138" t="s">
        <v>909</v>
      </c>
      <c r="G10" s="1313">
        <f>'بند2-1رعایت نظم وانضباط درسی'!J12</f>
        <v>0</v>
      </c>
      <c r="H10" s="1313"/>
      <c r="I10" s="1313"/>
      <c r="J10" s="1307" t="s">
        <v>124</v>
      </c>
      <c r="K10" s="1307"/>
      <c r="L10" s="1313">
        <f>'بند2-1رعایت نظم وانضباط درسی'!Q12</f>
        <v>0</v>
      </c>
      <c r="M10" s="1313"/>
      <c r="N10" s="1314"/>
      <c r="O10" s="72"/>
      <c r="P10" s="88"/>
      <c r="Q10" s="80"/>
      <c r="R10" s="81"/>
      <c r="S10" s="68"/>
      <c r="T10" s="68"/>
      <c r="U10" s="62"/>
      <c r="V10" s="62"/>
      <c r="W10" s="62"/>
      <c r="X10" s="62"/>
      <c r="Y10" s="62"/>
      <c r="Z10" s="62"/>
    </row>
    <row r="11" spans="1:26" ht="40.5" customHeight="1" thickBot="1">
      <c r="A11" s="1277">
        <f>'بند2-1رعایت نظم وانضباط درسی'!A13</f>
        <v>0</v>
      </c>
      <c r="B11" s="1153"/>
      <c r="C11" s="1153"/>
      <c r="D11" s="1153"/>
      <c r="E11" s="1153"/>
      <c r="F11" s="1153" t="str">
        <f>'بند2-1رعایت نظم وانضباط درسی'!H13</f>
        <v/>
      </c>
      <c r="G11" s="1153"/>
      <c r="H11" s="1153"/>
      <c r="I11" s="1153"/>
      <c r="J11" s="1153" t="str">
        <f>'بند2-1رعایت نظم وانضباط درسی'!N13</f>
        <v/>
      </c>
      <c r="K11" s="1153"/>
      <c r="L11" s="1153"/>
      <c r="M11" s="1153"/>
      <c r="N11" s="1154"/>
      <c r="O11" s="89"/>
      <c r="P11" s="69"/>
      <c r="Q11" s="80"/>
      <c r="R11" s="81"/>
      <c r="S11" s="68"/>
      <c r="T11" s="68"/>
      <c r="U11" s="62"/>
    </row>
  </sheetData>
  <sheetProtection algorithmName="SHA-512" hashValue="y35XLto5Z9av0vJKrRFInsydxOVyRuraIfgi4AF7UR1xCCOq+wJJ/7PC89zTpionwlFyqB4K7pqCmzyhwvLZBw==" saltValue="OkfxaRVo2FhmGX2pE9x3Tw==" spinCount="100000" sheet="1" objects="1" scenarios="1" formatCells="0" selectLockedCells="1"/>
  <mergeCells count="36">
    <mergeCell ref="A11:E11"/>
    <mergeCell ref="F11:I11"/>
    <mergeCell ref="J11:N11"/>
    <mergeCell ref="J10:K10"/>
    <mergeCell ref="L10:N10"/>
    <mergeCell ref="A10:C10"/>
    <mergeCell ref="G10:I10"/>
    <mergeCell ref="D10:E10"/>
    <mergeCell ref="I4:K4"/>
    <mergeCell ref="L4:N5"/>
    <mergeCell ref="A4:A5"/>
    <mergeCell ref="B4:C5"/>
    <mergeCell ref="D4:F4"/>
    <mergeCell ref="G4:G5"/>
    <mergeCell ref="H4:H5"/>
    <mergeCell ref="L6:N9"/>
    <mergeCell ref="B7:C7"/>
    <mergeCell ref="B8:C8"/>
    <mergeCell ref="A9:H9"/>
    <mergeCell ref="B6:C6"/>
    <mergeCell ref="G6:G8"/>
    <mergeCell ref="H6:H8"/>
    <mergeCell ref="I6:I9"/>
    <mergeCell ref="J6:J9"/>
    <mergeCell ref="K6:K9"/>
    <mergeCell ref="I1:K1"/>
    <mergeCell ref="I2:K2"/>
    <mergeCell ref="L1:N1"/>
    <mergeCell ref="L2:N2"/>
    <mergeCell ref="M3:N3"/>
    <mergeCell ref="A3:L3"/>
    <mergeCell ref="F1:H1"/>
    <mergeCell ref="A1:B2"/>
    <mergeCell ref="C1:E1"/>
    <mergeCell ref="C2:E2"/>
    <mergeCell ref="F2:H2"/>
  </mergeCells>
  <conditionalFormatting sqref="G6:G8">
    <cfRule type="containsText" dxfId="195" priority="5" operator="containsText" text="متقاضی حداقل امتیاز لازم از این بند را کسب نکرده است!">
      <formula>NOT(ISERROR(SEARCH("متقاضی حداقل امتیاز لازم از این بند را کسب نکرده است!",G6)))</formula>
    </cfRule>
  </conditionalFormatting>
  <dataValidations count="3">
    <dataValidation type="decimal" allowBlank="1" showInputMessage="1" showErrorMessage="1" error="لطفا یک عدد بین اعداد 0 و 4 وارد نمایید" sqref="F8">
      <formula1>0</formula1>
      <formula2>4</formula2>
    </dataValidation>
    <dataValidation type="decimal" allowBlank="1" showInputMessage="1" showErrorMessage="1" error="لطفا یک عدد بین اعداد 0 و  10 وارد نمایید" sqref="D6">
      <formula1>0</formula1>
      <formula2>10</formula2>
    </dataValidation>
    <dataValidation type="decimal" allowBlank="1" showInputMessage="1" showErrorMessage="1" error="لطفا یک عدد بین اعداد 0 و 6 وارد نمایید" sqref="E7">
      <formula1>0</formula1>
      <formula2>6</formula2>
    </dataValidation>
  </dataValidations>
  <pageMargins left="0.19685039370078741" right="0.39370078740157483" top="0.78740157480314965"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A182B42E-72E6-42AE-80EE-2A544948F414}">
            <xm:f>NOT(ISERROR(SEARCH('Data Base'!$K$18,G6)))</xm:f>
            <xm:f>'Data Base'!$K$18</xm:f>
            <x14:dxf>
              <font>
                <color rgb="FF9C0006"/>
              </font>
              <fill>
                <patternFill>
                  <bgColor rgb="FFFFC7CE"/>
                </patternFill>
              </fill>
            </x14:dxf>
          </x14:cfRule>
          <xm:sqref>G6:G8</xm:sqref>
        </x14:conditionalFormatting>
        <x14:conditionalFormatting xmlns:xm="http://schemas.microsoft.com/office/excel/2006/main">
          <x14:cfRule type="containsText" priority="3" operator="containsText" id="{8C9866A6-C146-434E-BB8E-83C4514B50CA}">
            <xm:f>NOT(ISERROR(SEARCH('Data Base'!$K$18,L6)))</xm:f>
            <xm:f>'Data Base'!$K$18</xm:f>
            <x14:dxf>
              <font>
                <color rgb="FF9C0006"/>
              </font>
              <fill>
                <patternFill>
                  <bgColor rgb="FFFFC7CE"/>
                </patternFill>
              </fill>
            </x14:dxf>
          </x14:cfRule>
          <x14:cfRule type="containsText" priority="4" operator="containsText" id="{80B1253E-FA38-480A-9E84-C628F24827BB}">
            <xm:f>NOT(ISERROR(SEARCH('Data Base'!$T$31,L6)))</xm:f>
            <xm:f>'Data Base'!$T$31</xm:f>
            <x14:dxf>
              <font>
                <color rgb="FF006100"/>
              </font>
              <fill>
                <patternFill>
                  <bgColor rgb="FFC6EFCE"/>
                </patternFill>
              </fill>
            </x14:dxf>
          </x14:cfRule>
          <xm:sqref>L6:N9</xm:sqref>
        </x14:conditionalFormatting>
        <x14:conditionalFormatting xmlns:xm="http://schemas.microsoft.com/office/excel/2006/main">
          <x14:cfRule type="containsText" priority="2" operator="containsText" id="{CA295919-22D7-43CB-AF1E-1BB6E6518927}">
            <xm:f>NOT(ISERROR(SEARCH('Data Base'!$K$18,I6)))</xm:f>
            <xm:f>'Data Base'!$K$18</xm:f>
            <x14:dxf>
              <font>
                <color rgb="FF9C0006"/>
              </font>
            </x14:dxf>
          </x14:cfRule>
          <xm:sqref>I6:J9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sheetPr>
  <dimension ref="A1:Y250"/>
  <sheetViews>
    <sheetView showGridLines="0" rightToLeft="1" view="pageBreakPreview" zoomScaleNormal="100" zoomScaleSheetLayoutView="100" workbookViewId="0">
      <pane ySplit="4" topLeftCell="A17" activePane="bottomLeft" state="frozen"/>
      <selection pane="bottomLeft" activeCell="K26" sqref="K26"/>
    </sheetView>
  </sheetViews>
  <sheetFormatPr defaultColWidth="9" defaultRowHeight="15.75"/>
  <cols>
    <col min="1" max="1" width="4" style="92" customWidth="1"/>
    <col min="2" max="2" width="2.85546875" style="92" customWidth="1"/>
    <col min="3" max="3" width="4" style="92" customWidth="1"/>
    <col min="4" max="4" width="7.7109375" style="92" customWidth="1"/>
    <col min="5" max="5" width="14.7109375" style="92" customWidth="1"/>
    <col min="6" max="6" width="16.7109375" style="92" customWidth="1"/>
    <col min="7" max="7" width="12.42578125" style="92" customWidth="1"/>
    <col min="8" max="8" width="16.85546875" style="92" customWidth="1"/>
    <col min="9" max="9" width="6.42578125" style="92" customWidth="1"/>
    <col min="10" max="10" width="7.140625" style="92" customWidth="1"/>
    <col min="11" max="11" width="17.42578125" style="92" customWidth="1"/>
    <col min="12" max="12" width="13.42578125" style="102" customWidth="1"/>
    <col min="13" max="13" width="6.42578125" style="92" customWidth="1"/>
    <col min="14" max="21" width="13.5703125" style="92" customWidth="1"/>
    <col min="22" max="22" width="5.5703125" style="92" customWidth="1"/>
    <col min="23" max="27" width="5.28515625" style="92" customWidth="1"/>
    <col min="28" max="16384" width="9" style="92"/>
  </cols>
  <sheetData>
    <row r="1" spans="1:25" ht="17.25" customHeight="1">
      <c r="A1" s="1109" t="s">
        <v>626</v>
      </c>
      <c r="B1" s="1110"/>
      <c r="C1" s="1093" t="s">
        <v>0</v>
      </c>
      <c r="D1" s="1091"/>
      <c r="E1" s="1091"/>
      <c r="F1" s="1091" t="s">
        <v>1</v>
      </c>
      <c r="G1" s="1091"/>
      <c r="H1" s="1113" t="s">
        <v>2</v>
      </c>
      <c r="I1" s="1113"/>
      <c r="J1" s="1113"/>
      <c r="K1" s="1091" t="s">
        <v>3</v>
      </c>
      <c r="L1" s="1091"/>
      <c r="M1" s="1114"/>
      <c r="W1" s="95"/>
      <c r="X1" s="95"/>
      <c r="Y1" s="95"/>
    </row>
    <row r="2" spans="1:25" ht="23.25" customHeight="1" thickBot="1">
      <c r="A2" s="1111"/>
      <c r="B2" s="1112"/>
      <c r="C2" s="1094">
        <f>'فرم الف'!B5</f>
        <v>0</v>
      </c>
      <c r="D2" s="1095"/>
      <c r="E2" s="1095"/>
      <c r="F2" s="1092">
        <f>'فرم الف'!A27</f>
        <v>0</v>
      </c>
      <c r="G2" s="1095"/>
      <c r="H2" s="1092">
        <f>'فرم الف'!J15</f>
        <v>0</v>
      </c>
      <c r="I2" s="1095"/>
      <c r="J2" s="1095"/>
      <c r="K2" s="1374">
        <f>'فرم الف'!D9</f>
        <v>0</v>
      </c>
      <c r="L2" s="1375"/>
      <c r="M2" s="1376"/>
      <c r="S2" s="94"/>
      <c r="T2" s="94"/>
      <c r="U2" s="94"/>
      <c r="V2" s="94"/>
      <c r="W2" s="94"/>
      <c r="X2" s="94"/>
      <c r="Y2" s="94"/>
    </row>
    <row r="3" spans="1:25" ht="21.75" thickBot="1">
      <c r="A3" s="1174" t="s">
        <v>654</v>
      </c>
      <c r="B3" s="1174"/>
      <c r="C3" s="1118"/>
      <c r="D3" s="1118"/>
      <c r="E3" s="1118"/>
      <c r="F3" s="1118"/>
      <c r="G3" s="1118"/>
      <c r="H3" s="1118"/>
      <c r="I3" s="1118"/>
      <c r="J3" s="1118"/>
      <c r="K3" s="1118"/>
      <c r="L3" s="1370" t="s">
        <v>656</v>
      </c>
      <c r="M3" s="1370"/>
      <c r="S3" s="94"/>
    </row>
    <row r="4" spans="1:25" ht="64.5" customHeight="1" thickBot="1">
      <c r="A4" s="159" t="s">
        <v>9</v>
      </c>
      <c r="B4" s="1371" t="s">
        <v>660</v>
      </c>
      <c r="C4" s="1372"/>
      <c r="D4" s="160" t="s">
        <v>407</v>
      </c>
      <c r="E4" s="1377" t="s">
        <v>647</v>
      </c>
      <c r="F4" s="1378"/>
      <c r="G4" s="161" t="s">
        <v>650</v>
      </c>
      <c r="H4" s="160" t="s">
        <v>658</v>
      </c>
      <c r="I4" s="160" t="s">
        <v>352</v>
      </c>
      <c r="J4" s="160" t="s">
        <v>648</v>
      </c>
      <c r="K4" s="160" t="s">
        <v>661</v>
      </c>
      <c r="L4" s="160" t="s">
        <v>649</v>
      </c>
      <c r="M4" s="162" t="s">
        <v>641</v>
      </c>
      <c r="O4" s="93"/>
      <c r="S4" s="94"/>
      <c r="U4" s="94"/>
      <c r="V4" s="94"/>
      <c r="W4" s="94"/>
      <c r="X4" s="94"/>
    </row>
    <row r="5" spans="1:25" ht="21" customHeight="1">
      <c r="A5" s="156">
        <v>1</v>
      </c>
      <c r="B5" s="1373"/>
      <c r="C5" s="1373"/>
      <c r="D5" s="157"/>
      <c r="E5" s="1379"/>
      <c r="F5" s="1379"/>
      <c r="G5" s="163"/>
      <c r="H5" s="157"/>
      <c r="I5" s="158"/>
      <c r="J5" s="158"/>
      <c r="K5" s="157"/>
      <c r="L5" s="158" t="s">
        <v>652</v>
      </c>
      <c r="M5" s="164" t="str">
        <f>IF(AND(NOT(EXACT(D5,"")),NOT(EXACT(G5,"")),NOT(EXACT(E5,"")),NOT(EXACT(B5,"")),NOT(EXACT(I5,"")),NOT(EXACT(H5,""))),IF(AND(EXACT(G5,'Data Base'!$T$35),OR(EXACT(H5,'Data Base'!$V$36),EXACT(H5,'Data Base'!$V$35)),EXACT(K5,'Data Base'!$X$35)),I5*0.5*1*1,IF(AND(EXACT(G5,'Data Base'!$T$35),EXACT(H5,'Data Base'!$V$37),EXACT(K5,'Data Base'!$X$35)),I5*0.5*0.5*1,IF(AND(EXACT(G5,'Data Base'!$T$35),EXACT(H5,'Data Base'!$V$38),EXACT(K5,'Data Base'!$X$35)),I5*0.5*1.2*1,IF(AND(EXACT(G5,'Data Base'!$T$35),OR(EXACT(H5,'Data Base'!$V$36),EXACT(H5,'Data Base'!$V$35)),EXACT(K5,'Data Base'!$X$36)),I5*0.5*1*0.75,IF(AND(EXACT(G5,'Data Base'!$T$35),EXACT(H5,'Data Base'!$V$37),EXACT(K5,'Data Base'!$X$36)),I5*0.5*0.5*0.75,IF(AND(EXACT(G5,'Data Base'!$T$35),EXACT(H5,'Data Base'!$V$38),EXACT(K5,'Data Base'!$X$36)),I5*0.5*1.2*0.75,IF(AND(EXACT(G5,'Data Base'!$T$35),OR(EXACT(H5,'Data Base'!$V$36),EXACT(H5,'Data Base'!$V$35)),EXACT(K5,'Data Base'!$X$37)),I5*0.5*1*0.5,IF(AND(EXACT(G5,'Data Base'!$T$35),EXACT(H5,'Data Base'!$V$37),EXACT(K5,'Data Base'!$X$37)),I5*0.5*0.5*0.5,IF(AND(EXACT(G5,'Data Base'!$T$35),EXACT(H5,'Data Base'!$V$38),EXACT(K5,'Data Base'!$X$37)),I5*0.5*1.2*0.5,IF(AND(EXACT(G5,'Data Base'!$T$36),OR(EXACT(H5,'Data Base'!$V$36),EXACT(H5,'Data Base'!$V$35)),EXACT(K5,'Data Base'!$X$35)),I5*1*1*1,IF(AND(EXACT(G5,'Data Base'!$T$36),EXACT(H5,'Data Base'!$V$37),EXACT(K5,'Data Base'!$X$35)),I5*1*0.5*1,IF(AND(EXACT(G5,'Data Base'!$T$36),EXACT(H5,'Data Base'!$V$38),EXACT(K5,'Data Base'!$X$35)),I5*1*1.2*1,IF(AND(EXACT(G5,'Data Base'!$T$36),OR(EXACT(H5,'Data Base'!$V$36),EXACT(H5,'Data Base'!$V$35)),EXACT(K5,'Data Base'!$X$36)),I5*1*1*0.75,IF(AND(EXACT(G5,'Data Base'!$T$36),EXACT(H5,'Data Base'!$V$37),EXACT(K5,'Data Base'!$X$36)),I5*1*0.5*0.75,IF(AND(EXACT(G5,'Data Base'!$T$36),EXACT(H5,'Data Base'!$V$38),EXACT(K5,'Data Base'!$X$36)),I5*1*1.2*0.75,IF(AND(EXACT(G5,'Data Base'!$T$36),OR(EXACT(H5,'Data Base'!$V$36),EXACT(H5,'Data Base'!$V$35)),EXACT(K5,'Data Base'!$X$37)),I5*1*1*0.5,IF(AND(EXACT(G5,'Data Base'!$T$36),EXACT(H5,'Data Base'!$V$37),EXACT(K5,'Data Base'!$X$37)),I5*1*0.5*0.5,IF(AND(EXACT(G5,'Data Base'!$T$36),EXACT(H5,'Data Base'!$V$38),EXACT(K5,'Data Base'!$X$37)),I5*1*1.2*0.5,IF(AND(EXACT(G5,'Data Base'!$T$37),OR(EXACT(H5,'Data Base'!$V$36),EXACT(H5,'Data Base'!$V$35)),EXACT(K5,'Data Base'!$X$35)),I5*1.25*1*1,IF(AND(EXACT(G5,'Data Base'!$T$37),EXACT(H5,'Data Base'!$V$37),EXACT(K5,'Data Base'!$X$35)),I5*1.25*0.5*1,IF(AND(EXACT(G5,'Data Base'!$T$37),EXACT(H5,'Data Base'!$V$38),EXACT(K5,'Data Base'!$X$35)),I5*1.25*1.2*1,IF(AND(EXACT(G5,'Data Base'!$T$37),OR(EXACT(H5,'Data Base'!$V$36),EXACT(H5,'Data Base'!$V$35)),EXACT(K5,'Data Base'!$X$36)),I5*1.25*1*0.75,IF(AND(EXACT(G5,'Data Base'!$T$37),EXACT(H5,'Data Base'!$V$37),EXACT(K5,'Data Base'!$X$36)),I5*1.25*0.5*0.75,IF(AND(EXACT(G5,'Data Base'!$T$37),EXACT(H5,'Data Base'!$V$38),EXACT(K5,'Data Base'!$X$36)),I5*1.25*1.2*0.75,IF(AND(EXACT(G5,'Data Base'!$T$37),OR(EXACT(H5,'Data Base'!$V$36),EXACT(H5,'Data Base'!$V$35)),EXACT(K5,'Data Base'!$X$37)),I5*1.25*1*0.5,IF(AND(EXACT(G5,'Data Base'!$T$37),EXACT(H5,'Data Base'!$V$37),EXACT(K5,'Data Base'!$X$37)),I5*1.25*0.5*0.5,IF(AND(EXACT(G5,'Data Base'!$T$37),EXACT(H5,'Data Base'!$V$38),EXACT(K5,'Data Base'!$X$37)),I5*1.25*1.2*0.5))))))))))))))))))))))))))),"")</f>
        <v/>
      </c>
      <c r="N5" s="94"/>
      <c r="S5" s="94"/>
      <c r="T5" s="94"/>
    </row>
    <row r="6" spans="1:25" ht="21" customHeight="1">
      <c r="A6" s="99">
        <v>2</v>
      </c>
      <c r="B6" s="1349" t="str">
        <f t="shared" ref="B6:B19" si="0">IF(NOT(EXACT(D6,"")),B5,"")</f>
        <v/>
      </c>
      <c r="C6" s="1350"/>
      <c r="D6" s="148" t="str">
        <f t="shared" ref="D6:D19" si="1">IF(NOT(EXACT(E6,"")),D5,"")</f>
        <v/>
      </c>
      <c r="E6" s="1365"/>
      <c r="F6" s="1365"/>
      <c r="G6" s="165"/>
      <c r="H6" s="140"/>
      <c r="I6" s="4"/>
      <c r="J6" s="4"/>
      <c r="K6" s="140"/>
      <c r="L6" s="4" t="s">
        <v>652</v>
      </c>
      <c r="M6" s="166" t="str">
        <f>IF(AND(NOT(EXACT(D6,"")),NOT(EXACT(G6,"")),NOT(EXACT(E6,"")),NOT(EXACT(B6,"")),NOT(EXACT(I6,"")),NOT(EXACT(H6,""))),IF(AND(EXACT(G6,'Data Base'!$T$35),OR(EXACT(H6,'Data Base'!$V$36),EXACT(H6,'Data Base'!$V$35)),EXACT(K6,'Data Base'!$X$35)),I6*0.5*1*1,IF(AND(EXACT(G6,'Data Base'!$T$35),EXACT(H6,'Data Base'!$V$37),EXACT(K6,'Data Base'!$X$35)),I6*0.5*0.5*1,IF(AND(EXACT(G6,'Data Base'!$T$35),EXACT(H6,'Data Base'!$V$38),EXACT(K6,'Data Base'!$X$35)),I6*0.5*1.2*1,IF(AND(EXACT(G6,'Data Base'!$T$35),OR(EXACT(H6,'Data Base'!$V$36),EXACT(H6,'Data Base'!$V$35)),EXACT(K6,'Data Base'!$X$36)),I6*0.5*1*0.75,IF(AND(EXACT(G6,'Data Base'!$T$35),EXACT(H6,'Data Base'!$V$37),EXACT(K6,'Data Base'!$X$36)),I6*0.5*0.5*0.75,IF(AND(EXACT(G6,'Data Base'!$T$35),EXACT(H6,'Data Base'!$V$38),EXACT(K6,'Data Base'!$X$36)),I6*0.5*1.2*0.75,IF(AND(EXACT(G6,'Data Base'!$T$35),OR(EXACT(H6,'Data Base'!$V$36),EXACT(H6,'Data Base'!$V$35)),EXACT(K6,'Data Base'!$X$37)),I6*0.5*1*0.5,IF(AND(EXACT(G6,'Data Base'!$T$35),EXACT(H6,'Data Base'!$V$37),EXACT(K6,'Data Base'!$X$37)),I6*0.5*0.5*0.5,IF(AND(EXACT(G6,'Data Base'!$T$35),EXACT(H6,'Data Base'!$V$38),EXACT(K6,'Data Base'!$X$37)),I6*0.5*1.2*0.5,IF(AND(EXACT(G6,'Data Base'!$T$36),OR(EXACT(H6,'Data Base'!$V$36),EXACT(H6,'Data Base'!$V$35)),EXACT(K6,'Data Base'!$X$35)),I6*1*1*1,IF(AND(EXACT(G6,'Data Base'!$T$36),EXACT(H6,'Data Base'!$V$37),EXACT(K6,'Data Base'!$X$35)),I6*1*0.5*1,IF(AND(EXACT(G6,'Data Base'!$T$36),EXACT(H6,'Data Base'!$V$38),EXACT(K6,'Data Base'!$X$35)),I6*1*1.2*1,IF(AND(EXACT(G6,'Data Base'!$T$36),OR(EXACT(H6,'Data Base'!$V$36),EXACT(H6,'Data Base'!$V$35)),EXACT(K6,'Data Base'!$X$36)),I6*1*1*0.75,IF(AND(EXACT(G6,'Data Base'!$T$36),EXACT(H6,'Data Base'!$V$37),EXACT(K6,'Data Base'!$X$36)),I6*1*0.5*0.75,IF(AND(EXACT(G6,'Data Base'!$T$36),EXACT(H6,'Data Base'!$V$38),EXACT(K6,'Data Base'!$X$36)),I6*1*1.2*0.75,IF(AND(EXACT(G6,'Data Base'!$T$36),OR(EXACT(H6,'Data Base'!$V$36),EXACT(H6,'Data Base'!$V$35)),EXACT(K6,'Data Base'!$X$37)),I6*1*1*0.5,IF(AND(EXACT(G6,'Data Base'!$T$36),EXACT(H6,'Data Base'!$V$37),EXACT(K6,'Data Base'!$X$37)),I6*1*0.5*0.5,IF(AND(EXACT(G6,'Data Base'!$T$36),EXACT(H6,'Data Base'!$V$38),EXACT(K6,'Data Base'!$X$37)),I6*1*1.2*0.5,IF(AND(EXACT(G6,'Data Base'!$T$37),OR(EXACT(H6,'Data Base'!$V$36),EXACT(H6,'Data Base'!$V$35)),EXACT(K6,'Data Base'!$X$35)),I6*1.25*1*1,IF(AND(EXACT(G6,'Data Base'!$T$37),EXACT(H6,'Data Base'!$V$37),EXACT(K6,'Data Base'!$X$35)),I6*1.25*0.5*1,IF(AND(EXACT(G6,'Data Base'!$T$37),EXACT(H6,'Data Base'!$V$38),EXACT(K6,'Data Base'!$X$35)),I6*1.25*1.2*1,IF(AND(EXACT(G6,'Data Base'!$T$37),OR(EXACT(H6,'Data Base'!$V$36),EXACT(H6,'Data Base'!$V$35)),EXACT(K6,'Data Base'!$X$36)),I6*1.25*1*0.75,IF(AND(EXACT(G6,'Data Base'!$T$37),EXACT(H6,'Data Base'!$V$37),EXACT(K6,'Data Base'!$X$36)),I6*1.25*0.5*0.75,IF(AND(EXACT(G6,'Data Base'!$T$37),EXACT(H6,'Data Base'!$V$38),EXACT(K6,'Data Base'!$X$36)),I6*1.25*1.2*0.75,IF(AND(EXACT(G6,'Data Base'!$T$37),OR(EXACT(H6,'Data Base'!$V$36),EXACT(H6,'Data Base'!$V$35)),EXACT(K6,'Data Base'!$X$37)),I6*1.25*1*0.5,IF(AND(EXACT(G6,'Data Base'!$T$37),EXACT(H6,'Data Base'!$V$37),EXACT(K6,'Data Base'!$X$37)),I6*1.25*0.5*0.5,IF(AND(EXACT(G6,'Data Base'!$T$37),EXACT(H6,'Data Base'!$V$38),EXACT(K6,'Data Base'!$X$37)),I6*1.25*1.2*0.5))))))))))))))))))))))))))),"")</f>
        <v/>
      </c>
      <c r="P6" s="94"/>
      <c r="R6" s="94"/>
      <c r="S6" s="94"/>
      <c r="T6" s="94"/>
    </row>
    <row r="7" spans="1:25" ht="21" customHeight="1">
      <c r="A7" s="99">
        <v>3</v>
      </c>
      <c r="B7" s="1349" t="str">
        <f t="shared" si="0"/>
        <v/>
      </c>
      <c r="C7" s="1350"/>
      <c r="D7" s="148" t="str">
        <f t="shared" si="1"/>
        <v/>
      </c>
      <c r="E7" s="1351"/>
      <c r="F7" s="1352"/>
      <c r="G7" s="165"/>
      <c r="H7" s="140"/>
      <c r="I7" s="4"/>
      <c r="J7" s="4"/>
      <c r="K7" s="140"/>
      <c r="L7" s="4" t="s">
        <v>652</v>
      </c>
      <c r="M7" s="166" t="str">
        <f>IF(AND(NOT(EXACT(D7,"")),NOT(EXACT(G7,"")),NOT(EXACT(E7,"")),NOT(EXACT(B7,"")),NOT(EXACT(I7,"")),NOT(EXACT(H7,""))),IF(AND(EXACT(G7,'Data Base'!$T$35),OR(EXACT(H7,'Data Base'!$V$36),EXACT(H7,'Data Base'!$V$35)),EXACT(K7,'Data Base'!$X$35)),I7*0.5*1*1,IF(AND(EXACT(G7,'Data Base'!$T$35),EXACT(H7,'Data Base'!$V$37),EXACT(K7,'Data Base'!$X$35)),I7*0.5*0.5*1,IF(AND(EXACT(G7,'Data Base'!$T$35),EXACT(H7,'Data Base'!$V$38),EXACT(K7,'Data Base'!$X$35)),I7*0.5*1.2*1,IF(AND(EXACT(G7,'Data Base'!$T$35),OR(EXACT(H7,'Data Base'!$V$36),EXACT(H7,'Data Base'!$V$35)),EXACT(K7,'Data Base'!$X$36)),I7*0.5*1*0.75,IF(AND(EXACT(G7,'Data Base'!$T$35),EXACT(H7,'Data Base'!$V$37),EXACT(K7,'Data Base'!$X$36)),I7*0.5*0.5*0.75,IF(AND(EXACT(G7,'Data Base'!$T$35),EXACT(H7,'Data Base'!$V$38),EXACT(K7,'Data Base'!$X$36)),I7*0.5*1.2*0.75,IF(AND(EXACT(G7,'Data Base'!$T$35),OR(EXACT(H7,'Data Base'!$V$36),EXACT(H7,'Data Base'!$V$35)),EXACT(K7,'Data Base'!$X$37)),I7*0.5*1*0.5,IF(AND(EXACT(G7,'Data Base'!$T$35),EXACT(H7,'Data Base'!$V$37),EXACT(K7,'Data Base'!$X$37)),I7*0.5*0.5*0.5,IF(AND(EXACT(G7,'Data Base'!$T$35),EXACT(H7,'Data Base'!$V$38),EXACT(K7,'Data Base'!$X$37)),I7*0.5*1.2*0.5,IF(AND(EXACT(G7,'Data Base'!$T$36),OR(EXACT(H7,'Data Base'!$V$36),EXACT(H7,'Data Base'!$V$35)),EXACT(K7,'Data Base'!$X$35)),I7*1*1*1,IF(AND(EXACT(G7,'Data Base'!$T$36),EXACT(H7,'Data Base'!$V$37),EXACT(K7,'Data Base'!$X$35)),I7*1*0.5*1,IF(AND(EXACT(G7,'Data Base'!$T$36),EXACT(H7,'Data Base'!$V$38),EXACT(K7,'Data Base'!$X$35)),I7*1*1.2*1,IF(AND(EXACT(G7,'Data Base'!$T$36),OR(EXACT(H7,'Data Base'!$V$36),EXACT(H7,'Data Base'!$V$35)),EXACT(K7,'Data Base'!$X$36)),I7*1*1*0.75,IF(AND(EXACT(G7,'Data Base'!$T$36),EXACT(H7,'Data Base'!$V$37),EXACT(K7,'Data Base'!$X$36)),I7*1*0.5*0.75,IF(AND(EXACT(G7,'Data Base'!$T$36),EXACT(H7,'Data Base'!$V$38),EXACT(K7,'Data Base'!$X$36)),I7*1*1.2*0.75,IF(AND(EXACT(G7,'Data Base'!$T$36),OR(EXACT(H7,'Data Base'!$V$36),EXACT(H7,'Data Base'!$V$35)),EXACT(K7,'Data Base'!$X$37)),I7*1*1*0.5,IF(AND(EXACT(G7,'Data Base'!$T$36),EXACT(H7,'Data Base'!$V$37),EXACT(K7,'Data Base'!$X$37)),I7*1*0.5*0.5,IF(AND(EXACT(G7,'Data Base'!$T$36),EXACT(H7,'Data Base'!$V$38),EXACT(K7,'Data Base'!$X$37)),I7*1*1.2*0.5,IF(AND(EXACT(G7,'Data Base'!$T$37),OR(EXACT(H7,'Data Base'!$V$36),EXACT(H7,'Data Base'!$V$35)),EXACT(K7,'Data Base'!$X$35)),I7*1.25*1*1,IF(AND(EXACT(G7,'Data Base'!$T$37),EXACT(H7,'Data Base'!$V$37),EXACT(K7,'Data Base'!$X$35)),I7*1.25*0.5*1,IF(AND(EXACT(G7,'Data Base'!$T$37),EXACT(H7,'Data Base'!$V$38),EXACT(K7,'Data Base'!$X$35)),I7*1.25*1.2*1,IF(AND(EXACT(G7,'Data Base'!$T$37),OR(EXACT(H7,'Data Base'!$V$36),EXACT(H7,'Data Base'!$V$35)),EXACT(K7,'Data Base'!$X$36)),I7*1.25*1*0.75,IF(AND(EXACT(G7,'Data Base'!$T$37),EXACT(H7,'Data Base'!$V$37),EXACT(K7,'Data Base'!$X$36)),I7*1.25*0.5*0.75,IF(AND(EXACT(G7,'Data Base'!$T$37),EXACT(H7,'Data Base'!$V$38),EXACT(K7,'Data Base'!$X$36)),I7*1.25*1.2*0.75,IF(AND(EXACT(G7,'Data Base'!$T$37),OR(EXACT(H7,'Data Base'!$V$36),EXACT(H7,'Data Base'!$V$35)),EXACT(K7,'Data Base'!$X$37)),I7*1.25*1*0.5,IF(AND(EXACT(G7,'Data Base'!$T$37),EXACT(H7,'Data Base'!$V$37),EXACT(K7,'Data Base'!$X$37)),I7*1.25*0.5*0.5,IF(AND(EXACT(G7,'Data Base'!$T$37),EXACT(H7,'Data Base'!$V$38),EXACT(K7,'Data Base'!$X$37)),I7*1.25*1.2*0.5))))))))))))))))))))))))))),"")</f>
        <v/>
      </c>
      <c r="O7" s="94"/>
      <c r="P7" s="94"/>
      <c r="R7" s="96"/>
      <c r="S7" s="94"/>
      <c r="T7" s="94"/>
    </row>
    <row r="8" spans="1:25" ht="21" customHeight="1">
      <c r="A8" s="97">
        <v>4</v>
      </c>
      <c r="B8" s="1349" t="str">
        <f t="shared" si="0"/>
        <v/>
      </c>
      <c r="C8" s="1350"/>
      <c r="D8" s="148" t="str">
        <f t="shared" si="1"/>
        <v/>
      </c>
      <c r="E8" s="1351"/>
      <c r="F8" s="1352"/>
      <c r="G8" s="165"/>
      <c r="H8" s="140"/>
      <c r="I8" s="4"/>
      <c r="J8" s="4"/>
      <c r="K8" s="140"/>
      <c r="L8" s="4" t="s">
        <v>652</v>
      </c>
      <c r="M8" s="166" t="str">
        <f>IF(AND(NOT(EXACT(D8,"")),NOT(EXACT(G8,"")),NOT(EXACT(E8,"")),NOT(EXACT(B8,"")),NOT(EXACT(I8,"")),NOT(EXACT(H8,""))),IF(AND(EXACT(G8,'Data Base'!$T$35),OR(EXACT(H8,'Data Base'!$V$36),EXACT(H8,'Data Base'!$V$35)),EXACT(K8,'Data Base'!$X$35)),I8*0.5*1*1,IF(AND(EXACT(G8,'Data Base'!$T$35),EXACT(H8,'Data Base'!$V$37),EXACT(K8,'Data Base'!$X$35)),I8*0.5*0.5*1,IF(AND(EXACT(G8,'Data Base'!$T$35),EXACT(H8,'Data Base'!$V$38),EXACT(K8,'Data Base'!$X$35)),I8*0.5*1.2*1,IF(AND(EXACT(G8,'Data Base'!$T$35),OR(EXACT(H8,'Data Base'!$V$36),EXACT(H8,'Data Base'!$V$35)),EXACT(K8,'Data Base'!$X$36)),I8*0.5*1*0.75,IF(AND(EXACT(G8,'Data Base'!$T$35),EXACT(H8,'Data Base'!$V$37),EXACT(K8,'Data Base'!$X$36)),I8*0.5*0.5*0.75,IF(AND(EXACT(G8,'Data Base'!$T$35),EXACT(H8,'Data Base'!$V$38),EXACT(K8,'Data Base'!$X$36)),I8*0.5*1.2*0.75,IF(AND(EXACT(G8,'Data Base'!$T$35),OR(EXACT(H8,'Data Base'!$V$36),EXACT(H8,'Data Base'!$V$35)),EXACT(K8,'Data Base'!$X$37)),I8*0.5*1*0.5,IF(AND(EXACT(G8,'Data Base'!$T$35),EXACT(H8,'Data Base'!$V$37),EXACT(K8,'Data Base'!$X$37)),I8*0.5*0.5*0.5,IF(AND(EXACT(G8,'Data Base'!$T$35),EXACT(H8,'Data Base'!$V$38),EXACT(K8,'Data Base'!$X$37)),I8*0.5*1.2*0.5,IF(AND(EXACT(G8,'Data Base'!$T$36),OR(EXACT(H8,'Data Base'!$V$36),EXACT(H8,'Data Base'!$V$35)),EXACT(K8,'Data Base'!$X$35)),I8*1*1*1,IF(AND(EXACT(G8,'Data Base'!$T$36),EXACT(H8,'Data Base'!$V$37),EXACT(K8,'Data Base'!$X$35)),I8*1*0.5*1,IF(AND(EXACT(G8,'Data Base'!$T$36),EXACT(H8,'Data Base'!$V$38),EXACT(K8,'Data Base'!$X$35)),I8*1*1.2*1,IF(AND(EXACT(G8,'Data Base'!$T$36),OR(EXACT(H8,'Data Base'!$V$36),EXACT(H8,'Data Base'!$V$35)),EXACT(K8,'Data Base'!$X$36)),I8*1*1*0.75,IF(AND(EXACT(G8,'Data Base'!$T$36),EXACT(H8,'Data Base'!$V$37),EXACT(K8,'Data Base'!$X$36)),I8*1*0.5*0.75,IF(AND(EXACT(G8,'Data Base'!$T$36),EXACT(H8,'Data Base'!$V$38),EXACT(K8,'Data Base'!$X$36)),I8*1*1.2*0.75,IF(AND(EXACT(G8,'Data Base'!$T$36),OR(EXACT(H8,'Data Base'!$V$36),EXACT(H8,'Data Base'!$V$35)),EXACT(K8,'Data Base'!$X$37)),I8*1*1*0.5,IF(AND(EXACT(G8,'Data Base'!$T$36),EXACT(H8,'Data Base'!$V$37),EXACT(K8,'Data Base'!$X$37)),I8*1*0.5*0.5,IF(AND(EXACT(G8,'Data Base'!$T$36),EXACT(H8,'Data Base'!$V$38),EXACT(K8,'Data Base'!$X$37)),I8*1*1.2*0.5,IF(AND(EXACT(G8,'Data Base'!$T$37),OR(EXACT(H8,'Data Base'!$V$36),EXACT(H8,'Data Base'!$V$35)),EXACT(K8,'Data Base'!$X$35)),I8*1.25*1*1,IF(AND(EXACT(G8,'Data Base'!$T$37),EXACT(H8,'Data Base'!$V$37),EXACT(K8,'Data Base'!$X$35)),I8*1.25*0.5*1,IF(AND(EXACT(G8,'Data Base'!$T$37),EXACT(H8,'Data Base'!$V$38),EXACT(K8,'Data Base'!$X$35)),I8*1.25*1.2*1,IF(AND(EXACT(G8,'Data Base'!$T$37),OR(EXACT(H8,'Data Base'!$V$36),EXACT(H8,'Data Base'!$V$35)),EXACT(K8,'Data Base'!$X$36)),I8*1.25*1*0.75,IF(AND(EXACT(G8,'Data Base'!$T$37),EXACT(H8,'Data Base'!$V$37),EXACT(K8,'Data Base'!$X$36)),I8*1.25*0.5*0.75,IF(AND(EXACT(G8,'Data Base'!$T$37),EXACT(H8,'Data Base'!$V$38),EXACT(K8,'Data Base'!$X$36)),I8*1.25*1.2*0.75,IF(AND(EXACT(G8,'Data Base'!$T$37),OR(EXACT(H8,'Data Base'!$V$36),EXACT(H8,'Data Base'!$V$35)),EXACT(K8,'Data Base'!$X$37)),I8*1.25*1*0.5,IF(AND(EXACT(G8,'Data Base'!$T$37),EXACT(H8,'Data Base'!$V$37),EXACT(K8,'Data Base'!$X$37)),I8*1.25*0.5*0.5,IF(AND(EXACT(G8,'Data Base'!$T$37),EXACT(H8,'Data Base'!$V$38),EXACT(K8,'Data Base'!$X$37)),I8*1.25*1.2*0.5))))))))))))))))))))))))))),"")</f>
        <v/>
      </c>
      <c r="N8" s="94"/>
      <c r="O8" s="94"/>
    </row>
    <row r="9" spans="1:25" ht="21" customHeight="1">
      <c r="A9" s="99">
        <v>5</v>
      </c>
      <c r="B9" s="1349" t="str">
        <f t="shared" si="0"/>
        <v/>
      </c>
      <c r="C9" s="1350"/>
      <c r="D9" s="148" t="str">
        <f t="shared" si="1"/>
        <v/>
      </c>
      <c r="E9" s="1351"/>
      <c r="F9" s="1352"/>
      <c r="G9" s="165"/>
      <c r="H9" s="140"/>
      <c r="I9" s="4"/>
      <c r="J9" s="4"/>
      <c r="K9" s="140"/>
      <c r="L9" s="4" t="s">
        <v>652</v>
      </c>
      <c r="M9" s="166" t="str">
        <f>IF(AND(NOT(EXACT(D9,"")),NOT(EXACT(G9,"")),NOT(EXACT(E9,"")),NOT(EXACT(B9,"")),NOT(EXACT(I9,"")),NOT(EXACT(H9,""))),IF(AND(EXACT(G9,'Data Base'!$T$35),OR(EXACT(H9,'Data Base'!$V$36),EXACT(H9,'Data Base'!$V$35)),EXACT(K9,'Data Base'!$X$35)),I9*0.5*1*1,IF(AND(EXACT(G9,'Data Base'!$T$35),EXACT(H9,'Data Base'!$V$37),EXACT(K9,'Data Base'!$X$35)),I9*0.5*0.5*1,IF(AND(EXACT(G9,'Data Base'!$T$35),EXACT(H9,'Data Base'!$V$38),EXACT(K9,'Data Base'!$X$35)),I9*0.5*1.2*1,IF(AND(EXACT(G9,'Data Base'!$T$35),OR(EXACT(H9,'Data Base'!$V$36),EXACT(H9,'Data Base'!$V$35)),EXACT(K9,'Data Base'!$X$36)),I9*0.5*1*0.75,IF(AND(EXACT(G9,'Data Base'!$T$35),EXACT(H9,'Data Base'!$V$37),EXACT(K9,'Data Base'!$X$36)),I9*0.5*0.5*0.75,IF(AND(EXACT(G9,'Data Base'!$T$35),EXACT(H9,'Data Base'!$V$38),EXACT(K9,'Data Base'!$X$36)),I9*0.5*1.2*0.75,IF(AND(EXACT(G9,'Data Base'!$T$35),OR(EXACT(H9,'Data Base'!$V$36),EXACT(H9,'Data Base'!$V$35)),EXACT(K9,'Data Base'!$X$37)),I9*0.5*1*0.5,IF(AND(EXACT(G9,'Data Base'!$T$35),EXACT(H9,'Data Base'!$V$37),EXACT(K9,'Data Base'!$X$37)),I9*0.5*0.5*0.5,IF(AND(EXACT(G9,'Data Base'!$T$35),EXACT(H9,'Data Base'!$V$38),EXACT(K9,'Data Base'!$X$37)),I9*0.5*1.2*0.5,IF(AND(EXACT(G9,'Data Base'!$T$36),OR(EXACT(H9,'Data Base'!$V$36),EXACT(H9,'Data Base'!$V$35)),EXACT(K9,'Data Base'!$X$35)),I9*1*1*1,IF(AND(EXACT(G9,'Data Base'!$T$36),EXACT(H9,'Data Base'!$V$37),EXACT(K9,'Data Base'!$X$35)),I9*1*0.5*1,IF(AND(EXACT(G9,'Data Base'!$T$36),EXACT(H9,'Data Base'!$V$38),EXACT(K9,'Data Base'!$X$35)),I9*1*1.2*1,IF(AND(EXACT(G9,'Data Base'!$T$36),OR(EXACT(H9,'Data Base'!$V$36),EXACT(H9,'Data Base'!$V$35)),EXACT(K9,'Data Base'!$X$36)),I9*1*1*0.75,IF(AND(EXACT(G9,'Data Base'!$T$36),EXACT(H9,'Data Base'!$V$37),EXACT(K9,'Data Base'!$X$36)),I9*1*0.5*0.75,IF(AND(EXACT(G9,'Data Base'!$T$36),EXACT(H9,'Data Base'!$V$38),EXACT(K9,'Data Base'!$X$36)),I9*1*1.2*0.75,IF(AND(EXACT(G9,'Data Base'!$T$36),OR(EXACT(H9,'Data Base'!$V$36),EXACT(H9,'Data Base'!$V$35)),EXACT(K9,'Data Base'!$X$37)),I9*1*1*0.5,IF(AND(EXACT(G9,'Data Base'!$T$36),EXACT(H9,'Data Base'!$V$37),EXACT(K9,'Data Base'!$X$37)),I9*1*0.5*0.5,IF(AND(EXACT(G9,'Data Base'!$T$36),EXACT(H9,'Data Base'!$V$38),EXACT(K9,'Data Base'!$X$37)),I9*1*1.2*0.5,IF(AND(EXACT(G9,'Data Base'!$T$37),OR(EXACT(H9,'Data Base'!$V$36),EXACT(H9,'Data Base'!$V$35)),EXACT(K9,'Data Base'!$X$35)),I9*1.25*1*1,IF(AND(EXACT(G9,'Data Base'!$T$37),EXACT(H9,'Data Base'!$V$37),EXACT(K9,'Data Base'!$X$35)),I9*1.25*0.5*1,IF(AND(EXACT(G9,'Data Base'!$T$37),EXACT(H9,'Data Base'!$V$38),EXACT(K9,'Data Base'!$X$35)),I9*1.25*1.2*1,IF(AND(EXACT(G9,'Data Base'!$T$37),OR(EXACT(H9,'Data Base'!$V$36),EXACT(H9,'Data Base'!$V$35)),EXACT(K9,'Data Base'!$X$36)),I9*1.25*1*0.75,IF(AND(EXACT(G9,'Data Base'!$T$37),EXACT(H9,'Data Base'!$V$37),EXACT(K9,'Data Base'!$X$36)),I9*1.25*0.5*0.75,IF(AND(EXACT(G9,'Data Base'!$T$37),EXACT(H9,'Data Base'!$V$38),EXACT(K9,'Data Base'!$X$36)),I9*1.25*1.2*0.75,IF(AND(EXACT(G9,'Data Base'!$T$37),OR(EXACT(H9,'Data Base'!$V$36),EXACT(H9,'Data Base'!$V$35)),EXACT(K9,'Data Base'!$X$37)),I9*1.25*1*0.5,IF(AND(EXACT(G9,'Data Base'!$T$37),EXACT(H9,'Data Base'!$V$37),EXACT(K9,'Data Base'!$X$37)),I9*1.25*0.5*0.5,IF(AND(EXACT(G9,'Data Base'!$T$37),EXACT(H9,'Data Base'!$V$38),EXACT(K9,'Data Base'!$X$37)),I9*1.25*1.2*0.5))))))))))))))))))))))))))),"")</f>
        <v/>
      </c>
      <c r="N9" s="94"/>
      <c r="O9" s="94"/>
    </row>
    <row r="10" spans="1:25" ht="21" customHeight="1">
      <c r="A10" s="99">
        <v>6</v>
      </c>
      <c r="B10" s="1349" t="str">
        <f t="shared" si="0"/>
        <v/>
      </c>
      <c r="C10" s="1350"/>
      <c r="D10" s="148" t="str">
        <f t="shared" si="1"/>
        <v/>
      </c>
      <c r="E10" s="1351"/>
      <c r="F10" s="1352"/>
      <c r="G10" s="165"/>
      <c r="H10" s="140"/>
      <c r="I10" s="4"/>
      <c r="J10" s="4"/>
      <c r="K10" s="140"/>
      <c r="L10" s="4" t="s">
        <v>652</v>
      </c>
      <c r="M10" s="166" t="str">
        <f>IF(AND(NOT(EXACT(D10,"")),NOT(EXACT(G10,"")),NOT(EXACT(E10,"")),NOT(EXACT(B10,"")),NOT(EXACT(I10,"")),NOT(EXACT(H10,""))),IF(AND(EXACT(G10,'Data Base'!$T$35),OR(EXACT(H10,'Data Base'!$V$36),EXACT(H10,'Data Base'!$V$35)),EXACT(K10,'Data Base'!$X$35)),I10*0.5*1*1,IF(AND(EXACT(G10,'Data Base'!$T$35),EXACT(H10,'Data Base'!$V$37),EXACT(K10,'Data Base'!$X$35)),I10*0.5*0.5*1,IF(AND(EXACT(G10,'Data Base'!$T$35),EXACT(H10,'Data Base'!$V$38),EXACT(K10,'Data Base'!$X$35)),I10*0.5*1.2*1,IF(AND(EXACT(G10,'Data Base'!$T$35),OR(EXACT(H10,'Data Base'!$V$36),EXACT(H10,'Data Base'!$V$35)),EXACT(K10,'Data Base'!$X$36)),I10*0.5*1*0.75,IF(AND(EXACT(G10,'Data Base'!$T$35),EXACT(H10,'Data Base'!$V$37),EXACT(K10,'Data Base'!$X$36)),I10*0.5*0.5*0.75,IF(AND(EXACT(G10,'Data Base'!$T$35),EXACT(H10,'Data Base'!$V$38),EXACT(K10,'Data Base'!$X$36)),I10*0.5*1.2*0.75,IF(AND(EXACT(G10,'Data Base'!$T$35),OR(EXACT(H10,'Data Base'!$V$36),EXACT(H10,'Data Base'!$V$35)),EXACT(K10,'Data Base'!$X$37)),I10*0.5*1*0.5,IF(AND(EXACT(G10,'Data Base'!$T$35),EXACT(H10,'Data Base'!$V$37),EXACT(K10,'Data Base'!$X$37)),I10*0.5*0.5*0.5,IF(AND(EXACT(G10,'Data Base'!$T$35),EXACT(H10,'Data Base'!$V$38),EXACT(K10,'Data Base'!$X$37)),I10*0.5*1.2*0.5,IF(AND(EXACT(G10,'Data Base'!$T$36),OR(EXACT(H10,'Data Base'!$V$36),EXACT(H10,'Data Base'!$V$35)),EXACT(K10,'Data Base'!$X$35)),I10*1*1*1,IF(AND(EXACT(G10,'Data Base'!$T$36),EXACT(H10,'Data Base'!$V$37),EXACT(K10,'Data Base'!$X$35)),I10*1*0.5*1,IF(AND(EXACT(G10,'Data Base'!$T$36),EXACT(H10,'Data Base'!$V$38),EXACT(K10,'Data Base'!$X$35)),I10*1*1.2*1,IF(AND(EXACT(G10,'Data Base'!$T$36),OR(EXACT(H10,'Data Base'!$V$36),EXACT(H10,'Data Base'!$V$35)),EXACT(K10,'Data Base'!$X$36)),I10*1*1*0.75,IF(AND(EXACT(G10,'Data Base'!$T$36),EXACT(H10,'Data Base'!$V$37),EXACT(K10,'Data Base'!$X$36)),I10*1*0.5*0.75,IF(AND(EXACT(G10,'Data Base'!$T$36),EXACT(H10,'Data Base'!$V$38),EXACT(K10,'Data Base'!$X$36)),I10*1*1.2*0.75,IF(AND(EXACT(G10,'Data Base'!$T$36),OR(EXACT(H10,'Data Base'!$V$36),EXACT(H10,'Data Base'!$V$35)),EXACT(K10,'Data Base'!$X$37)),I10*1*1*0.5,IF(AND(EXACT(G10,'Data Base'!$T$36),EXACT(H10,'Data Base'!$V$37),EXACT(K10,'Data Base'!$X$37)),I10*1*0.5*0.5,IF(AND(EXACT(G10,'Data Base'!$T$36),EXACT(H10,'Data Base'!$V$38),EXACT(K10,'Data Base'!$X$37)),I10*1*1.2*0.5,IF(AND(EXACT(G10,'Data Base'!$T$37),OR(EXACT(H10,'Data Base'!$V$36),EXACT(H10,'Data Base'!$V$35)),EXACT(K10,'Data Base'!$X$35)),I10*1.25*1*1,IF(AND(EXACT(G10,'Data Base'!$T$37),EXACT(H10,'Data Base'!$V$37),EXACT(K10,'Data Base'!$X$35)),I10*1.25*0.5*1,IF(AND(EXACT(G10,'Data Base'!$T$37),EXACT(H10,'Data Base'!$V$38),EXACT(K10,'Data Base'!$X$35)),I10*1.25*1.2*1,IF(AND(EXACT(G10,'Data Base'!$T$37),OR(EXACT(H10,'Data Base'!$V$36),EXACT(H10,'Data Base'!$V$35)),EXACT(K10,'Data Base'!$X$36)),I10*1.25*1*0.75,IF(AND(EXACT(G10,'Data Base'!$T$37),EXACT(H10,'Data Base'!$V$37),EXACT(K10,'Data Base'!$X$36)),I10*1.25*0.5*0.75,IF(AND(EXACT(G10,'Data Base'!$T$37),EXACT(H10,'Data Base'!$V$38),EXACT(K10,'Data Base'!$X$36)),I10*1.25*1.2*0.75,IF(AND(EXACT(G10,'Data Base'!$T$37),OR(EXACT(H10,'Data Base'!$V$36),EXACT(H10,'Data Base'!$V$35)),EXACT(K10,'Data Base'!$X$37)),I10*1.25*1*0.5,IF(AND(EXACT(G10,'Data Base'!$T$37),EXACT(H10,'Data Base'!$V$37),EXACT(K10,'Data Base'!$X$37)),I10*1.25*0.5*0.5,IF(AND(EXACT(G10,'Data Base'!$T$37),EXACT(H10,'Data Base'!$V$38),EXACT(K10,'Data Base'!$X$37)),I10*1.25*1.2*0.5))))))))))))))))))))))))))),"")</f>
        <v/>
      </c>
      <c r="N10" s="94"/>
      <c r="O10" s="94"/>
    </row>
    <row r="11" spans="1:25" ht="21" customHeight="1">
      <c r="A11" s="97">
        <v>7</v>
      </c>
      <c r="B11" s="1349" t="str">
        <f t="shared" si="0"/>
        <v/>
      </c>
      <c r="C11" s="1350"/>
      <c r="D11" s="148" t="str">
        <f t="shared" si="1"/>
        <v/>
      </c>
      <c r="E11" s="1351"/>
      <c r="F11" s="1352"/>
      <c r="G11" s="165"/>
      <c r="H11" s="140"/>
      <c r="I11" s="4"/>
      <c r="J11" s="4"/>
      <c r="K11" s="140"/>
      <c r="L11" s="4" t="s">
        <v>652</v>
      </c>
      <c r="M11" s="166" t="str">
        <f>IF(AND(NOT(EXACT(D11,"")),NOT(EXACT(G11,"")),NOT(EXACT(E11,"")),NOT(EXACT(B11,"")),NOT(EXACT(I11,"")),NOT(EXACT(H11,""))),IF(AND(EXACT(G11,'Data Base'!$T$35),OR(EXACT(H11,'Data Base'!$V$36),EXACT(H11,'Data Base'!$V$35)),EXACT(K11,'Data Base'!$X$35)),I11*0.5*1*1,IF(AND(EXACT(G11,'Data Base'!$T$35),EXACT(H11,'Data Base'!$V$37),EXACT(K11,'Data Base'!$X$35)),I11*0.5*0.5*1,IF(AND(EXACT(G11,'Data Base'!$T$35),EXACT(H11,'Data Base'!$V$38),EXACT(K11,'Data Base'!$X$35)),I11*0.5*1.2*1,IF(AND(EXACT(G11,'Data Base'!$T$35),OR(EXACT(H11,'Data Base'!$V$36),EXACT(H11,'Data Base'!$V$35)),EXACT(K11,'Data Base'!$X$36)),I11*0.5*1*0.75,IF(AND(EXACT(G11,'Data Base'!$T$35),EXACT(H11,'Data Base'!$V$37),EXACT(K11,'Data Base'!$X$36)),I11*0.5*0.5*0.75,IF(AND(EXACT(G11,'Data Base'!$T$35),EXACT(H11,'Data Base'!$V$38),EXACT(K11,'Data Base'!$X$36)),I11*0.5*1.2*0.75,IF(AND(EXACT(G11,'Data Base'!$T$35),OR(EXACT(H11,'Data Base'!$V$36),EXACT(H11,'Data Base'!$V$35)),EXACT(K11,'Data Base'!$X$37)),I11*0.5*1*0.5,IF(AND(EXACT(G11,'Data Base'!$T$35),EXACT(H11,'Data Base'!$V$37),EXACT(K11,'Data Base'!$X$37)),I11*0.5*0.5*0.5,IF(AND(EXACT(G11,'Data Base'!$T$35),EXACT(H11,'Data Base'!$V$38),EXACT(K11,'Data Base'!$X$37)),I11*0.5*1.2*0.5,IF(AND(EXACT(G11,'Data Base'!$T$36),OR(EXACT(H11,'Data Base'!$V$36),EXACT(H11,'Data Base'!$V$35)),EXACT(K11,'Data Base'!$X$35)),I11*1*1*1,IF(AND(EXACT(G11,'Data Base'!$T$36),EXACT(H11,'Data Base'!$V$37),EXACT(K11,'Data Base'!$X$35)),I11*1*0.5*1,IF(AND(EXACT(G11,'Data Base'!$T$36),EXACT(H11,'Data Base'!$V$38),EXACT(K11,'Data Base'!$X$35)),I11*1*1.2*1,IF(AND(EXACT(G11,'Data Base'!$T$36),OR(EXACT(H11,'Data Base'!$V$36),EXACT(H11,'Data Base'!$V$35)),EXACT(K11,'Data Base'!$X$36)),I11*1*1*0.75,IF(AND(EXACT(G11,'Data Base'!$T$36),EXACT(H11,'Data Base'!$V$37),EXACT(K11,'Data Base'!$X$36)),I11*1*0.5*0.75,IF(AND(EXACT(G11,'Data Base'!$T$36),EXACT(H11,'Data Base'!$V$38),EXACT(K11,'Data Base'!$X$36)),I11*1*1.2*0.75,IF(AND(EXACT(G11,'Data Base'!$T$36),OR(EXACT(H11,'Data Base'!$V$36),EXACT(H11,'Data Base'!$V$35)),EXACT(K11,'Data Base'!$X$37)),I11*1*1*0.5,IF(AND(EXACT(G11,'Data Base'!$T$36),EXACT(H11,'Data Base'!$V$37),EXACT(K11,'Data Base'!$X$37)),I11*1*0.5*0.5,IF(AND(EXACT(G11,'Data Base'!$T$36),EXACT(H11,'Data Base'!$V$38),EXACT(K11,'Data Base'!$X$37)),I11*1*1.2*0.5,IF(AND(EXACT(G11,'Data Base'!$T$37),OR(EXACT(H11,'Data Base'!$V$36),EXACT(H11,'Data Base'!$V$35)),EXACT(K11,'Data Base'!$X$35)),I11*1.25*1*1,IF(AND(EXACT(G11,'Data Base'!$T$37),EXACT(H11,'Data Base'!$V$37),EXACT(K11,'Data Base'!$X$35)),I11*1.25*0.5*1,IF(AND(EXACT(G11,'Data Base'!$T$37),EXACT(H11,'Data Base'!$V$38),EXACT(K11,'Data Base'!$X$35)),I11*1.25*1.2*1,IF(AND(EXACT(G11,'Data Base'!$T$37),OR(EXACT(H11,'Data Base'!$V$36),EXACT(H11,'Data Base'!$V$35)),EXACT(K11,'Data Base'!$X$36)),I11*1.25*1*0.75,IF(AND(EXACT(G11,'Data Base'!$T$37),EXACT(H11,'Data Base'!$V$37),EXACT(K11,'Data Base'!$X$36)),I11*1.25*0.5*0.75,IF(AND(EXACT(G11,'Data Base'!$T$37),EXACT(H11,'Data Base'!$V$38),EXACT(K11,'Data Base'!$X$36)),I11*1.25*1.2*0.75,IF(AND(EXACT(G11,'Data Base'!$T$37),OR(EXACT(H11,'Data Base'!$V$36),EXACT(H11,'Data Base'!$V$35)),EXACT(K11,'Data Base'!$X$37)),I11*1.25*1*0.5,IF(AND(EXACT(G11,'Data Base'!$T$37),EXACT(H11,'Data Base'!$V$37),EXACT(K11,'Data Base'!$X$37)),I11*1.25*0.5*0.5,IF(AND(EXACT(G11,'Data Base'!$T$37),EXACT(H11,'Data Base'!$V$38),EXACT(K11,'Data Base'!$X$37)),I11*1.25*1.2*0.5))))))))))))))))))))))))))),"")</f>
        <v/>
      </c>
    </row>
    <row r="12" spans="1:25" ht="21" customHeight="1">
      <c r="A12" s="99">
        <v>8</v>
      </c>
      <c r="B12" s="1349" t="str">
        <f t="shared" si="0"/>
        <v/>
      </c>
      <c r="C12" s="1350"/>
      <c r="D12" s="148" t="str">
        <f t="shared" si="1"/>
        <v/>
      </c>
      <c r="E12" s="1351"/>
      <c r="F12" s="1352"/>
      <c r="G12" s="165"/>
      <c r="H12" s="140"/>
      <c r="I12" s="4"/>
      <c r="J12" s="4"/>
      <c r="K12" s="140"/>
      <c r="L12" s="4" t="s">
        <v>652</v>
      </c>
      <c r="M12" s="166" t="str">
        <f>IF(AND(NOT(EXACT(D12,"")),NOT(EXACT(G12,"")),NOT(EXACT(E12,"")),NOT(EXACT(B12,"")),NOT(EXACT(I12,"")),NOT(EXACT(H12,""))),IF(AND(EXACT(G12,'Data Base'!$T$35),OR(EXACT(H12,'Data Base'!$V$36),EXACT(H12,'Data Base'!$V$35)),EXACT(K12,'Data Base'!$X$35)),I12*0.5*1*1,IF(AND(EXACT(G12,'Data Base'!$T$35),EXACT(H12,'Data Base'!$V$37),EXACT(K12,'Data Base'!$X$35)),I12*0.5*0.5*1,IF(AND(EXACT(G12,'Data Base'!$T$35),EXACT(H12,'Data Base'!$V$38),EXACT(K12,'Data Base'!$X$35)),I12*0.5*1.2*1,IF(AND(EXACT(G12,'Data Base'!$T$35),OR(EXACT(H12,'Data Base'!$V$36),EXACT(H12,'Data Base'!$V$35)),EXACT(K12,'Data Base'!$X$36)),I12*0.5*1*0.75,IF(AND(EXACT(G12,'Data Base'!$T$35),EXACT(H12,'Data Base'!$V$37),EXACT(K12,'Data Base'!$X$36)),I12*0.5*0.5*0.75,IF(AND(EXACT(G12,'Data Base'!$T$35),EXACT(H12,'Data Base'!$V$38),EXACT(K12,'Data Base'!$X$36)),I12*0.5*1.2*0.75,IF(AND(EXACT(G12,'Data Base'!$T$35),OR(EXACT(H12,'Data Base'!$V$36),EXACT(H12,'Data Base'!$V$35)),EXACT(K12,'Data Base'!$X$37)),I12*0.5*1*0.5,IF(AND(EXACT(G12,'Data Base'!$T$35),EXACT(H12,'Data Base'!$V$37),EXACT(K12,'Data Base'!$X$37)),I12*0.5*0.5*0.5,IF(AND(EXACT(G12,'Data Base'!$T$35),EXACT(H12,'Data Base'!$V$38),EXACT(K12,'Data Base'!$X$37)),I12*0.5*1.2*0.5,IF(AND(EXACT(G12,'Data Base'!$T$36),OR(EXACT(H12,'Data Base'!$V$36),EXACT(H12,'Data Base'!$V$35)),EXACT(K12,'Data Base'!$X$35)),I12*1*1*1,IF(AND(EXACT(G12,'Data Base'!$T$36),EXACT(H12,'Data Base'!$V$37),EXACT(K12,'Data Base'!$X$35)),I12*1*0.5*1,IF(AND(EXACT(G12,'Data Base'!$T$36),EXACT(H12,'Data Base'!$V$38),EXACT(K12,'Data Base'!$X$35)),I12*1*1.2*1,IF(AND(EXACT(G12,'Data Base'!$T$36),OR(EXACT(H12,'Data Base'!$V$36),EXACT(H12,'Data Base'!$V$35)),EXACT(K12,'Data Base'!$X$36)),I12*1*1*0.75,IF(AND(EXACT(G12,'Data Base'!$T$36),EXACT(H12,'Data Base'!$V$37),EXACT(K12,'Data Base'!$X$36)),I12*1*0.5*0.75,IF(AND(EXACT(G12,'Data Base'!$T$36),EXACT(H12,'Data Base'!$V$38),EXACT(K12,'Data Base'!$X$36)),I12*1*1.2*0.75,IF(AND(EXACT(G12,'Data Base'!$T$36),OR(EXACT(H12,'Data Base'!$V$36),EXACT(H12,'Data Base'!$V$35)),EXACT(K12,'Data Base'!$X$37)),I12*1*1*0.5,IF(AND(EXACT(G12,'Data Base'!$T$36),EXACT(H12,'Data Base'!$V$37),EXACT(K12,'Data Base'!$X$37)),I12*1*0.5*0.5,IF(AND(EXACT(G12,'Data Base'!$T$36),EXACT(H12,'Data Base'!$V$38),EXACT(K12,'Data Base'!$X$37)),I12*1*1.2*0.5,IF(AND(EXACT(G12,'Data Base'!$T$37),OR(EXACT(H12,'Data Base'!$V$36),EXACT(H12,'Data Base'!$V$35)),EXACT(K12,'Data Base'!$X$35)),I12*1.25*1*1,IF(AND(EXACT(G12,'Data Base'!$T$37),EXACT(H12,'Data Base'!$V$37),EXACT(K12,'Data Base'!$X$35)),I12*1.25*0.5*1,IF(AND(EXACT(G12,'Data Base'!$T$37),EXACT(H12,'Data Base'!$V$38),EXACT(K12,'Data Base'!$X$35)),I12*1.25*1.2*1,IF(AND(EXACT(G12,'Data Base'!$T$37),OR(EXACT(H12,'Data Base'!$V$36),EXACT(H12,'Data Base'!$V$35)),EXACT(K12,'Data Base'!$X$36)),I12*1.25*1*0.75,IF(AND(EXACT(G12,'Data Base'!$T$37),EXACT(H12,'Data Base'!$V$37),EXACT(K12,'Data Base'!$X$36)),I12*1.25*0.5*0.75,IF(AND(EXACT(G12,'Data Base'!$T$37),EXACT(H12,'Data Base'!$V$38),EXACT(K12,'Data Base'!$X$36)),I12*1.25*1.2*0.75,IF(AND(EXACT(G12,'Data Base'!$T$37),OR(EXACT(H12,'Data Base'!$V$36),EXACT(H12,'Data Base'!$V$35)),EXACT(K12,'Data Base'!$X$37)),I12*1.25*1*0.5,IF(AND(EXACT(G12,'Data Base'!$T$37),EXACT(H12,'Data Base'!$V$37),EXACT(K12,'Data Base'!$X$37)),I12*1.25*0.5*0.5,IF(AND(EXACT(G12,'Data Base'!$T$37),EXACT(H12,'Data Base'!$V$38),EXACT(K12,'Data Base'!$X$37)),I12*1.25*1.2*0.5))))))))))))))))))))))))))),"")</f>
        <v/>
      </c>
    </row>
    <row r="13" spans="1:25" ht="21" customHeight="1">
      <c r="A13" s="99">
        <v>9</v>
      </c>
      <c r="B13" s="1349" t="str">
        <f t="shared" si="0"/>
        <v/>
      </c>
      <c r="C13" s="1350"/>
      <c r="D13" s="148" t="str">
        <f t="shared" si="1"/>
        <v/>
      </c>
      <c r="E13" s="1351"/>
      <c r="F13" s="1352"/>
      <c r="G13" s="165"/>
      <c r="H13" s="140"/>
      <c r="I13" s="4"/>
      <c r="J13" s="4"/>
      <c r="K13" s="140"/>
      <c r="L13" s="4" t="s">
        <v>652</v>
      </c>
      <c r="M13" s="166" t="str">
        <f>IF(AND(NOT(EXACT(D13,"")),NOT(EXACT(G13,"")),NOT(EXACT(E13,"")),NOT(EXACT(B13,"")),NOT(EXACT(I13,"")),NOT(EXACT(H13,""))),IF(AND(EXACT(G13,'Data Base'!$T$35),OR(EXACT(H13,'Data Base'!$V$36),EXACT(H13,'Data Base'!$V$35)),EXACT(K13,'Data Base'!$X$35)),I13*0.5*1*1,IF(AND(EXACT(G13,'Data Base'!$T$35),EXACT(H13,'Data Base'!$V$37),EXACT(K13,'Data Base'!$X$35)),I13*0.5*0.5*1,IF(AND(EXACT(G13,'Data Base'!$T$35),EXACT(H13,'Data Base'!$V$38),EXACT(K13,'Data Base'!$X$35)),I13*0.5*1.2*1,IF(AND(EXACT(G13,'Data Base'!$T$35),OR(EXACT(H13,'Data Base'!$V$36),EXACT(H13,'Data Base'!$V$35)),EXACT(K13,'Data Base'!$X$36)),I13*0.5*1*0.75,IF(AND(EXACT(G13,'Data Base'!$T$35),EXACT(H13,'Data Base'!$V$37),EXACT(K13,'Data Base'!$X$36)),I13*0.5*0.5*0.75,IF(AND(EXACT(G13,'Data Base'!$T$35),EXACT(H13,'Data Base'!$V$38),EXACT(K13,'Data Base'!$X$36)),I13*0.5*1.2*0.75,IF(AND(EXACT(G13,'Data Base'!$T$35),OR(EXACT(H13,'Data Base'!$V$36),EXACT(H13,'Data Base'!$V$35)),EXACT(K13,'Data Base'!$X$37)),I13*0.5*1*0.5,IF(AND(EXACT(G13,'Data Base'!$T$35),EXACT(H13,'Data Base'!$V$37),EXACT(K13,'Data Base'!$X$37)),I13*0.5*0.5*0.5,IF(AND(EXACT(G13,'Data Base'!$T$35),EXACT(H13,'Data Base'!$V$38),EXACT(K13,'Data Base'!$X$37)),I13*0.5*1.2*0.5,IF(AND(EXACT(G13,'Data Base'!$T$36),OR(EXACT(H13,'Data Base'!$V$36),EXACT(H13,'Data Base'!$V$35)),EXACT(K13,'Data Base'!$X$35)),I13*1*1*1,IF(AND(EXACT(G13,'Data Base'!$T$36),EXACT(H13,'Data Base'!$V$37),EXACT(K13,'Data Base'!$X$35)),I13*1*0.5*1,IF(AND(EXACT(G13,'Data Base'!$T$36),EXACT(H13,'Data Base'!$V$38),EXACT(K13,'Data Base'!$X$35)),I13*1*1.2*1,IF(AND(EXACT(G13,'Data Base'!$T$36),OR(EXACT(H13,'Data Base'!$V$36),EXACT(H13,'Data Base'!$V$35)),EXACT(K13,'Data Base'!$X$36)),I13*1*1*0.75,IF(AND(EXACT(G13,'Data Base'!$T$36),EXACT(H13,'Data Base'!$V$37),EXACT(K13,'Data Base'!$X$36)),I13*1*0.5*0.75,IF(AND(EXACT(G13,'Data Base'!$T$36),EXACT(H13,'Data Base'!$V$38),EXACT(K13,'Data Base'!$X$36)),I13*1*1.2*0.75,IF(AND(EXACT(G13,'Data Base'!$T$36),OR(EXACT(H13,'Data Base'!$V$36),EXACT(H13,'Data Base'!$V$35)),EXACT(K13,'Data Base'!$X$37)),I13*1*1*0.5,IF(AND(EXACT(G13,'Data Base'!$T$36),EXACT(H13,'Data Base'!$V$37),EXACT(K13,'Data Base'!$X$37)),I13*1*0.5*0.5,IF(AND(EXACT(G13,'Data Base'!$T$36),EXACT(H13,'Data Base'!$V$38),EXACT(K13,'Data Base'!$X$37)),I13*1*1.2*0.5,IF(AND(EXACT(G13,'Data Base'!$T$37),OR(EXACT(H13,'Data Base'!$V$36),EXACT(H13,'Data Base'!$V$35)),EXACT(K13,'Data Base'!$X$35)),I13*1.25*1*1,IF(AND(EXACT(G13,'Data Base'!$T$37),EXACT(H13,'Data Base'!$V$37),EXACT(K13,'Data Base'!$X$35)),I13*1.25*0.5*1,IF(AND(EXACT(G13,'Data Base'!$T$37),EXACT(H13,'Data Base'!$V$38),EXACT(K13,'Data Base'!$X$35)),I13*1.25*1.2*1,IF(AND(EXACT(G13,'Data Base'!$T$37),OR(EXACT(H13,'Data Base'!$V$36),EXACT(H13,'Data Base'!$V$35)),EXACT(K13,'Data Base'!$X$36)),I13*1.25*1*0.75,IF(AND(EXACT(G13,'Data Base'!$T$37),EXACT(H13,'Data Base'!$V$37),EXACT(K13,'Data Base'!$X$36)),I13*1.25*0.5*0.75,IF(AND(EXACT(G13,'Data Base'!$T$37),EXACT(H13,'Data Base'!$V$38),EXACT(K13,'Data Base'!$X$36)),I13*1.25*1.2*0.75,IF(AND(EXACT(G13,'Data Base'!$T$37),OR(EXACT(H13,'Data Base'!$V$36),EXACT(H13,'Data Base'!$V$35)),EXACT(K13,'Data Base'!$X$37)),I13*1.25*1*0.5,IF(AND(EXACT(G13,'Data Base'!$T$37),EXACT(H13,'Data Base'!$V$37),EXACT(K13,'Data Base'!$X$37)),I13*1.25*0.5*0.5,IF(AND(EXACT(G13,'Data Base'!$T$37),EXACT(H13,'Data Base'!$V$38),EXACT(K13,'Data Base'!$X$37)),I13*1.25*1.2*0.5))))))))))))))))))))))))))),"")</f>
        <v/>
      </c>
    </row>
    <row r="14" spans="1:25" ht="21" customHeight="1">
      <c r="A14" s="97">
        <v>10</v>
      </c>
      <c r="B14" s="1349" t="str">
        <f t="shared" si="0"/>
        <v/>
      </c>
      <c r="C14" s="1350"/>
      <c r="D14" s="148" t="str">
        <f t="shared" si="1"/>
        <v/>
      </c>
      <c r="E14" s="1351"/>
      <c r="F14" s="1352"/>
      <c r="G14" s="165"/>
      <c r="H14" s="140"/>
      <c r="I14" s="4"/>
      <c r="J14" s="4"/>
      <c r="K14" s="140"/>
      <c r="L14" s="4" t="s">
        <v>652</v>
      </c>
      <c r="M14" s="166" t="str">
        <f>IF(AND(NOT(EXACT(D14,"")),NOT(EXACT(G14,"")),NOT(EXACT(E14,"")),NOT(EXACT(B14,"")),NOT(EXACT(I14,"")),NOT(EXACT(H14,""))),IF(AND(EXACT(G14,'Data Base'!$T$35),OR(EXACT(H14,'Data Base'!$V$36),EXACT(H14,'Data Base'!$V$35)),EXACT(K14,'Data Base'!$X$35)),I14*0.5*1*1,IF(AND(EXACT(G14,'Data Base'!$T$35),EXACT(H14,'Data Base'!$V$37),EXACT(K14,'Data Base'!$X$35)),I14*0.5*0.5*1,IF(AND(EXACT(G14,'Data Base'!$T$35),EXACT(H14,'Data Base'!$V$38),EXACT(K14,'Data Base'!$X$35)),I14*0.5*1.2*1,IF(AND(EXACT(G14,'Data Base'!$T$35),OR(EXACT(H14,'Data Base'!$V$36),EXACT(H14,'Data Base'!$V$35)),EXACT(K14,'Data Base'!$X$36)),I14*0.5*1*0.75,IF(AND(EXACT(G14,'Data Base'!$T$35),EXACT(H14,'Data Base'!$V$37),EXACT(K14,'Data Base'!$X$36)),I14*0.5*0.5*0.75,IF(AND(EXACT(G14,'Data Base'!$T$35),EXACT(H14,'Data Base'!$V$38),EXACT(K14,'Data Base'!$X$36)),I14*0.5*1.2*0.75,IF(AND(EXACT(G14,'Data Base'!$T$35),OR(EXACT(H14,'Data Base'!$V$36),EXACT(H14,'Data Base'!$V$35)),EXACT(K14,'Data Base'!$X$37)),I14*0.5*1*0.5,IF(AND(EXACT(G14,'Data Base'!$T$35),EXACT(H14,'Data Base'!$V$37),EXACT(K14,'Data Base'!$X$37)),I14*0.5*0.5*0.5,IF(AND(EXACT(G14,'Data Base'!$T$35),EXACT(H14,'Data Base'!$V$38),EXACT(K14,'Data Base'!$X$37)),I14*0.5*1.2*0.5,IF(AND(EXACT(G14,'Data Base'!$T$36),OR(EXACT(H14,'Data Base'!$V$36),EXACT(H14,'Data Base'!$V$35)),EXACT(K14,'Data Base'!$X$35)),I14*1*1*1,IF(AND(EXACT(G14,'Data Base'!$T$36),EXACT(H14,'Data Base'!$V$37),EXACT(K14,'Data Base'!$X$35)),I14*1*0.5*1,IF(AND(EXACT(G14,'Data Base'!$T$36),EXACT(H14,'Data Base'!$V$38),EXACT(K14,'Data Base'!$X$35)),I14*1*1.2*1,IF(AND(EXACT(G14,'Data Base'!$T$36),OR(EXACT(H14,'Data Base'!$V$36),EXACT(H14,'Data Base'!$V$35)),EXACT(K14,'Data Base'!$X$36)),I14*1*1*0.75,IF(AND(EXACT(G14,'Data Base'!$T$36),EXACT(H14,'Data Base'!$V$37),EXACT(K14,'Data Base'!$X$36)),I14*1*0.5*0.75,IF(AND(EXACT(G14,'Data Base'!$T$36),EXACT(H14,'Data Base'!$V$38),EXACT(K14,'Data Base'!$X$36)),I14*1*1.2*0.75,IF(AND(EXACT(G14,'Data Base'!$T$36),OR(EXACT(H14,'Data Base'!$V$36),EXACT(H14,'Data Base'!$V$35)),EXACT(K14,'Data Base'!$X$37)),I14*1*1*0.5,IF(AND(EXACT(G14,'Data Base'!$T$36),EXACT(H14,'Data Base'!$V$37),EXACT(K14,'Data Base'!$X$37)),I14*1*0.5*0.5,IF(AND(EXACT(G14,'Data Base'!$T$36),EXACT(H14,'Data Base'!$V$38),EXACT(K14,'Data Base'!$X$37)),I14*1*1.2*0.5,IF(AND(EXACT(G14,'Data Base'!$T$37),OR(EXACT(H14,'Data Base'!$V$36),EXACT(H14,'Data Base'!$V$35)),EXACT(K14,'Data Base'!$X$35)),I14*1.25*1*1,IF(AND(EXACT(G14,'Data Base'!$T$37),EXACT(H14,'Data Base'!$V$37),EXACT(K14,'Data Base'!$X$35)),I14*1.25*0.5*1,IF(AND(EXACT(G14,'Data Base'!$T$37),EXACT(H14,'Data Base'!$V$38),EXACT(K14,'Data Base'!$X$35)),I14*1.25*1.2*1,IF(AND(EXACT(G14,'Data Base'!$T$37),OR(EXACT(H14,'Data Base'!$V$36),EXACT(H14,'Data Base'!$V$35)),EXACT(K14,'Data Base'!$X$36)),I14*1.25*1*0.75,IF(AND(EXACT(G14,'Data Base'!$T$37),EXACT(H14,'Data Base'!$V$37),EXACT(K14,'Data Base'!$X$36)),I14*1.25*0.5*0.75,IF(AND(EXACT(G14,'Data Base'!$T$37),EXACT(H14,'Data Base'!$V$38),EXACT(K14,'Data Base'!$X$36)),I14*1.25*1.2*0.75,IF(AND(EXACT(G14,'Data Base'!$T$37),OR(EXACT(H14,'Data Base'!$V$36),EXACT(H14,'Data Base'!$V$35)),EXACT(K14,'Data Base'!$X$37)),I14*1.25*1*0.5,IF(AND(EXACT(G14,'Data Base'!$T$37),EXACT(H14,'Data Base'!$V$37),EXACT(K14,'Data Base'!$X$37)),I14*1.25*0.5*0.5,IF(AND(EXACT(G14,'Data Base'!$T$37),EXACT(H14,'Data Base'!$V$38),EXACT(K14,'Data Base'!$X$37)),I14*1.25*1.2*0.5))))))))))))))))))))))))))),"")</f>
        <v/>
      </c>
    </row>
    <row r="15" spans="1:25" ht="21" customHeight="1">
      <c r="A15" s="99">
        <v>11</v>
      </c>
      <c r="B15" s="1349" t="str">
        <f t="shared" si="0"/>
        <v/>
      </c>
      <c r="C15" s="1350"/>
      <c r="D15" s="148" t="str">
        <f t="shared" si="1"/>
        <v/>
      </c>
      <c r="E15" s="1351"/>
      <c r="F15" s="1352"/>
      <c r="G15" s="165"/>
      <c r="H15" s="140"/>
      <c r="I15" s="4"/>
      <c r="J15" s="4"/>
      <c r="K15" s="140"/>
      <c r="L15" s="4" t="s">
        <v>652</v>
      </c>
      <c r="M15" s="166" t="str">
        <f>IF(AND(NOT(EXACT(D15,"")),NOT(EXACT(G15,"")),NOT(EXACT(E15,"")),NOT(EXACT(B15,"")),NOT(EXACT(I15,"")),NOT(EXACT(H15,""))),IF(AND(EXACT(G15,'Data Base'!$T$35),OR(EXACT(H15,'Data Base'!$V$36),EXACT(H15,'Data Base'!$V$35)),EXACT(K15,'Data Base'!$X$35)),I15*0.5*1*1,IF(AND(EXACT(G15,'Data Base'!$T$35),EXACT(H15,'Data Base'!$V$37),EXACT(K15,'Data Base'!$X$35)),I15*0.5*0.5*1,IF(AND(EXACT(G15,'Data Base'!$T$35),EXACT(H15,'Data Base'!$V$38),EXACT(K15,'Data Base'!$X$35)),I15*0.5*1.2*1,IF(AND(EXACT(G15,'Data Base'!$T$35),OR(EXACT(H15,'Data Base'!$V$36),EXACT(H15,'Data Base'!$V$35)),EXACT(K15,'Data Base'!$X$36)),I15*0.5*1*0.75,IF(AND(EXACT(G15,'Data Base'!$T$35),EXACT(H15,'Data Base'!$V$37),EXACT(K15,'Data Base'!$X$36)),I15*0.5*0.5*0.75,IF(AND(EXACT(G15,'Data Base'!$T$35),EXACT(H15,'Data Base'!$V$38),EXACT(K15,'Data Base'!$X$36)),I15*0.5*1.2*0.75,IF(AND(EXACT(G15,'Data Base'!$T$35),OR(EXACT(H15,'Data Base'!$V$36),EXACT(H15,'Data Base'!$V$35)),EXACT(K15,'Data Base'!$X$37)),I15*0.5*1*0.5,IF(AND(EXACT(G15,'Data Base'!$T$35),EXACT(H15,'Data Base'!$V$37),EXACT(K15,'Data Base'!$X$37)),I15*0.5*0.5*0.5,IF(AND(EXACT(G15,'Data Base'!$T$35),EXACT(H15,'Data Base'!$V$38),EXACT(K15,'Data Base'!$X$37)),I15*0.5*1.2*0.5,IF(AND(EXACT(G15,'Data Base'!$T$36),OR(EXACT(H15,'Data Base'!$V$36),EXACT(H15,'Data Base'!$V$35)),EXACT(K15,'Data Base'!$X$35)),I15*1*1*1,IF(AND(EXACT(G15,'Data Base'!$T$36),EXACT(H15,'Data Base'!$V$37),EXACT(K15,'Data Base'!$X$35)),I15*1*0.5*1,IF(AND(EXACT(G15,'Data Base'!$T$36),EXACT(H15,'Data Base'!$V$38),EXACT(K15,'Data Base'!$X$35)),I15*1*1.2*1,IF(AND(EXACT(G15,'Data Base'!$T$36),OR(EXACT(H15,'Data Base'!$V$36),EXACT(H15,'Data Base'!$V$35)),EXACT(K15,'Data Base'!$X$36)),I15*1*1*0.75,IF(AND(EXACT(G15,'Data Base'!$T$36),EXACT(H15,'Data Base'!$V$37),EXACT(K15,'Data Base'!$X$36)),I15*1*0.5*0.75,IF(AND(EXACT(G15,'Data Base'!$T$36),EXACT(H15,'Data Base'!$V$38),EXACT(K15,'Data Base'!$X$36)),I15*1*1.2*0.75,IF(AND(EXACT(G15,'Data Base'!$T$36),OR(EXACT(H15,'Data Base'!$V$36),EXACT(H15,'Data Base'!$V$35)),EXACT(K15,'Data Base'!$X$37)),I15*1*1*0.5,IF(AND(EXACT(G15,'Data Base'!$T$36),EXACT(H15,'Data Base'!$V$37),EXACT(K15,'Data Base'!$X$37)),I15*1*0.5*0.5,IF(AND(EXACT(G15,'Data Base'!$T$36),EXACT(H15,'Data Base'!$V$38),EXACT(K15,'Data Base'!$X$37)),I15*1*1.2*0.5,IF(AND(EXACT(G15,'Data Base'!$T$37),OR(EXACT(H15,'Data Base'!$V$36),EXACT(H15,'Data Base'!$V$35)),EXACT(K15,'Data Base'!$X$35)),I15*1.25*1*1,IF(AND(EXACT(G15,'Data Base'!$T$37),EXACT(H15,'Data Base'!$V$37),EXACT(K15,'Data Base'!$X$35)),I15*1.25*0.5*1,IF(AND(EXACT(G15,'Data Base'!$T$37),EXACT(H15,'Data Base'!$V$38),EXACT(K15,'Data Base'!$X$35)),I15*1.25*1.2*1,IF(AND(EXACT(G15,'Data Base'!$T$37),OR(EXACT(H15,'Data Base'!$V$36),EXACT(H15,'Data Base'!$V$35)),EXACT(K15,'Data Base'!$X$36)),I15*1.25*1*0.75,IF(AND(EXACT(G15,'Data Base'!$T$37),EXACT(H15,'Data Base'!$V$37),EXACT(K15,'Data Base'!$X$36)),I15*1.25*0.5*0.75,IF(AND(EXACT(G15,'Data Base'!$T$37),EXACT(H15,'Data Base'!$V$38),EXACT(K15,'Data Base'!$X$36)),I15*1.25*1.2*0.75,IF(AND(EXACT(G15,'Data Base'!$T$37),OR(EXACT(H15,'Data Base'!$V$36),EXACT(H15,'Data Base'!$V$35)),EXACT(K15,'Data Base'!$X$37)),I15*1.25*1*0.5,IF(AND(EXACT(G15,'Data Base'!$T$37),EXACT(H15,'Data Base'!$V$37),EXACT(K15,'Data Base'!$X$37)),I15*1.25*0.5*0.5,IF(AND(EXACT(G15,'Data Base'!$T$37),EXACT(H15,'Data Base'!$V$38),EXACT(K15,'Data Base'!$X$37)),I15*1.25*1.2*0.5))))))))))))))))))))))))))),"")</f>
        <v/>
      </c>
    </row>
    <row r="16" spans="1:25" ht="21" customHeight="1">
      <c r="A16" s="99">
        <v>12</v>
      </c>
      <c r="B16" s="1349" t="str">
        <f t="shared" si="0"/>
        <v/>
      </c>
      <c r="C16" s="1350"/>
      <c r="D16" s="148" t="str">
        <f t="shared" si="1"/>
        <v/>
      </c>
      <c r="E16" s="1351"/>
      <c r="F16" s="1352"/>
      <c r="G16" s="165"/>
      <c r="H16" s="140"/>
      <c r="I16" s="4"/>
      <c r="J16" s="4"/>
      <c r="K16" s="140"/>
      <c r="L16" s="4" t="s">
        <v>652</v>
      </c>
      <c r="M16" s="166" t="str">
        <f>IF(AND(NOT(EXACT(D16,"")),NOT(EXACT(G16,"")),NOT(EXACT(E16,"")),NOT(EXACT(B16,"")),NOT(EXACT(I16,"")),NOT(EXACT(H16,""))),IF(AND(EXACT(G16,'Data Base'!$T$35),OR(EXACT(H16,'Data Base'!$V$36),EXACT(H16,'Data Base'!$V$35)),EXACT(K16,'Data Base'!$X$35)),I16*0.5*1*1,IF(AND(EXACT(G16,'Data Base'!$T$35),EXACT(H16,'Data Base'!$V$37),EXACT(K16,'Data Base'!$X$35)),I16*0.5*0.5*1,IF(AND(EXACT(G16,'Data Base'!$T$35),EXACT(H16,'Data Base'!$V$38),EXACT(K16,'Data Base'!$X$35)),I16*0.5*1.2*1,IF(AND(EXACT(G16,'Data Base'!$T$35),OR(EXACT(H16,'Data Base'!$V$36),EXACT(H16,'Data Base'!$V$35)),EXACT(K16,'Data Base'!$X$36)),I16*0.5*1*0.75,IF(AND(EXACT(G16,'Data Base'!$T$35),EXACT(H16,'Data Base'!$V$37),EXACT(K16,'Data Base'!$X$36)),I16*0.5*0.5*0.75,IF(AND(EXACT(G16,'Data Base'!$T$35),EXACT(H16,'Data Base'!$V$38),EXACT(K16,'Data Base'!$X$36)),I16*0.5*1.2*0.75,IF(AND(EXACT(G16,'Data Base'!$T$35),OR(EXACT(H16,'Data Base'!$V$36),EXACT(H16,'Data Base'!$V$35)),EXACT(K16,'Data Base'!$X$37)),I16*0.5*1*0.5,IF(AND(EXACT(G16,'Data Base'!$T$35),EXACT(H16,'Data Base'!$V$37),EXACT(K16,'Data Base'!$X$37)),I16*0.5*0.5*0.5,IF(AND(EXACT(G16,'Data Base'!$T$35),EXACT(H16,'Data Base'!$V$38),EXACT(K16,'Data Base'!$X$37)),I16*0.5*1.2*0.5,IF(AND(EXACT(G16,'Data Base'!$T$36),OR(EXACT(H16,'Data Base'!$V$36),EXACT(H16,'Data Base'!$V$35)),EXACT(K16,'Data Base'!$X$35)),I16*1*1*1,IF(AND(EXACT(G16,'Data Base'!$T$36),EXACT(H16,'Data Base'!$V$37),EXACT(K16,'Data Base'!$X$35)),I16*1*0.5*1,IF(AND(EXACT(G16,'Data Base'!$T$36),EXACT(H16,'Data Base'!$V$38),EXACT(K16,'Data Base'!$X$35)),I16*1*1.2*1,IF(AND(EXACT(G16,'Data Base'!$T$36),OR(EXACT(H16,'Data Base'!$V$36),EXACT(H16,'Data Base'!$V$35)),EXACT(K16,'Data Base'!$X$36)),I16*1*1*0.75,IF(AND(EXACT(G16,'Data Base'!$T$36),EXACT(H16,'Data Base'!$V$37),EXACT(K16,'Data Base'!$X$36)),I16*1*0.5*0.75,IF(AND(EXACT(G16,'Data Base'!$T$36),EXACT(H16,'Data Base'!$V$38),EXACT(K16,'Data Base'!$X$36)),I16*1*1.2*0.75,IF(AND(EXACT(G16,'Data Base'!$T$36),OR(EXACT(H16,'Data Base'!$V$36),EXACT(H16,'Data Base'!$V$35)),EXACT(K16,'Data Base'!$X$37)),I16*1*1*0.5,IF(AND(EXACT(G16,'Data Base'!$T$36),EXACT(H16,'Data Base'!$V$37),EXACT(K16,'Data Base'!$X$37)),I16*1*0.5*0.5,IF(AND(EXACT(G16,'Data Base'!$T$36),EXACT(H16,'Data Base'!$V$38),EXACT(K16,'Data Base'!$X$37)),I16*1*1.2*0.5,IF(AND(EXACT(G16,'Data Base'!$T$37),OR(EXACT(H16,'Data Base'!$V$36),EXACT(H16,'Data Base'!$V$35)),EXACT(K16,'Data Base'!$X$35)),I16*1.25*1*1,IF(AND(EXACT(G16,'Data Base'!$T$37),EXACT(H16,'Data Base'!$V$37),EXACT(K16,'Data Base'!$X$35)),I16*1.25*0.5*1,IF(AND(EXACT(G16,'Data Base'!$T$37),EXACT(H16,'Data Base'!$V$38),EXACT(K16,'Data Base'!$X$35)),I16*1.25*1.2*1,IF(AND(EXACT(G16,'Data Base'!$T$37),OR(EXACT(H16,'Data Base'!$V$36),EXACT(H16,'Data Base'!$V$35)),EXACT(K16,'Data Base'!$X$36)),I16*1.25*1*0.75,IF(AND(EXACT(G16,'Data Base'!$T$37),EXACT(H16,'Data Base'!$V$37),EXACT(K16,'Data Base'!$X$36)),I16*1.25*0.5*0.75,IF(AND(EXACT(G16,'Data Base'!$T$37),EXACT(H16,'Data Base'!$V$38),EXACT(K16,'Data Base'!$X$36)),I16*1.25*1.2*0.75,IF(AND(EXACT(G16,'Data Base'!$T$37),OR(EXACT(H16,'Data Base'!$V$36),EXACT(H16,'Data Base'!$V$35)),EXACT(K16,'Data Base'!$X$37)),I16*1.25*1*0.5,IF(AND(EXACT(G16,'Data Base'!$T$37),EXACT(H16,'Data Base'!$V$37),EXACT(K16,'Data Base'!$X$37)),I16*1.25*0.5*0.5,IF(AND(EXACT(G16,'Data Base'!$T$37),EXACT(H16,'Data Base'!$V$38),EXACT(K16,'Data Base'!$X$37)),I16*1.25*1.2*0.5))))))))))))))))))))))))))),"")</f>
        <v/>
      </c>
    </row>
    <row r="17" spans="1:15" ht="21" customHeight="1">
      <c r="A17" s="97">
        <v>13</v>
      </c>
      <c r="B17" s="1349" t="str">
        <f t="shared" si="0"/>
        <v/>
      </c>
      <c r="C17" s="1350"/>
      <c r="D17" s="148" t="str">
        <f t="shared" si="1"/>
        <v/>
      </c>
      <c r="E17" s="1351"/>
      <c r="F17" s="1352"/>
      <c r="G17" s="165"/>
      <c r="H17" s="140"/>
      <c r="I17" s="4"/>
      <c r="J17" s="4"/>
      <c r="K17" s="140"/>
      <c r="L17" s="4" t="s">
        <v>652</v>
      </c>
      <c r="M17" s="166" t="str">
        <f>IF(AND(NOT(EXACT(D17,"")),NOT(EXACT(G17,"")),NOT(EXACT(E17,"")),NOT(EXACT(B17,"")),NOT(EXACT(I17,"")),NOT(EXACT(H17,""))),IF(AND(EXACT(G17,'Data Base'!$T$35),OR(EXACT(H17,'Data Base'!$V$36),EXACT(H17,'Data Base'!$V$35)),EXACT(K17,'Data Base'!$X$35)),I17*0.5*1*1,IF(AND(EXACT(G17,'Data Base'!$T$35),EXACT(H17,'Data Base'!$V$37),EXACT(K17,'Data Base'!$X$35)),I17*0.5*0.5*1,IF(AND(EXACT(G17,'Data Base'!$T$35),EXACT(H17,'Data Base'!$V$38),EXACT(K17,'Data Base'!$X$35)),I17*0.5*1.2*1,IF(AND(EXACT(G17,'Data Base'!$T$35),OR(EXACT(H17,'Data Base'!$V$36),EXACT(H17,'Data Base'!$V$35)),EXACT(K17,'Data Base'!$X$36)),I17*0.5*1*0.75,IF(AND(EXACT(G17,'Data Base'!$T$35),EXACT(H17,'Data Base'!$V$37),EXACT(K17,'Data Base'!$X$36)),I17*0.5*0.5*0.75,IF(AND(EXACT(G17,'Data Base'!$T$35),EXACT(H17,'Data Base'!$V$38),EXACT(K17,'Data Base'!$X$36)),I17*0.5*1.2*0.75,IF(AND(EXACT(G17,'Data Base'!$T$35),OR(EXACT(H17,'Data Base'!$V$36),EXACT(H17,'Data Base'!$V$35)),EXACT(K17,'Data Base'!$X$37)),I17*0.5*1*0.5,IF(AND(EXACT(G17,'Data Base'!$T$35),EXACT(H17,'Data Base'!$V$37),EXACT(K17,'Data Base'!$X$37)),I17*0.5*0.5*0.5,IF(AND(EXACT(G17,'Data Base'!$T$35),EXACT(H17,'Data Base'!$V$38),EXACT(K17,'Data Base'!$X$37)),I17*0.5*1.2*0.5,IF(AND(EXACT(G17,'Data Base'!$T$36),OR(EXACT(H17,'Data Base'!$V$36),EXACT(H17,'Data Base'!$V$35)),EXACT(K17,'Data Base'!$X$35)),I17*1*1*1,IF(AND(EXACT(G17,'Data Base'!$T$36),EXACT(H17,'Data Base'!$V$37),EXACT(K17,'Data Base'!$X$35)),I17*1*0.5*1,IF(AND(EXACT(G17,'Data Base'!$T$36),EXACT(H17,'Data Base'!$V$38),EXACT(K17,'Data Base'!$X$35)),I17*1*1.2*1,IF(AND(EXACT(G17,'Data Base'!$T$36),OR(EXACT(H17,'Data Base'!$V$36),EXACT(H17,'Data Base'!$V$35)),EXACT(K17,'Data Base'!$X$36)),I17*1*1*0.75,IF(AND(EXACT(G17,'Data Base'!$T$36),EXACT(H17,'Data Base'!$V$37),EXACT(K17,'Data Base'!$X$36)),I17*1*0.5*0.75,IF(AND(EXACT(G17,'Data Base'!$T$36),EXACT(H17,'Data Base'!$V$38),EXACT(K17,'Data Base'!$X$36)),I17*1*1.2*0.75,IF(AND(EXACT(G17,'Data Base'!$T$36),OR(EXACT(H17,'Data Base'!$V$36),EXACT(H17,'Data Base'!$V$35)),EXACT(K17,'Data Base'!$X$37)),I17*1*1*0.5,IF(AND(EXACT(G17,'Data Base'!$T$36),EXACT(H17,'Data Base'!$V$37),EXACT(K17,'Data Base'!$X$37)),I17*1*0.5*0.5,IF(AND(EXACT(G17,'Data Base'!$T$36),EXACT(H17,'Data Base'!$V$38),EXACT(K17,'Data Base'!$X$37)),I17*1*1.2*0.5,IF(AND(EXACT(G17,'Data Base'!$T$37),OR(EXACT(H17,'Data Base'!$V$36),EXACT(H17,'Data Base'!$V$35)),EXACT(K17,'Data Base'!$X$35)),I17*1.25*1*1,IF(AND(EXACT(G17,'Data Base'!$T$37),EXACT(H17,'Data Base'!$V$37),EXACT(K17,'Data Base'!$X$35)),I17*1.25*0.5*1,IF(AND(EXACT(G17,'Data Base'!$T$37),EXACT(H17,'Data Base'!$V$38),EXACT(K17,'Data Base'!$X$35)),I17*1.25*1.2*1,IF(AND(EXACT(G17,'Data Base'!$T$37),OR(EXACT(H17,'Data Base'!$V$36),EXACT(H17,'Data Base'!$V$35)),EXACT(K17,'Data Base'!$X$36)),I17*1.25*1*0.75,IF(AND(EXACT(G17,'Data Base'!$T$37),EXACT(H17,'Data Base'!$V$37),EXACT(K17,'Data Base'!$X$36)),I17*1.25*0.5*0.75,IF(AND(EXACT(G17,'Data Base'!$T$37),EXACT(H17,'Data Base'!$V$38),EXACT(K17,'Data Base'!$X$36)),I17*1.25*1.2*0.75,IF(AND(EXACT(G17,'Data Base'!$T$37),OR(EXACT(H17,'Data Base'!$V$36),EXACT(H17,'Data Base'!$V$35)),EXACT(K17,'Data Base'!$X$37)),I17*1.25*1*0.5,IF(AND(EXACT(G17,'Data Base'!$T$37),EXACT(H17,'Data Base'!$V$37),EXACT(K17,'Data Base'!$X$37)),I17*1.25*0.5*0.5,IF(AND(EXACT(G17,'Data Base'!$T$37),EXACT(H17,'Data Base'!$V$38),EXACT(K17,'Data Base'!$X$37)),I17*1.25*1.2*0.5))))))))))))))))))))))))))),"")</f>
        <v/>
      </c>
    </row>
    <row r="18" spans="1:15" ht="21" customHeight="1">
      <c r="A18" s="99">
        <v>14</v>
      </c>
      <c r="B18" s="1349" t="str">
        <f t="shared" si="0"/>
        <v/>
      </c>
      <c r="C18" s="1350"/>
      <c r="D18" s="148" t="str">
        <f t="shared" si="1"/>
        <v/>
      </c>
      <c r="E18" s="1351"/>
      <c r="F18" s="1352"/>
      <c r="G18" s="165"/>
      <c r="H18" s="140"/>
      <c r="I18" s="4"/>
      <c r="J18" s="4"/>
      <c r="K18" s="140"/>
      <c r="L18" s="4" t="s">
        <v>652</v>
      </c>
      <c r="M18" s="166" t="str">
        <f>IF(AND(NOT(EXACT(D18,"")),NOT(EXACT(G18,"")),NOT(EXACT(E18,"")),NOT(EXACT(B18,"")),NOT(EXACT(I18,"")),NOT(EXACT(H18,""))),IF(AND(EXACT(G18,'Data Base'!$T$35),OR(EXACT(H18,'Data Base'!$V$36),EXACT(H18,'Data Base'!$V$35)),EXACT(K18,'Data Base'!$X$35)),I18*0.5*1*1,IF(AND(EXACT(G18,'Data Base'!$T$35),EXACT(H18,'Data Base'!$V$37),EXACT(K18,'Data Base'!$X$35)),I18*0.5*0.5*1,IF(AND(EXACT(G18,'Data Base'!$T$35),EXACT(H18,'Data Base'!$V$38),EXACT(K18,'Data Base'!$X$35)),I18*0.5*1.2*1,IF(AND(EXACT(G18,'Data Base'!$T$35),OR(EXACT(H18,'Data Base'!$V$36),EXACT(H18,'Data Base'!$V$35)),EXACT(K18,'Data Base'!$X$36)),I18*0.5*1*0.75,IF(AND(EXACT(G18,'Data Base'!$T$35),EXACT(H18,'Data Base'!$V$37),EXACT(K18,'Data Base'!$X$36)),I18*0.5*0.5*0.75,IF(AND(EXACT(G18,'Data Base'!$T$35),EXACT(H18,'Data Base'!$V$38),EXACT(K18,'Data Base'!$X$36)),I18*0.5*1.2*0.75,IF(AND(EXACT(G18,'Data Base'!$T$35),OR(EXACT(H18,'Data Base'!$V$36),EXACT(H18,'Data Base'!$V$35)),EXACT(K18,'Data Base'!$X$37)),I18*0.5*1*0.5,IF(AND(EXACT(G18,'Data Base'!$T$35),EXACT(H18,'Data Base'!$V$37),EXACT(K18,'Data Base'!$X$37)),I18*0.5*0.5*0.5,IF(AND(EXACT(G18,'Data Base'!$T$35),EXACT(H18,'Data Base'!$V$38),EXACT(K18,'Data Base'!$X$37)),I18*0.5*1.2*0.5,IF(AND(EXACT(G18,'Data Base'!$T$36),OR(EXACT(H18,'Data Base'!$V$36),EXACT(H18,'Data Base'!$V$35)),EXACT(K18,'Data Base'!$X$35)),I18*1*1*1,IF(AND(EXACT(G18,'Data Base'!$T$36),EXACT(H18,'Data Base'!$V$37),EXACT(K18,'Data Base'!$X$35)),I18*1*0.5*1,IF(AND(EXACT(G18,'Data Base'!$T$36),EXACT(H18,'Data Base'!$V$38),EXACT(K18,'Data Base'!$X$35)),I18*1*1.2*1,IF(AND(EXACT(G18,'Data Base'!$T$36),OR(EXACT(H18,'Data Base'!$V$36),EXACT(H18,'Data Base'!$V$35)),EXACT(K18,'Data Base'!$X$36)),I18*1*1*0.75,IF(AND(EXACT(G18,'Data Base'!$T$36),EXACT(H18,'Data Base'!$V$37),EXACT(K18,'Data Base'!$X$36)),I18*1*0.5*0.75,IF(AND(EXACT(G18,'Data Base'!$T$36),EXACT(H18,'Data Base'!$V$38),EXACT(K18,'Data Base'!$X$36)),I18*1*1.2*0.75,IF(AND(EXACT(G18,'Data Base'!$T$36),OR(EXACT(H18,'Data Base'!$V$36),EXACT(H18,'Data Base'!$V$35)),EXACT(K18,'Data Base'!$X$37)),I18*1*1*0.5,IF(AND(EXACT(G18,'Data Base'!$T$36),EXACT(H18,'Data Base'!$V$37),EXACT(K18,'Data Base'!$X$37)),I18*1*0.5*0.5,IF(AND(EXACT(G18,'Data Base'!$T$36),EXACT(H18,'Data Base'!$V$38),EXACT(K18,'Data Base'!$X$37)),I18*1*1.2*0.5,IF(AND(EXACT(G18,'Data Base'!$T$37),OR(EXACT(H18,'Data Base'!$V$36),EXACT(H18,'Data Base'!$V$35)),EXACT(K18,'Data Base'!$X$35)),I18*1.25*1*1,IF(AND(EXACT(G18,'Data Base'!$T$37),EXACT(H18,'Data Base'!$V$37),EXACT(K18,'Data Base'!$X$35)),I18*1.25*0.5*1,IF(AND(EXACT(G18,'Data Base'!$T$37),EXACT(H18,'Data Base'!$V$38),EXACT(K18,'Data Base'!$X$35)),I18*1.25*1.2*1,IF(AND(EXACT(G18,'Data Base'!$T$37),OR(EXACT(H18,'Data Base'!$V$36),EXACT(H18,'Data Base'!$V$35)),EXACT(K18,'Data Base'!$X$36)),I18*1.25*1*0.75,IF(AND(EXACT(G18,'Data Base'!$T$37),EXACT(H18,'Data Base'!$V$37),EXACT(K18,'Data Base'!$X$36)),I18*1.25*0.5*0.75,IF(AND(EXACT(G18,'Data Base'!$T$37),EXACT(H18,'Data Base'!$V$38),EXACT(K18,'Data Base'!$X$36)),I18*1.25*1.2*0.75,IF(AND(EXACT(G18,'Data Base'!$T$37),OR(EXACT(H18,'Data Base'!$V$36),EXACT(H18,'Data Base'!$V$35)),EXACT(K18,'Data Base'!$X$37)),I18*1.25*1*0.5,IF(AND(EXACT(G18,'Data Base'!$T$37),EXACT(H18,'Data Base'!$V$37),EXACT(K18,'Data Base'!$X$37)),I18*1.25*0.5*0.5,IF(AND(EXACT(G18,'Data Base'!$T$37),EXACT(H18,'Data Base'!$V$38),EXACT(K18,'Data Base'!$X$37)),I18*1.25*1.2*0.5))))))))))))))))))))))))))),"")</f>
        <v/>
      </c>
    </row>
    <row r="19" spans="1:15" ht="21" customHeight="1" thickBot="1">
      <c r="A19" s="106">
        <v>15</v>
      </c>
      <c r="B19" s="1355" t="str">
        <f t="shared" si="0"/>
        <v/>
      </c>
      <c r="C19" s="1356"/>
      <c r="D19" s="107" t="str">
        <f t="shared" si="1"/>
        <v/>
      </c>
      <c r="E19" s="1357"/>
      <c r="F19" s="1358"/>
      <c r="G19" s="167"/>
      <c r="H19" s="108"/>
      <c r="I19" s="105"/>
      <c r="J19" s="105"/>
      <c r="K19" s="108"/>
      <c r="L19" s="105" t="s">
        <v>652</v>
      </c>
      <c r="M19" s="168" t="str">
        <f>IF(AND(NOT(EXACT(D19,"")),NOT(EXACT(G19,"")),NOT(EXACT(E19,"")),NOT(EXACT(B19,"")),NOT(EXACT(I19,"")),NOT(EXACT(H19,""))),IF(AND(EXACT(G19,'Data Base'!$T$35),OR(EXACT(H19,'Data Base'!$V$36),EXACT(H19,'Data Base'!$V$35)),EXACT(K19,'Data Base'!$X$35)),I19*0.5*1*1,IF(AND(EXACT(G19,'Data Base'!$T$35),EXACT(H19,'Data Base'!$V$37),EXACT(K19,'Data Base'!$X$35)),I19*0.5*0.5*1,IF(AND(EXACT(G19,'Data Base'!$T$35),EXACT(H19,'Data Base'!$V$38),EXACT(K19,'Data Base'!$X$35)),I19*0.5*1.2*1,IF(AND(EXACT(G19,'Data Base'!$T$35),OR(EXACT(H19,'Data Base'!$V$36),EXACT(H19,'Data Base'!$V$35)),EXACT(K19,'Data Base'!$X$36)),I19*0.5*1*0.75,IF(AND(EXACT(G19,'Data Base'!$T$35),EXACT(H19,'Data Base'!$V$37),EXACT(K19,'Data Base'!$X$36)),I19*0.5*0.5*0.75,IF(AND(EXACT(G19,'Data Base'!$T$35),EXACT(H19,'Data Base'!$V$38),EXACT(K19,'Data Base'!$X$36)),I19*0.5*1.2*0.75,IF(AND(EXACT(G19,'Data Base'!$T$35),OR(EXACT(H19,'Data Base'!$V$36),EXACT(H19,'Data Base'!$V$35)),EXACT(K19,'Data Base'!$X$37)),I19*0.5*1*0.5,IF(AND(EXACT(G19,'Data Base'!$T$35),EXACT(H19,'Data Base'!$V$37),EXACT(K19,'Data Base'!$X$37)),I19*0.5*0.5*0.5,IF(AND(EXACT(G19,'Data Base'!$T$35),EXACT(H19,'Data Base'!$V$38),EXACT(K19,'Data Base'!$X$37)),I19*0.5*1.2*0.5,IF(AND(EXACT(G19,'Data Base'!$T$36),OR(EXACT(H19,'Data Base'!$V$36),EXACT(H19,'Data Base'!$V$35)),EXACT(K19,'Data Base'!$X$35)),I19*1*1*1,IF(AND(EXACT(G19,'Data Base'!$T$36),EXACT(H19,'Data Base'!$V$37),EXACT(K19,'Data Base'!$X$35)),I19*1*0.5*1,IF(AND(EXACT(G19,'Data Base'!$T$36),EXACT(H19,'Data Base'!$V$38),EXACT(K19,'Data Base'!$X$35)),I19*1*1.2*1,IF(AND(EXACT(G19,'Data Base'!$T$36),OR(EXACT(H19,'Data Base'!$V$36),EXACT(H19,'Data Base'!$V$35)),EXACT(K19,'Data Base'!$X$36)),I19*1*1*0.75,IF(AND(EXACT(G19,'Data Base'!$T$36),EXACT(H19,'Data Base'!$V$37),EXACT(K19,'Data Base'!$X$36)),I19*1*0.5*0.75,IF(AND(EXACT(G19,'Data Base'!$T$36),EXACT(H19,'Data Base'!$V$38),EXACT(K19,'Data Base'!$X$36)),I19*1*1.2*0.75,IF(AND(EXACT(G19,'Data Base'!$T$36),OR(EXACT(H19,'Data Base'!$V$36),EXACT(H19,'Data Base'!$V$35)),EXACT(K19,'Data Base'!$X$37)),I19*1*1*0.5,IF(AND(EXACT(G19,'Data Base'!$T$36),EXACT(H19,'Data Base'!$V$37),EXACT(K19,'Data Base'!$X$37)),I19*1*0.5*0.5,IF(AND(EXACT(G19,'Data Base'!$T$36),EXACT(H19,'Data Base'!$V$38),EXACT(K19,'Data Base'!$X$37)),I19*1*1.2*0.5,IF(AND(EXACT(G19,'Data Base'!$T$37),OR(EXACT(H19,'Data Base'!$V$36),EXACT(H19,'Data Base'!$V$35)),EXACT(K19,'Data Base'!$X$35)),I19*1.25*1*1,IF(AND(EXACT(G19,'Data Base'!$T$37),EXACT(H19,'Data Base'!$V$37),EXACT(K19,'Data Base'!$X$35)),I19*1.25*0.5*1,IF(AND(EXACT(G19,'Data Base'!$T$37),EXACT(H19,'Data Base'!$V$38),EXACT(K19,'Data Base'!$X$35)),I19*1.25*1.2*1,IF(AND(EXACT(G19,'Data Base'!$T$37),OR(EXACT(H19,'Data Base'!$V$36),EXACT(H19,'Data Base'!$V$35)),EXACT(K19,'Data Base'!$X$36)),I19*1.25*1*0.75,IF(AND(EXACT(G19,'Data Base'!$T$37),EXACT(H19,'Data Base'!$V$37),EXACT(K19,'Data Base'!$X$36)),I19*1.25*0.5*0.75,IF(AND(EXACT(G19,'Data Base'!$T$37),EXACT(H19,'Data Base'!$V$38),EXACT(K19,'Data Base'!$X$36)),I19*1.25*1.2*0.75,IF(AND(EXACT(G19,'Data Base'!$T$37),OR(EXACT(H19,'Data Base'!$V$36),EXACT(H19,'Data Base'!$V$35)),EXACT(K19,'Data Base'!$X$37)),I19*1.25*1*0.5,IF(AND(EXACT(G19,'Data Base'!$T$37),EXACT(H19,'Data Base'!$V$37),EXACT(K19,'Data Base'!$X$37)),I19*1.25*0.5*0.5,IF(AND(EXACT(G19,'Data Base'!$T$37),EXACT(H19,'Data Base'!$V$38),EXACT(K19,'Data Base'!$X$37)),I19*1.25*1.2*0.5))))))))))))))))))))))))))),"")</f>
        <v/>
      </c>
    </row>
    <row r="20" spans="1:15" ht="21" customHeight="1" thickBot="1">
      <c r="A20" s="1359" t="s">
        <v>653</v>
      </c>
      <c r="B20" s="1360"/>
      <c r="C20" s="1360"/>
      <c r="D20" s="1360"/>
      <c r="E20" s="1360"/>
      <c r="F20" s="1360"/>
      <c r="G20" s="1360"/>
      <c r="H20" s="1360"/>
      <c r="I20" s="109">
        <f>B5</f>
        <v>0</v>
      </c>
      <c r="J20" s="109">
        <f>D5</f>
        <v>0</v>
      </c>
      <c r="K20" s="1361"/>
      <c r="L20" s="1362"/>
      <c r="M20" s="110">
        <f>IF(SUM(M5:M19)&gt;5,5,SUM(M5:M19))</f>
        <v>0</v>
      </c>
    </row>
    <row r="21" spans="1:15" ht="21" customHeight="1">
      <c r="A21" s="97">
        <v>1</v>
      </c>
      <c r="B21" s="1363"/>
      <c r="C21" s="1364"/>
      <c r="D21" s="104"/>
      <c r="E21" s="1353"/>
      <c r="F21" s="1354"/>
      <c r="G21" s="169"/>
      <c r="H21" s="104"/>
      <c r="I21" s="98"/>
      <c r="J21" s="98"/>
      <c r="K21" s="104"/>
      <c r="L21" s="98" t="s">
        <v>652</v>
      </c>
      <c r="M21" s="166" t="str">
        <f>IF(AND(NOT(EXACT(D21,"")),NOT(EXACT(G21,"")),NOT(EXACT(E21,"")),NOT(EXACT(B21,"")),NOT(EXACT(I21,"")),NOT(EXACT(H21,""))),IF(AND(EXACT(G21,'Data Base'!$T$35),OR(EXACT(H21,'Data Base'!$V$36),EXACT(H21,'Data Base'!$V$35)),EXACT(K21,'Data Base'!$X$35)),I21*0.5*1*1,IF(AND(EXACT(G21,'Data Base'!$T$35),EXACT(H21,'Data Base'!$V$37),EXACT(K21,'Data Base'!$X$35)),I21*0.5*0.5*1,IF(AND(EXACT(G21,'Data Base'!$T$35),EXACT(H21,'Data Base'!$V$38),EXACT(K21,'Data Base'!$X$35)),I21*0.5*1.2*1,IF(AND(EXACT(G21,'Data Base'!$T$35),OR(EXACT(H21,'Data Base'!$V$36),EXACT(H21,'Data Base'!$V$35)),EXACT(K21,'Data Base'!$X$36)),I21*0.5*1*0.75,IF(AND(EXACT(G21,'Data Base'!$T$35),EXACT(H21,'Data Base'!$V$37),EXACT(K21,'Data Base'!$X$36)),I21*0.5*0.5*0.75,IF(AND(EXACT(G21,'Data Base'!$T$35),EXACT(H21,'Data Base'!$V$38),EXACT(K21,'Data Base'!$X$36)),I21*0.5*1.2*0.75,IF(AND(EXACT(G21,'Data Base'!$T$35),OR(EXACT(H21,'Data Base'!$V$36),EXACT(H21,'Data Base'!$V$35)),EXACT(K21,'Data Base'!$X$37)),I21*0.5*1*0.5,IF(AND(EXACT(G21,'Data Base'!$T$35),EXACT(H21,'Data Base'!$V$37),EXACT(K21,'Data Base'!$X$37)),I21*0.5*0.5*0.5,IF(AND(EXACT(G21,'Data Base'!$T$35),EXACT(H21,'Data Base'!$V$38),EXACT(K21,'Data Base'!$X$37)),I21*0.5*1.2*0.5,IF(AND(EXACT(G21,'Data Base'!$T$36),OR(EXACT(H21,'Data Base'!$V$36),EXACT(H21,'Data Base'!$V$35)),EXACT(K21,'Data Base'!$X$35)),I21*1*1*1,IF(AND(EXACT(G21,'Data Base'!$T$36),EXACT(H21,'Data Base'!$V$37),EXACT(K21,'Data Base'!$X$35)),I21*1*0.5*1,IF(AND(EXACT(G21,'Data Base'!$T$36),EXACT(H21,'Data Base'!$V$38),EXACT(K21,'Data Base'!$X$35)),I21*1*1.2*1,IF(AND(EXACT(G21,'Data Base'!$T$36),OR(EXACT(H21,'Data Base'!$V$36),EXACT(H21,'Data Base'!$V$35)),EXACT(K21,'Data Base'!$X$36)),I21*1*1*0.75,IF(AND(EXACT(G21,'Data Base'!$T$36),EXACT(H21,'Data Base'!$V$37),EXACT(K21,'Data Base'!$X$36)),I21*1*0.5*0.75,IF(AND(EXACT(G21,'Data Base'!$T$36),EXACT(H21,'Data Base'!$V$38),EXACT(K21,'Data Base'!$X$36)),I21*1*1.2*0.75,IF(AND(EXACT(G21,'Data Base'!$T$36),OR(EXACT(H21,'Data Base'!$V$36),EXACT(H21,'Data Base'!$V$35)),EXACT(K21,'Data Base'!$X$37)),I21*1*1*0.5,IF(AND(EXACT(G21,'Data Base'!$T$36),EXACT(H21,'Data Base'!$V$37),EXACT(K21,'Data Base'!$X$37)),I21*1*0.5*0.5,IF(AND(EXACT(G21,'Data Base'!$T$36),EXACT(H21,'Data Base'!$V$38),EXACT(K21,'Data Base'!$X$37)),I21*1*1.2*0.5,IF(AND(EXACT(G21,'Data Base'!$T$37),OR(EXACT(H21,'Data Base'!$V$36),EXACT(H21,'Data Base'!$V$35)),EXACT(K21,'Data Base'!$X$35)),I21*1.25*1*1,IF(AND(EXACT(G21,'Data Base'!$T$37),EXACT(H21,'Data Base'!$V$37),EXACT(K21,'Data Base'!$X$35)),I21*1.25*0.5*1,IF(AND(EXACT(G21,'Data Base'!$T$37),EXACT(H21,'Data Base'!$V$38),EXACT(K21,'Data Base'!$X$35)),I21*1.25*1.2*1,IF(AND(EXACT(G21,'Data Base'!$T$37),OR(EXACT(H21,'Data Base'!$V$36),EXACT(H21,'Data Base'!$V$35)),EXACT(K21,'Data Base'!$X$36)),I21*1.25*1*0.75,IF(AND(EXACT(G21,'Data Base'!$T$37),EXACT(H21,'Data Base'!$V$37),EXACT(K21,'Data Base'!$X$36)),I21*1.25*0.5*0.75,IF(AND(EXACT(G21,'Data Base'!$T$37),EXACT(H21,'Data Base'!$V$38),EXACT(K21,'Data Base'!$X$36)),I21*1.25*1.2*0.75,IF(AND(EXACT(G21,'Data Base'!$T$37),OR(EXACT(H21,'Data Base'!$V$36),EXACT(H21,'Data Base'!$V$35)),EXACT(K21,'Data Base'!$X$37)),I21*1.25*1*0.5,IF(AND(EXACT(G21,'Data Base'!$T$37),EXACT(H21,'Data Base'!$V$37),EXACT(K21,'Data Base'!$X$37)),I21*1.25*0.5*0.5,IF(AND(EXACT(G21,'Data Base'!$T$37),EXACT(H21,'Data Base'!$V$38),EXACT(K21,'Data Base'!$X$37)),I21*1.25*1.2*0.5))))))))))))))))))))))))))),"")</f>
        <v/>
      </c>
    </row>
    <row r="22" spans="1:15" ht="21" customHeight="1">
      <c r="A22" s="99">
        <v>2</v>
      </c>
      <c r="B22" s="1349" t="str">
        <f t="shared" ref="B22:B35" si="2">IF(NOT(EXACT(D22,"")),B21,"")</f>
        <v/>
      </c>
      <c r="C22" s="1350"/>
      <c r="D22" s="148" t="str">
        <f t="shared" ref="D22:D35" si="3">IF(NOT(EXACT(E22,"")),D21,"")</f>
        <v/>
      </c>
      <c r="E22" s="1365"/>
      <c r="F22" s="1365"/>
      <c r="G22" s="165"/>
      <c r="H22" s="140"/>
      <c r="I22" s="4"/>
      <c r="J22" s="4"/>
      <c r="K22" s="140"/>
      <c r="L22" s="4" t="s">
        <v>652</v>
      </c>
      <c r="M22" s="166" t="str">
        <f>IF(AND(NOT(EXACT(D22,"")),NOT(EXACT(G22,"")),NOT(EXACT(E22,"")),NOT(EXACT(B22,"")),NOT(EXACT(I22,"")),NOT(EXACT(H22,""))),IF(AND(EXACT(G22,'Data Base'!$T$35),OR(EXACT(H22,'Data Base'!$V$36),EXACT(H22,'Data Base'!$V$35)),EXACT(K22,'Data Base'!$X$35)),I22*0.5*1*1,IF(AND(EXACT(G22,'Data Base'!$T$35),EXACT(H22,'Data Base'!$V$37),EXACT(K22,'Data Base'!$X$35)),I22*0.5*0.5*1,IF(AND(EXACT(G22,'Data Base'!$T$35),EXACT(H22,'Data Base'!$V$38),EXACT(K22,'Data Base'!$X$35)),I22*0.5*1.2*1,IF(AND(EXACT(G22,'Data Base'!$T$35),OR(EXACT(H22,'Data Base'!$V$36),EXACT(H22,'Data Base'!$V$35)),EXACT(K22,'Data Base'!$X$36)),I22*0.5*1*0.75,IF(AND(EXACT(G22,'Data Base'!$T$35),EXACT(H22,'Data Base'!$V$37),EXACT(K22,'Data Base'!$X$36)),I22*0.5*0.5*0.75,IF(AND(EXACT(G22,'Data Base'!$T$35),EXACT(H22,'Data Base'!$V$38),EXACT(K22,'Data Base'!$X$36)),I22*0.5*1.2*0.75,IF(AND(EXACT(G22,'Data Base'!$T$35),OR(EXACT(H22,'Data Base'!$V$36),EXACT(H22,'Data Base'!$V$35)),EXACT(K22,'Data Base'!$X$37)),I22*0.5*1*0.5,IF(AND(EXACT(G22,'Data Base'!$T$35),EXACT(H22,'Data Base'!$V$37),EXACT(K22,'Data Base'!$X$37)),I22*0.5*0.5*0.5,IF(AND(EXACT(G22,'Data Base'!$T$35),EXACT(H22,'Data Base'!$V$38),EXACT(K22,'Data Base'!$X$37)),I22*0.5*1.2*0.5,IF(AND(EXACT(G22,'Data Base'!$T$36),OR(EXACT(H22,'Data Base'!$V$36),EXACT(H22,'Data Base'!$V$35)),EXACT(K22,'Data Base'!$X$35)),I22*1*1*1,IF(AND(EXACT(G22,'Data Base'!$T$36),EXACT(H22,'Data Base'!$V$37),EXACT(K22,'Data Base'!$X$35)),I22*1*0.5*1,IF(AND(EXACT(G22,'Data Base'!$T$36),EXACT(H22,'Data Base'!$V$38),EXACT(K22,'Data Base'!$X$35)),I22*1*1.2*1,IF(AND(EXACT(G22,'Data Base'!$T$36),OR(EXACT(H22,'Data Base'!$V$36),EXACT(H22,'Data Base'!$V$35)),EXACT(K22,'Data Base'!$X$36)),I22*1*1*0.75,IF(AND(EXACT(G22,'Data Base'!$T$36),EXACT(H22,'Data Base'!$V$37),EXACT(K22,'Data Base'!$X$36)),I22*1*0.5*0.75,IF(AND(EXACT(G22,'Data Base'!$T$36),EXACT(H22,'Data Base'!$V$38),EXACT(K22,'Data Base'!$X$36)),I22*1*1.2*0.75,IF(AND(EXACT(G22,'Data Base'!$T$36),OR(EXACT(H22,'Data Base'!$V$36),EXACT(H22,'Data Base'!$V$35)),EXACT(K22,'Data Base'!$X$37)),I22*1*1*0.5,IF(AND(EXACT(G22,'Data Base'!$T$36),EXACT(H22,'Data Base'!$V$37),EXACT(K22,'Data Base'!$X$37)),I22*1*0.5*0.5,IF(AND(EXACT(G22,'Data Base'!$T$36),EXACT(H22,'Data Base'!$V$38),EXACT(K22,'Data Base'!$X$37)),I22*1*1.2*0.5,IF(AND(EXACT(G22,'Data Base'!$T$37),OR(EXACT(H22,'Data Base'!$V$36),EXACT(H22,'Data Base'!$V$35)),EXACT(K22,'Data Base'!$X$35)),I22*1.25*1*1,IF(AND(EXACT(G22,'Data Base'!$T$37),EXACT(H22,'Data Base'!$V$37),EXACT(K22,'Data Base'!$X$35)),I22*1.25*0.5*1,IF(AND(EXACT(G22,'Data Base'!$T$37),EXACT(H22,'Data Base'!$V$38),EXACT(K22,'Data Base'!$X$35)),I22*1.25*1.2*1,IF(AND(EXACT(G22,'Data Base'!$T$37),OR(EXACT(H22,'Data Base'!$V$36),EXACT(H22,'Data Base'!$V$35)),EXACT(K22,'Data Base'!$X$36)),I22*1.25*1*0.75,IF(AND(EXACT(G22,'Data Base'!$T$37),EXACT(H22,'Data Base'!$V$37),EXACT(K22,'Data Base'!$X$36)),I22*1.25*0.5*0.75,IF(AND(EXACT(G22,'Data Base'!$T$37),EXACT(H22,'Data Base'!$V$38),EXACT(K22,'Data Base'!$X$36)),I22*1.25*1.2*0.75,IF(AND(EXACT(G22,'Data Base'!$T$37),OR(EXACT(H22,'Data Base'!$V$36),EXACT(H22,'Data Base'!$V$35)),EXACT(K22,'Data Base'!$X$37)),I22*1.25*1*0.5,IF(AND(EXACT(G22,'Data Base'!$T$37),EXACT(H22,'Data Base'!$V$37),EXACT(K22,'Data Base'!$X$37)),I22*1.25*0.5*0.5,IF(AND(EXACT(G22,'Data Base'!$T$37),EXACT(H22,'Data Base'!$V$38),EXACT(K22,'Data Base'!$X$37)),I22*1.25*1.2*0.5))))))))))))))))))))))))))),"")</f>
        <v/>
      </c>
    </row>
    <row r="23" spans="1:15" ht="21" customHeight="1">
      <c r="A23" s="99">
        <v>3</v>
      </c>
      <c r="B23" s="1349" t="str">
        <f t="shared" si="2"/>
        <v/>
      </c>
      <c r="C23" s="1350"/>
      <c r="D23" s="148" t="str">
        <f t="shared" si="3"/>
        <v/>
      </c>
      <c r="E23" s="1351"/>
      <c r="F23" s="1352"/>
      <c r="G23" s="165"/>
      <c r="H23" s="140"/>
      <c r="I23" s="4"/>
      <c r="J23" s="4"/>
      <c r="K23" s="140"/>
      <c r="L23" s="4" t="s">
        <v>652</v>
      </c>
      <c r="M23" s="166" t="str">
        <f>IF(AND(NOT(EXACT(D23,"")),NOT(EXACT(G23,"")),NOT(EXACT(E23,"")),NOT(EXACT(B23,"")),NOT(EXACT(I23,"")),NOT(EXACT(H23,""))),IF(AND(EXACT(G23,'Data Base'!$T$35),OR(EXACT(H23,'Data Base'!$V$36),EXACT(H23,'Data Base'!$V$35)),EXACT(K23,'Data Base'!$X$35)),I23*0.5*1*1,IF(AND(EXACT(G23,'Data Base'!$T$35),EXACT(H23,'Data Base'!$V$37),EXACT(K23,'Data Base'!$X$35)),I23*0.5*0.5*1,IF(AND(EXACT(G23,'Data Base'!$T$35),EXACT(H23,'Data Base'!$V$38),EXACT(K23,'Data Base'!$X$35)),I23*0.5*1.2*1,IF(AND(EXACT(G23,'Data Base'!$T$35),OR(EXACT(H23,'Data Base'!$V$36),EXACT(H23,'Data Base'!$V$35)),EXACT(K23,'Data Base'!$X$36)),I23*0.5*1*0.75,IF(AND(EXACT(G23,'Data Base'!$T$35),EXACT(H23,'Data Base'!$V$37),EXACT(K23,'Data Base'!$X$36)),I23*0.5*0.5*0.75,IF(AND(EXACT(G23,'Data Base'!$T$35),EXACT(H23,'Data Base'!$V$38),EXACT(K23,'Data Base'!$X$36)),I23*0.5*1.2*0.75,IF(AND(EXACT(G23,'Data Base'!$T$35),OR(EXACT(H23,'Data Base'!$V$36),EXACT(H23,'Data Base'!$V$35)),EXACT(K23,'Data Base'!$X$37)),I23*0.5*1*0.5,IF(AND(EXACT(G23,'Data Base'!$T$35),EXACT(H23,'Data Base'!$V$37),EXACT(K23,'Data Base'!$X$37)),I23*0.5*0.5*0.5,IF(AND(EXACT(G23,'Data Base'!$T$35),EXACT(H23,'Data Base'!$V$38),EXACT(K23,'Data Base'!$X$37)),I23*0.5*1.2*0.5,IF(AND(EXACT(G23,'Data Base'!$T$36),OR(EXACT(H23,'Data Base'!$V$36),EXACT(H23,'Data Base'!$V$35)),EXACT(K23,'Data Base'!$X$35)),I23*1*1*1,IF(AND(EXACT(G23,'Data Base'!$T$36),EXACT(H23,'Data Base'!$V$37),EXACT(K23,'Data Base'!$X$35)),I23*1*0.5*1,IF(AND(EXACT(G23,'Data Base'!$T$36),EXACT(H23,'Data Base'!$V$38),EXACT(K23,'Data Base'!$X$35)),I23*1*1.2*1,IF(AND(EXACT(G23,'Data Base'!$T$36),OR(EXACT(H23,'Data Base'!$V$36),EXACT(H23,'Data Base'!$V$35)),EXACT(K23,'Data Base'!$X$36)),I23*1*1*0.75,IF(AND(EXACT(G23,'Data Base'!$T$36),EXACT(H23,'Data Base'!$V$37),EXACT(K23,'Data Base'!$X$36)),I23*1*0.5*0.75,IF(AND(EXACT(G23,'Data Base'!$T$36),EXACT(H23,'Data Base'!$V$38),EXACT(K23,'Data Base'!$X$36)),I23*1*1.2*0.75,IF(AND(EXACT(G23,'Data Base'!$T$36),OR(EXACT(H23,'Data Base'!$V$36),EXACT(H23,'Data Base'!$V$35)),EXACT(K23,'Data Base'!$X$37)),I23*1*1*0.5,IF(AND(EXACT(G23,'Data Base'!$T$36),EXACT(H23,'Data Base'!$V$37),EXACT(K23,'Data Base'!$X$37)),I23*1*0.5*0.5,IF(AND(EXACT(G23,'Data Base'!$T$36),EXACT(H23,'Data Base'!$V$38),EXACT(K23,'Data Base'!$X$37)),I23*1*1.2*0.5,IF(AND(EXACT(G23,'Data Base'!$T$37),OR(EXACT(H23,'Data Base'!$V$36),EXACT(H23,'Data Base'!$V$35)),EXACT(K23,'Data Base'!$X$35)),I23*1.25*1*1,IF(AND(EXACT(G23,'Data Base'!$T$37),EXACT(H23,'Data Base'!$V$37),EXACT(K23,'Data Base'!$X$35)),I23*1.25*0.5*1,IF(AND(EXACT(G23,'Data Base'!$T$37),EXACT(H23,'Data Base'!$V$38),EXACT(K23,'Data Base'!$X$35)),I23*1.25*1.2*1,IF(AND(EXACT(G23,'Data Base'!$T$37),OR(EXACT(H23,'Data Base'!$V$36),EXACT(H23,'Data Base'!$V$35)),EXACT(K23,'Data Base'!$X$36)),I23*1.25*1*0.75,IF(AND(EXACT(G23,'Data Base'!$T$37),EXACT(H23,'Data Base'!$V$37),EXACT(K23,'Data Base'!$X$36)),I23*1.25*0.5*0.75,IF(AND(EXACT(G23,'Data Base'!$T$37),EXACT(H23,'Data Base'!$V$38),EXACT(K23,'Data Base'!$X$36)),I23*1.25*1.2*0.75,IF(AND(EXACT(G23,'Data Base'!$T$37),OR(EXACT(H23,'Data Base'!$V$36),EXACT(H23,'Data Base'!$V$35)),EXACT(K23,'Data Base'!$X$37)),I23*1.25*1*0.5,IF(AND(EXACT(G23,'Data Base'!$T$37),EXACT(H23,'Data Base'!$V$37),EXACT(K23,'Data Base'!$X$37)),I23*1.25*0.5*0.5,IF(AND(EXACT(G23,'Data Base'!$T$37),EXACT(H23,'Data Base'!$V$38),EXACT(K23,'Data Base'!$X$37)),I23*1.25*1.2*0.5))))))))))))))))))))))))))),"")</f>
        <v/>
      </c>
    </row>
    <row r="24" spans="1:15" ht="21" customHeight="1">
      <c r="A24" s="97">
        <v>4</v>
      </c>
      <c r="B24" s="1349" t="str">
        <f t="shared" si="2"/>
        <v/>
      </c>
      <c r="C24" s="1350"/>
      <c r="D24" s="148" t="str">
        <f t="shared" si="3"/>
        <v/>
      </c>
      <c r="E24" s="1351"/>
      <c r="F24" s="1352"/>
      <c r="G24" s="165"/>
      <c r="H24" s="140"/>
      <c r="I24" s="4"/>
      <c r="J24" s="4"/>
      <c r="K24" s="140"/>
      <c r="L24" s="4" t="s">
        <v>652</v>
      </c>
      <c r="M24" s="166" t="str">
        <f>IF(AND(NOT(EXACT(D24,"")),NOT(EXACT(G24,"")),NOT(EXACT(E24,"")),NOT(EXACT(B24,"")),NOT(EXACT(I24,"")),NOT(EXACT(H24,""))),IF(AND(EXACT(G24,'Data Base'!$T$35),OR(EXACT(H24,'Data Base'!$V$36),EXACT(H24,'Data Base'!$V$35)),EXACT(K24,'Data Base'!$X$35)),I24*0.5*1*1,IF(AND(EXACT(G24,'Data Base'!$T$35),EXACT(H24,'Data Base'!$V$37),EXACT(K24,'Data Base'!$X$35)),I24*0.5*0.5*1,IF(AND(EXACT(G24,'Data Base'!$T$35),EXACT(H24,'Data Base'!$V$38),EXACT(K24,'Data Base'!$X$35)),I24*0.5*1.2*1,IF(AND(EXACT(G24,'Data Base'!$T$35),OR(EXACT(H24,'Data Base'!$V$36),EXACT(H24,'Data Base'!$V$35)),EXACT(K24,'Data Base'!$X$36)),I24*0.5*1*0.75,IF(AND(EXACT(G24,'Data Base'!$T$35),EXACT(H24,'Data Base'!$V$37),EXACT(K24,'Data Base'!$X$36)),I24*0.5*0.5*0.75,IF(AND(EXACT(G24,'Data Base'!$T$35),EXACT(H24,'Data Base'!$V$38),EXACT(K24,'Data Base'!$X$36)),I24*0.5*1.2*0.75,IF(AND(EXACT(G24,'Data Base'!$T$35),OR(EXACT(H24,'Data Base'!$V$36),EXACT(H24,'Data Base'!$V$35)),EXACT(K24,'Data Base'!$X$37)),I24*0.5*1*0.5,IF(AND(EXACT(G24,'Data Base'!$T$35),EXACT(H24,'Data Base'!$V$37),EXACT(K24,'Data Base'!$X$37)),I24*0.5*0.5*0.5,IF(AND(EXACT(G24,'Data Base'!$T$35),EXACT(H24,'Data Base'!$V$38),EXACT(K24,'Data Base'!$X$37)),I24*0.5*1.2*0.5,IF(AND(EXACT(G24,'Data Base'!$T$36),OR(EXACT(H24,'Data Base'!$V$36),EXACT(H24,'Data Base'!$V$35)),EXACT(K24,'Data Base'!$X$35)),I24*1*1*1,IF(AND(EXACT(G24,'Data Base'!$T$36),EXACT(H24,'Data Base'!$V$37),EXACT(K24,'Data Base'!$X$35)),I24*1*0.5*1,IF(AND(EXACT(G24,'Data Base'!$T$36),EXACT(H24,'Data Base'!$V$38),EXACT(K24,'Data Base'!$X$35)),I24*1*1.2*1,IF(AND(EXACT(G24,'Data Base'!$T$36),OR(EXACT(H24,'Data Base'!$V$36),EXACT(H24,'Data Base'!$V$35)),EXACT(K24,'Data Base'!$X$36)),I24*1*1*0.75,IF(AND(EXACT(G24,'Data Base'!$T$36),EXACT(H24,'Data Base'!$V$37),EXACT(K24,'Data Base'!$X$36)),I24*1*0.5*0.75,IF(AND(EXACT(G24,'Data Base'!$T$36),EXACT(H24,'Data Base'!$V$38),EXACT(K24,'Data Base'!$X$36)),I24*1*1.2*0.75,IF(AND(EXACT(G24,'Data Base'!$T$36),OR(EXACT(H24,'Data Base'!$V$36),EXACT(H24,'Data Base'!$V$35)),EXACT(K24,'Data Base'!$X$37)),I24*1*1*0.5,IF(AND(EXACT(G24,'Data Base'!$T$36),EXACT(H24,'Data Base'!$V$37),EXACT(K24,'Data Base'!$X$37)),I24*1*0.5*0.5,IF(AND(EXACT(G24,'Data Base'!$T$36),EXACT(H24,'Data Base'!$V$38),EXACT(K24,'Data Base'!$X$37)),I24*1*1.2*0.5,IF(AND(EXACT(G24,'Data Base'!$T$37),OR(EXACT(H24,'Data Base'!$V$36),EXACT(H24,'Data Base'!$V$35)),EXACT(K24,'Data Base'!$X$35)),I24*1.25*1*1,IF(AND(EXACT(G24,'Data Base'!$T$37),EXACT(H24,'Data Base'!$V$37),EXACT(K24,'Data Base'!$X$35)),I24*1.25*0.5*1,IF(AND(EXACT(G24,'Data Base'!$T$37),EXACT(H24,'Data Base'!$V$38),EXACT(K24,'Data Base'!$X$35)),I24*1.25*1.2*1,IF(AND(EXACT(G24,'Data Base'!$T$37),OR(EXACT(H24,'Data Base'!$V$36),EXACT(H24,'Data Base'!$V$35)),EXACT(K24,'Data Base'!$X$36)),I24*1.25*1*0.75,IF(AND(EXACT(G24,'Data Base'!$T$37),EXACT(H24,'Data Base'!$V$37),EXACT(K24,'Data Base'!$X$36)),I24*1.25*0.5*0.75,IF(AND(EXACT(G24,'Data Base'!$T$37),EXACT(H24,'Data Base'!$V$38),EXACT(K24,'Data Base'!$X$36)),I24*1.25*1.2*0.75,IF(AND(EXACT(G24,'Data Base'!$T$37),OR(EXACT(H24,'Data Base'!$V$36),EXACT(H24,'Data Base'!$V$35)),EXACT(K24,'Data Base'!$X$37)),I24*1.25*1*0.5,IF(AND(EXACT(G24,'Data Base'!$T$37),EXACT(H24,'Data Base'!$V$37),EXACT(K24,'Data Base'!$X$37)),I24*1.25*0.5*0.5,IF(AND(EXACT(G24,'Data Base'!$T$37),EXACT(H24,'Data Base'!$V$38),EXACT(K24,'Data Base'!$X$37)),I24*1.25*1.2*0.5))))))))))))))))))))))))))),"")</f>
        <v/>
      </c>
    </row>
    <row r="25" spans="1:15" ht="21" customHeight="1">
      <c r="A25" s="99">
        <v>5</v>
      </c>
      <c r="B25" s="1349" t="str">
        <f t="shared" si="2"/>
        <v/>
      </c>
      <c r="C25" s="1350"/>
      <c r="D25" s="148" t="str">
        <f t="shared" si="3"/>
        <v/>
      </c>
      <c r="E25" s="1351"/>
      <c r="F25" s="1352"/>
      <c r="G25" s="165"/>
      <c r="H25" s="140"/>
      <c r="I25" s="4"/>
      <c r="J25" s="4"/>
      <c r="K25" s="140"/>
      <c r="L25" s="4" t="s">
        <v>652</v>
      </c>
      <c r="M25" s="166" t="str">
        <f>IF(AND(NOT(EXACT(D25,"")),NOT(EXACT(G25,"")),NOT(EXACT(E25,"")),NOT(EXACT(B25,"")),NOT(EXACT(I25,"")),NOT(EXACT(H25,""))),IF(AND(EXACT(G25,'Data Base'!$T$35),OR(EXACT(H25,'Data Base'!$V$36),EXACT(H25,'Data Base'!$V$35)),EXACT(K25,'Data Base'!$X$35)),I25*0.5*1*1,IF(AND(EXACT(G25,'Data Base'!$T$35),EXACT(H25,'Data Base'!$V$37),EXACT(K25,'Data Base'!$X$35)),I25*0.5*0.5*1,IF(AND(EXACT(G25,'Data Base'!$T$35),EXACT(H25,'Data Base'!$V$38),EXACT(K25,'Data Base'!$X$35)),I25*0.5*1.2*1,IF(AND(EXACT(G25,'Data Base'!$T$35),OR(EXACT(H25,'Data Base'!$V$36),EXACT(H25,'Data Base'!$V$35)),EXACT(K25,'Data Base'!$X$36)),I25*0.5*1*0.75,IF(AND(EXACT(G25,'Data Base'!$T$35),EXACT(H25,'Data Base'!$V$37),EXACT(K25,'Data Base'!$X$36)),I25*0.5*0.5*0.75,IF(AND(EXACT(G25,'Data Base'!$T$35),EXACT(H25,'Data Base'!$V$38),EXACT(K25,'Data Base'!$X$36)),I25*0.5*1.2*0.75,IF(AND(EXACT(G25,'Data Base'!$T$35),OR(EXACT(H25,'Data Base'!$V$36),EXACT(H25,'Data Base'!$V$35)),EXACT(K25,'Data Base'!$X$37)),I25*0.5*1*0.5,IF(AND(EXACT(G25,'Data Base'!$T$35),EXACT(H25,'Data Base'!$V$37),EXACT(K25,'Data Base'!$X$37)),I25*0.5*0.5*0.5,IF(AND(EXACT(G25,'Data Base'!$T$35),EXACT(H25,'Data Base'!$V$38),EXACT(K25,'Data Base'!$X$37)),I25*0.5*1.2*0.5,IF(AND(EXACT(G25,'Data Base'!$T$36),OR(EXACT(H25,'Data Base'!$V$36),EXACT(H25,'Data Base'!$V$35)),EXACT(K25,'Data Base'!$X$35)),I25*1*1*1,IF(AND(EXACT(G25,'Data Base'!$T$36),EXACT(H25,'Data Base'!$V$37),EXACT(K25,'Data Base'!$X$35)),I25*1*0.5*1,IF(AND(EXACT(G25,'Data Base'!$T$36),EXACT(H25,'Data Base'!$V$38),EXACT(K25,'Data Base'!$X$35)),I25*1*1.2*1,IF(AND(EXACT(G25,'Data Base'!$T$36),OR(EXACT(H25,'Data Base'!$V$36),EXACT(H25,'Data Base'!$V$35)),EXACT(K25,'Data Base'!$X$36)),I25*1*1*0.75,IF(AND(EXACT(G25,'Data Base'!$T$36),EXACT(H25,'Data Base'!$V$37),EXACT(K25,'Data Base'!$X$36)),I25*1*0.5*0.75,IF(AND(EXACT(G25,'Data Base'!$T$36),EXACT(H25,'Data Base'!$V$38),EXACT(K25,'Data Base'!$X$36)),I25*1*1.2*0.75,IF(AND(EXACT(G25,'Data Base'!$T$36),OR(EXACT(H25,'Data Base'!$V$36),EXACT(H25,'Data Base'!$V$35)),EXACT(K25,'Data Base'!$X$37)),I25*1*1*0.5,IF(AND(EXACT(G25,'Data Base'!$T$36),EXACT(H25,'Data Base'!$V$37),EXACT(K25,'Data Base'!$X$37)),I25*1*0.5*0.5,IF(AND(EXACT(G25,'Data Base'!$T$36),EXACT(H25,'Data Base'!$V$38),EXACT(K25,'Data Base'!$X$37)),I25*1*1.2*0.5,IF(AND(EXACT(G25,'Data Base'!$T$37),OR(EXACT(H25,'Data Base'!$V$36),EXACT(H25,'Data Base'!$V$35)),EXACT(K25,'Data Base'!$X$35)),I25*1.25*1*1,IF(AND(EXACT(G25,'Data Base'!$T$37),EXACT(H25,'Data Base'!$V$37),EXACT(K25,'Data Base'!$X$35)),I25*1.25*0.5*1,IF(AND(EXACT(G25,'Data Base'!$T$37),EXACT(H25,'Data Base'!$V$38),EXACT(K25,'Data Base'!$X$35)),I25*1.25*1.2*1,IF(AND(EXACT(G25,'Data Base'!$T$37),OR(EXACT(H25,'Data Base'!$V$36),EXACT(H25,'Data Base'!$V$35)),EXACT(K25,'Data Base'!$X$36)),I25*1.25*1*0.75,IF(AND(EXACT(G25,'Data Base'!$T$37),EXACT(H25,'Data Base'!$V$37),EXACT(K25,'Data Base'!$X$36)),I25*1.25*0.5*0.75,IF(AND(EXACT(G25,'Data Base'!$T$37),EXACT(H25,'Data Base'!$V$38),EXACT(K25,'Data Base'!$X$36)),I25*1.25*1.2*0.75,IF(AND(EXACT(G25,'Data Base'!$T$37),OR(EXACT(H25,'Data Base'!$V$36),EXACT(H25,'Data Base'!$V$35)),EXACT(K25,'Data Base'!$X$37)),I25*1.25*1*0.5,IF(AND(EXACT(G25,'Data Base'!$T$37),EXACT(H25,'Data Base'!$V$37),EXACT(K25,'Data Base'!$X$37)),I25*1.25*0.5*0.5,IF(AND(EXACT(G25,'Data Base'!$T$37),EXACT(H25,'Data Base'!$V$38),EXACT(K25,'Data Base'!$X$37)),I25*1.25*1.2*0.5))))))))))))))))))))))))))),"")</f>
        <v/>
      </c>
    </row>
    <row r="26" spans="1:15" ht="21" customHeight="1">
      <c r="A26" s="99">
        <v>6</v>
      </c>
      <c r="B26" s="1349" t="str">
        <f t="shared" si="2"/>
        <v/>
      </c>
      <c r="C26" s="1350"/>
      <c r="D26" s="148" t="str">
        <f t="shared" si="3"/>
        <v/>
      </c>
      <c r="E26" s="1351"/>
      <c r="F26" s="1352"/>
      <c r="G26" s="165"/>
      <c r="H26" s="140"/>
      <c r="I26" s="4"/>
      <c r="J26" s="4"/>
      <c r="K26" s="140"/>
      <c r="L26" s="4" t="s">
        <v>652</v>
      </c>
      <c r="M26" s="166" t="str">
        <f>IF(AND(NOT(EXACT(D26,"")),NOT(EXACT(G26,"")),NOT(EXACT(E26,"")),NOT(EXACT(B26,"")),NOT(EXACT(I26,"")),NOT(EXACT(H26,""))),IF(AND(EXACT(G26,'Data Base'!$T$35),OR(EXACT(H26,'Data Base'!$V$36),EXACT(H26,'Data Base'!$V$35)),EXACT(K26,'Data Base'!$X$35)),I26*0.5*1*1,IF(AND(EXACT(G26,'Data Base'!$T$35),EXACT(H26,'Data Base'!$V$37),EXACT(K26,'Data Base'!$X$35)),I26*0.5*0.5*1,IF(AND(EXACT(G26,'Data Base'!$T$35),EXACT(H26,'Data Base'!$V$38),EXACT(K26,'Data Base'!$X$35)),I26*0.5*1.2*1,IF(AND(EXACT(G26,'Data Base'!$T$35),OR(EXACT(H26,'Data Base'!$V$36),EXACT(H26,'Data Base'!$V$35)),EXACT(K26,'Data Base'!$X$36)),I26*0.5*1*0.75,IF(AND(EXACT(G26,'Data Base'!$T$35),EXACT(H26,'Data Base'!$V$37),EXACT(K26,'Data Base'!$X$36)),I26*0.5*0.5*0.75,IF(AND(EXACT(G26,'Data Base'!$T$35),EXACT(H26,'Data Base'!$V$38),EXACT(K26,'Data Base'!$X$36)),I26*0.5*1.2*0.75,IF(AND(EXACT(G26,'Data Base'!$T$35),OR(EXACT(H26,'Data Base'!$V$36),EXACT(H26,'Data Base'!$V$35)),EXACT(K26,'Data Base'!$X$37)),I26*0.5*1*0.5,IF(AND(EXACT(G26,'Data Base'!$T$35),EXACT(H26,'Data Base'!$V$37),EXACT(K26,'Data Base'!$X$37)),I26*0.5*0.5*0.5,IF(AND(EXACT(G26,'Data Base'!$T$35),EXACT(H26,'Data Base'!$V$38),EXACT(K26,'Data Base'!$X$37)),I26*0.5*1.2*0.5,IF(AND(EXACT(G26,'Data Base'!$T$36),OR(EXACT(H26,'Data Base'!$V$36),EXACT(H26,'Data Base'!$V$35)),EXACT(K26,'Data Base'!$X$35)),I26*1*1*1,IF(AND(EXACT(G26,'Data Base'!$T$36),EXACT(H26,'Data Base'!$V$37),EXACT(K26,'Data Base'!$X$35)),I26*1*0.5*1,IF(AND(EXACT(G26,'Data Base'!$T$36),EXACT(H26,'Data Base'!$V$38),EXACT(K26,'Data Base'!$X$35)),I26*1*1.2*1,IF(AND(EXACT(G26,'Data Base'!$T$36),OR(EXACT(H26,'Data Base'!$V$36),EXACT(H26,'Data Base'!$V$35)),EXACT(K26,'Data Base'!$X$36)),I26*1*1*0.75,IF(AND(EXACT(G26,'Data Base'!$T$36),EXACT(H26,'Data Base'!$V$37),EXACT(K26,'Data Base'!$X$36)),I26*1*0.5*0.75,IF(AND(EXACT(G26,'Data Base'!$T$36),EXACT(H26,'Data Base'!$V$38),EXACT(K26,'Data Base'!$X$36)),I26*1*1.2*0.75,IF(AND(EXACT(G26,'Data Base'!$T$36),OR(EXACT(H26,'Data Base'!$V$36),EXACT(H26,'Data Base'!$V$35)),EXACT(K26,'Data Base'!$X$37)),I26*1*1*0.5,IF(AND(EXACT(G26,'Data Base'!$T$36),EXACT(H26,'Data Base'!$V$37),EXACT(K26,'Data Base'!$X$37)),I26*1*0.5*0.5,IF(AND(EXACT(G26,'Data Base'!$T$36),EXACT(H26,'Data Base'!$V$38),EXACT(K26,'Data Base'!$X$37)),I26*1*1.2*0.5,IF(AND(EXACT(G26,'Data Base'!$T$37),OR(EXACT(H26,'Data Base'!$V$36),EXACT(H26,'Data Base'!$V$35)),EXACT(K26,'Data Base'!$X$35)),I26*1.25*1*1,IF(AND(EXACT(G26,'Data Base'!$T$37),EXACT(H26,'Data Base'!$V$37),EXACT(K26,'Data Base'!$X$35)),I26*1.25*0.5*1,IF(AND(EXACT(G26,'Data Base'!$T$37),EXACT(H26,'Data Base'!$V$38),EXACT(K26,'Data Base'!$X$35)),I26*1.25*1.2*1,IF(AND(EXACT(G26,'Data Base'!$T$37),OR(EXACT(H26,'Data Base'!$V$36),EXACT(H26,'Data Base'!$V$35)),EXACT(K26,'Data Base'!$X$36)),I26*1.25*1*0.75,IF(AND(EXACT(G26,'Data Base'!$T$37),EXACT(H26,'Data Base'!$V$37),EXACT(K26,'Data Base'!$X$36)),I26*1.25*0.5*0.75,IF(AND(EXACT(G26,'Data Base'!$T$37),EXACT(H26,'Data Base'!$V$38),EXACT(K26,'Data Base'!$X$36)),I26*1.25*1.2*0.75,IF(AND(EXACT(G26,'Data Base'!$T$37),OR(EXACT(H26,'Data Base'!$V$36),EXACT(H26,'Data Base'!$V$35)),EXACT(K26,'Data Base'!$X$37)),I26*1.25*1*0.5,IF(AND(EXACT(G26,'Data Base'!$T$37),EXACT(H26,'Data Base'!$V$37),EXACT(K26,'Data Base'!$X$37)),I26*1.25*0.5*0.5,IF(AND(EXACT(G26,'Data Base'!$T$37),EXACT(H26,'Data Base'!$V$38),EXACT(K26,'Data Base'!$X$37)),I26*1.25*1.2*0.5))))))))))))))))))))))))))),"")</f>
        <v/>
      </c>
    </row>
    <row r="27" spans="1:15" ht="21" customHeight="1">
      <c r="A27" s="97">
        <v>7</v>
      </c>
      <c r="B27" s="1349" t="str">
        <f t="shared" si="2"/>
        <v/>
      </c>
      <c r="C27" s="1350"/>
      <c r="D27" s="148" t="str">
        <f t="shared" si="3"/>
        <v/>
      </c>
      <c r="E27" s="1351"/>
      <c r="F27" s="1352"/>
      <c r="G27" s="165"/>
      <c r="H27" s="140"/>
      <c r="I27" s="4"/>
      <c r="J27" s="4"/>
      <c r="K27" s="140"/>
      <c r="L27" s="4" t="s">
        <v>652</v>
      </c>
      <c r="M27" s="166" t="str">
        <f>IF(AND(NOT(EXACT(D27,"")),NOT(EXACT(G27,"")),NOT(EXACT(E27,"")),NOT(EXACT(B27,"")),NOT(EXACT(I27,"")),NOT(EXACT(H27,""))),IF(AND(EXACT(G27,'Data Base'!$T$35),OR(EXACT(H27,'Data Base'!$V$36),EXACT(H27,'Data Base'!$V$35)),EXACT(K27,'Data Base'!$X$35)),I27*0.5*1*1,IF(AND(EXACT(G27,'Data Base'!$T$35),EXACT(H27,'Data Base'!$V$37),EXACT(K27,'Data Base'!$X$35)),I27*0.5*0.5*1,IF(AND(EXACT(G27,'Data Base'!$T$35),EXACT(H27,'Data Base'!$V$38),EXACT(K27,'Data Base'!$X$35)),I27*0.5*1.2*1,IF(AND(EXACT(G27,'Data Base'!$T$35),OR(EXACT(H27,'Data Base'!$V$36),EXACT(H27,'Data Base'!$V$35)),EXACT(K27,'Data Base'!$X$36)),I27*0.5*1*0.75,IF(AND(EXACT(G27,'Data Base'!$T$35),EXACT(H27,'Data Base'!$V$37),EXACT(K27,'Data Base'!$X$36)),I27*0.5*0.5*0.75,IF(AND(EXACT(G27,'Data Base'!$T$35),EXACT(H27,'Data Base'!$V$38),EXACT(K27,'Data Base'!$X$36)),I27*0.5*1.2*0.75,IF(AND(EXACT(G27,'Data Base'!$T$35),OR(EXACT(H27,'Data Base'!$V$36),EXACT(H27,'Data Base'!$V$35)),EXACT(K27,'Data Base'!$X$37)),I27*0.5*1*0.5,IF(AND(EXACT(G27,'Data Base'!$T$35),EXACT(H27,'Data Base'!$V$37),EXACT(K27,'Data Base'!$X$37)),I27*0.5*0.5*0.5,IF(AND(EXACT(G27,'Data Base'!$T$35),EXACT(H27,'Data Base'!$V$38),EXACT(K27,'Data Base'!$X$37)),I27*0.5*1.2*0.5,IF(AND(EXACT(G27,'Data Base'!$T$36),OR(EXACT(H27,'Data Base'!$V$36),EXACT(H27,'Data Base'!$V$35)),EXACT(K27,'Data Base'!$X$35)),I27*1*1*1,IF(AND(EXACT(G27,'Data Base'!$T$36),EXACT(H27,'Data Base'!$V$37),EXACT(K27,'Data Base'!$X$35)),I27*1*0.5*1,IF(AND(EXACT(G27,'Data Base'!$T$36),EXACT(H27,'Data Base'!$V$38),EXACT(K27,'Data Base'!$X$35)),I27*1*1.2*1,IF(AND(EXACT(G27,'Data Base'!$T$36),OR(EXACT(H27,'Data Base'!$V$36),EXACT(H27,'Data Base'!$V$35)),EXACT(K27,'Data Base'!$X$36)),I27*1*1*0.75,IF(AND(EXACT(G27,'Data Base'!$T$36),EXACT(H27,'Data Base'!$V$37),EXACT(K27,'Data Base'!$X$36)),I27*1*0.5*0.75,IF(AND(EXACT(G27,'Data Base'!$T$36),EXACT(H27,'Data Base'!$V$38),EXACT(K27,'Data Base'!$X$36)),I27*1*1.2*0.75,IF(AND(EXACT(G27,'Data Base'!$T$36),OR(EXACT(H27,'Data Base'!$V$36),EXACT(H27,'Data Base'!$V$35)),EXACT(K27,'Data Base'!$X$37)),I27*1*1*0.5,IF(AND(EXACT(G27,'Data Base'!$T$36),EXACT(H27,'Data Base'!$V$37),EXACT(K27,'Data Base'!$X$37)),I27*1*0.5*0.5,IF(AND(EXACT(G27,'Data Base'!$T$36),EXACT(H27,'Data Base'!$V$38),EXACT(K27,'Data Base'!$X$37)),I27*1*1.2*0.5,IF(AND(EXACT(G27,'Data Base'!$T$37),OR(EXACT(H27,'Data Base'!$V$36),EXACT(H27,'Data Base'!$V$35)),EXACT(K27,'Data Base'!$X$35)),I27*1.25*1*1,IF(AND(EXACT(G27,'Data Base'!$T$37),EXACT(H27,'Data Base'!$V$37),EXACT(K27,'Data Base'!$X$35)),I27*1.25*0.5*1,IF(AND(EXACT(G27,'Data Base'!$T$37),EXACT(H27,'Data Base'!$V$38),EXACT(K27,'Data Base'!$X$35)),I27*1.25*1.2*1,IF(AND(EXACT(G27,'Data Base'!$T$37),OR(EXACT(H27,'Data Base'!$V$36),EXACT(H27,'Data Base'!$V$35)),EXACT(K27,'Data Base'!$X$36)),I27*1.25*1*0.75,IF(AND(EXACT(G27,'Data Base'!$T$37),EXACT(H27,'Data Base'!$V$37),EXACT(K27,'Data Base'!$X$36)),I27*1.25*0.5*0.75,IF(AND(EXACT(G27,'Data Base'!$T$37),EXACT(H27,'Data Base'!$V$38),EXACT(K27,'Data Base'!$X$36)),I27*1.25*1.2*0.75,IF(AND(EXACT(G27,'Data Base'!$T$37),OR(EXACT(H27,'Data Base'!$V$36),EXACT(H27,'Data Base'!$V$35)),EXACT(K27,'Data Base'!$X$37)),I27*1.25*1*0.5,IF(AND(EXACT(G27,'Data Base'!$T$37),EXACT(H27,'Data Base'!$V$37),EXACT(K27,'Data Base'!$X$37)),I27*1.25*0.5*0.5,IF(AND(EXACT(G27,'Data Base'!$T$37),EXACT(H27,'Data Base'!$V$38),EXACT(K27,'Data Base'!$X$37)),I27*1.25*1.2*0.5))))))))))))))))))))))))))),"")</f>
        <v/>
      </c>
    </row>
    <row r="28" spans="1:15" ht="21" customHeight="1">
      <c r="A28" s="99">
        <v>8</v>
      </c>
      <c r="B28" s="1349" t="str">
        <f t="shared" si="2"/>
        <v/>
      </c>
      <c r="C28" s="1350"/>
      <c r="D28" s="148" t="str">
        <f t="shared" si="3"/>
        <v/>
      </c>
      <c r="E28" s="1351"/>
      <c r="F28" s="1352"/>
      <c r="G28" s="165"/>
      <c r="H28" s="140"/>
      <c r="I28" s="4"/>
      <c r="J28" s="4"/>
      <c r="K28" s="140"/>
      <c r="L28" s="4" t="s">
        <v>652</v>
      </c>
      <c r="M28" s="166" t="str">
        <f>IF(AND(NOT(EXACT(D28,"")),NOT(EXACT(G28,"")),NOT(EXACT(E28,"")),NOT(EXACT(B28,"")),NOT(EXACT(I28,"")),NOT(EXACT(H28,""))),IF(AND(EXACT(G28,'Data Base'!$T$35),OR(EXACT(H28,'Data Base'!$V$36),EXACT(H28,'Data Base'!$V$35)),EXACT(K28,'Data Base'!$X$35)),I28*0.5*1*1,IF(AND(EXACT(G28,'Data Base'!$T$35),EXACT(H28,'Data Base'!$V$37),EXACT(K28,'Data Base'!$X$35)),I28*0.5*0.5*1,IF(AND(EXACT(G28,'Data Base'!$T$35),EXACT(H28,'Data Base'!$V$38),EXACT(K28,'Data Base'!$X$35)),I28*0.5*1.2*1,IF(AND(EXACT(G28,'Data Base'!$T$35),OR(EXACT(H28,'Data Base'!$V$36),EXACT(H28,'Data Base'!$V$35)),EXACT(K28,'Data Base'!$X$36)),I28*0.5*1*0.75,IF(AND(EXACT(G28,'Data Base'!$T$35),EXACT(H28,'Data Base'!$V$37),EXACT(K28,'Data Base'!$X$36)),I28*0.5*0.5*0.75,IF(AND(EXACT(G28,'Data Base'!$T$35),EXACT(H28,'Data Base'!$V$38),EXACT(K28,'Data Base'!$X$36)),I28*0.5*1.2*0.75,IF(AND(EXACT(G28,'Data Base'!$T$35),OR(EXACT(H28,'Data Base'!$V$36),EXACT(H28,'Data Base'!$V$35)),EXACT(K28,'Data Base'!$X$37)),I28*0.5*1*0.5,IF(AND(EXACT(G28,'Data Base'!$T$35),EXACT(H28,'Data Base'!$V$37),EXACT(K28,'Data Base'!$X$37)),I28*0.5*0.5*0.5,IF(AND(EXACT(G28,'Data Base'!$T$35),EXACT(H28,'Data Base'!$V$38),EXACT(K28,'Data Base'!$X$37)),I28*0.5*1.2*0.5,IF(AND(EXACT(G28,'Data Base'!$T$36),OR(EXACT(H28,'Data Base'!$V$36),EXACT(H28,'Data Base'!$V$35)),EXACT(K28,'Data Base'!$X$35)),I28*1*1*1,IF(AND(EXACT(G28,'Data Base'!$T$36),EXACT(H28,'Data Base'!$V$37),EXACT(K28,'Data Base'!$X$35)),I28*1*0.5*1,IF(AND(EXACT(G28,'Data Base'!$T$36),EXACT(H28,'Data Base'!$V$38),EXACT(K28,'Data Base'!$X$35)),I28*1*1.2*1,IF(AND(EXACT(G28,'Data Base'!$T$36),OR(EXACT(H28,'Data Base'!$V$36),EXACT(H28,'Data Base'!$V$35)),EXACT(K28,'Data Base'!$X$36)),I28*1*1*0.75,IF(AND(EXACT(G28,'Data Base'!$T$36),EXACT(H28,'Data Base'!$V$37),EXACT(K28,'Data Base'!$X$36)),I28*1*0.5*0.75,IF(AND(EXACT(G28,'Data Base'!$T$36),EXACT(H28,'Data Base'!$V$38),EXACT(K28,'Data Base'!$X$36)),I28*1*1.2*0.75,IF(AND(EXACT(G28,'Data Base'!$T$36),OR(EXACT(H28,'Data Base'!$V$36),EXACT(H28,'Data Base'!$V$35)),EXACT(K28,'Data Base'!$X$37)),I28*1*1*0.5,IF(AND(EXACT(G28,'Data Base'!$T$36),EXACT(H28,'Data Base'!$V$37),EXACT(K28,'Data Base'!$X$37)),I28*1*0.5*0.5,IF(AND(EXACT(G28,'Data Base'!$T$36),EXACT(H28,'Data Base'!$V$38),EXACT(K28,'Data Base'!$X$37)),I28*1*1.2*0.5,IF(AND(EXACT(G28,'Data Base'!$T$37),OR(EXACT(H28,'Data Base'!$V$36),EXACT(H28,'Data Base'!$V$35)),EXACT(K28,'Data Base'!$X$35)),I28*1.25*1*1,IF(AND(EXACT(G28,'Data Base'!$T$37),EXACT(H28,'Data Base'!$V$37),EXACT(K28,'Data Base'!$X$35)),I28*1.25*0.5*1,IF(AND(EXACT(G28,'Data Base'!$T$37),EXACT(H28,'Data Base'!$V$38),EXACT(K28,'Data Base'!$X$35)),I28*1.25*1.2*1,IF(AND(EXACT(G28,'Data Base'!$T$37),OR(EXACT(H28,'Data Base'!$V$36),EXACT(H28,'Data Base'!$V$35)),EXACT(K28,'Data Base'!$X$36)),I28*1.25*1*0.75,IF(AND(EXACT(G28,'Data Base'!$T$37),EXACT(H28,'Data Base'!$V$37),EXACT(K28,'Data Base'!$X$36)),I28*1.25*0.5*0.75,IF(AND(EXACT(G28,'Data Base'!$T$37),EXACT(H28,'Data Base'!$V$38),EXACT(K28,'Data Base'!$X$36)),I28*1.25*1.2*0.75,IF(AND(EXACT(G28,'Data Base'!$T$37),OR(EXACT(H28,'Data Base'!$V$36),EXACT(H28,'Data Base'!$V$35)),EXACT(K28,'Data Base'!$X$37)),I28*1.25*1*0.5,IF(AND(EXACT(G28,'Data Base'!$T$37),EXACT(H28,'Data Base'!$V$37),EXACT(K28,'Data Base'!$X$37)),I28*1.25*0.5*0.5,IF(AND(EXACT(G28,'Data Base'!$T$37),EXACT(H28,'Data Base'!$V$38),EXACT(K28,'Data Base'!$X$37)),I28*1.25*1.2*0.5))))))))))))))))))))))))))),"")</f>
        <v/>
      </c>
    </row>
    <row r="29" spans="1:15" ht="21" customHeight="1">
      <c r="A29" s="99">
        <v>9</v>
      </c>
      <c r="B29" s="1349" t="str">
        <f t="shared" si="2"/>
        <v/>
      </c>
      <c r="C29" s="1350"/>
      <c r="D29" s="148" t="str">
        <f t="shared" si="3"/>
        <v/>
      </c>
      <c r="E29" s="1351"/>
      <c r="F29" s="1352"/>
      <c r="G29" s="165"/>
      <c r="H29" s="140"/>
      <c r="I29" s="4"/>
      <c r="J29" s="4"/>
      <c r="K29" s="140"/>
      <c r="L29" s="4" t="s">
        <v>652</v>
      </c>
      <c r="M29" s="166" t="str">
        <f>IF(AND(NOT(EXACT(D29,"")),NOT(EXACT(G29,"")),NOT(EXACT(E29,"")),NOT(EXACT(B29,"")),NOT(EXACT(I29,"")),NOT(EXACT(H29,""))),IF(AND(EXACT(G29,'Data Base'!$T$35),OR(EXACT(H29,'Data Base'!$V$36),EXACT(H29,'Data Base'!$V$35)),EXACT(K29,'Data Base'!$X$35)),I29*0.5*1*1,IF(AND(EXACT(G29,'Data Base'!$T$35),EXACT(H29,'Data Base'!$V$37),EXACT(K29,'Data Base'!$X$35)),I29*0.5*0.5*1,IF(AND(EXACT(G29,'Data Base'!$T$35),EXACT(H29,'Data Base'!$V$38),EXACT(K29,'Data Base'!$X$35)),I29*0.5*1.2*1,IF(AND(EXACT(G29,'Data Base'!$T$35),OR(EXACT(H29,'Data Base'!$V$36),EXACT(H29,'Data Base'!$V$35)),EXACT(K29,'Data Base'!$X$36)),I29*0.5*1*0.75,IF(AND(EXACT(G29,'Data Base'!$T$35),EXACT(H29,'Data Base'!$V$37),EXACT(K29,'Data Base'!$X$36)),I29*0.5*0.5*0.75,IF(AND(EXACT(G29,'Data Base'!$T$35),EXACT(H29,'Data Base'!$V$38),EXACT(K29,'Data Base'!$X$36)),I29*0.5*1.2*0.75,IF(AND(EXACT(G29,'Data Base'!$T$35),OR(EXACT(H29,'Data Base'!$V$36),EXACT(H29,'Data Base'!$V$35)),EXACT(K29,'Data Base'!$X$37)),I29*0.5*1*0.5,IF(AND(EXACT(G29,'Data Base'!$T$35),EXACT(H29,'Data Base'!$V$37),EXACT(K29,'Data Base'!$X$37)),I29*0.5*0.5*0.5,IF(AND(EXACT(G29,'Data Base'!$T$35),EXACT(H29,'Data Base'!$V$38),EXACT(K29,'Data Base'!$X$37)),I29*0.5*1.2*0.5,IF(AND(EXACT(G29,'Data Base'!$T$36),OR(EXACT(H29,'Data Base'!$V$36),EXACT(H29,'Data Base'!$V$35)),EXACT(K29,'Data Base'!$X$35)),I29*1*1*1,IF(AND(EXACT(G29,'Data Base'!$T$36),EXACT(H29,'Data Base'!$V$37),EXACT(K29,'Data Base'!$X$35)),I29*1*0.5*1,IF(AND(EXACT(G29,'Data Base'!$T$36),EXACT(H29,'Data Base'!$V$38),EXACT(K29,'Data Base'!$X$35)),I29*1*1.2*1,IF(AND(EXACT(G29,'Data Base'!$T$36),OR(EXACT(H29,'Data Base'!$V$36),EXACT(H29,'Data Base'!$V$35)),EXACT(K29,'Data Base'!$X$36)),I29*1*1*0.75,IF(AND(EXACT(G29,'Data Base'!$T$36),EXACT(H29,'Data Base'!$V$37),EXACT(K29,'Data Base'!$X$36)),I29*1*0.5*0.75,IF(AND(EXACT(G29,'Data Base'!$T$36),EXACT(H29,'Data Base'!$V$38),EXACT(K29,'Data Base'!$X$36)),I29*1*1.2*0.75,IF(AND(EXACT(G29,'Data Base'!$T$36),OR(EXACT(H29,'Data Base'!$V$36),EXACT(H29,'Data Base'!$V$35)),EXACT(K29,'Data Base'!$X$37)),I29*1*1*0.5,IF(AND(EXACT(G29,'Data Base'!$T$36),EXACT(H29,'Data Base'!$V$37),EXACT(K29,'Data Base'!$X$37)),I29*1*0.5*0.5,IF(AND(EXACT(G29,'Data Base'!$T$36),EXACT(H29,'Data Base'!$V$38),EXACT(K29,'Data Base'!$X$37)),I29*1*1.2*0.5,IF(AND(EXACT(G29,'Data Base'!$T$37),OR(EXACT(H29,'Data Base'!$V$36),EXACT(H29,'Data Base'!$V$35)),EXACT(K29,'Data Base'!$X$35)),I29*1.25*1*1,IF(AND(EXACT(G29,'Data Base'!$T$37),EXACT(H29,'Data Base'!$V$37),EXACT(K29,'Data Base'!$X$35)),I29*1.25*0.5*1,IF(AND(EXACT(G29,'Data Base'!$T$37),EXACT(H29,'Data Base'!$V$38),EXACT(K29,'Data Base'!$X$35)),I29*1.25*1.2*1,IF(AND(EXACT(G29,'Data Base'!$T$37),OR(EXACT(H29,'Data Base'!$V$36),EXACT(H29,'Data Base'!$V$35)),EXACT(K29,'Data Base'!$X$36)),I29*1.25*1*0.75,IF(AND(EXACT(G29,'Data Base'!$T$37),EXACT(H29,'Data Base'!$V$37),EXACT(K29,'Data Base'!$X$36)),I29*1.25*0.5*0.75,IF(AND(EXACT(G29,'Data Base'!$T$37),EXACT(H29,'Data Base'!$V$38),EXACT(K29,'Data Base'!$X$36)),I29*1.25*1.2*0.75,IF(AND(EXACT(G29,'Data Base'!$T$37),OR(EXACT(H29,'Data Base'!$V$36),EXACT(H29,'Data Base'!$V$35)),EXACT(K29,'Data Base'!$X$37)),I29*1.25*1*0.5,IF(AND(EXACT(G29,'Data Base'!$T$37),EXACT(H29,'Data Base'!$V$37),EXACT(K29,'Data Base'!$X$37)),I29*1.25*0.5*0.5,IF(AND(EXACT(G29,'Data Base'!$T$37),EXACT(H29,'Data Base'!$V$38),EXACT(K29,'Data Base'!$X$37)),I29*1.25*1.2*0.5))))))))))))))))))))))))))),"")</f>
        <v/>
      </c>
    </row>
    <row r="30" spans="1:15" ht="21" customHeight="1">
      <c r="A30" s="97">
        <v>10</v>
      </c>
      <c r="B30" s="1349" t="str">
        <f t="shared" si="2"/>
        <v/>
      </c>
      <c r="C30" s="1350"/>
      <c r="D30" s="148" t="str">
        <f t="shared" si="3"/>
        <v/>
      </c>
      <c r="E30" s="1351"/>
      <c r="F30" s="1352"/>
      <c r="G30" s="165"/>
      <c r="H30" s="140"/>
      <c r="I30" s="4"/>
      <c r="J30" s="4"/>
      <c r="K30" s="140"/>
      <c r="L30" s="4" t="s">
        <v>652</v>
      </c>
      <c r="M30" s="166" t="str">
        <f>IF(AND(NOT(EXACT(D30,"")),NOT(EXACT(G30,"")),NOT(EXACT(E30,"")),NOT(EXACT(B30,"")),NOT(EXACT(I30,"")),NOT(EXACT(H30,""))),IF(AND(EXACT(G30,'Data Base'!$T$35),OR(EXACT(H30,'Data Base'!$V$36),EXACT(H30,'Data Base'!$V$35)),EXACT(K30,'Data Base'!$X$35)),I30*0.5*1*1,IF(AND(EXACT(G30,'Data Base'!$T$35),EXACT(H30,'Data Base'!$V$37),EXACT(K30,'Data Base'!$X$35)),I30*0.5*0.5*1,IF(AND(EXACT(G30,'Data Base'!$T$35),EXACT(H30,'Data Base'!$V$38),EXACT(K30,'Data Base'!$X$35)),I30*0.5*1.2*1,IF(AND(EXACT(G30,'Data Base'!$T$35),OR(EXACT(H30,'Data Base'!$V$36),EXACT(H30,'Data Base'!$V$35)),EXACT(K30,'Data Base'!$X$36)),I30*0.5*1*0.75,IF(AND(EXACT(G30,'Data Base'!$T$35),EXACT(H30,'Data Base'!$V$37),EXACT(K30,'Data Base'!$X$36)),I30*0.5*0.5*0.75,IF(AND(EXACT(G30,'Data Base'!$T$35),EXACT(H30,'Data Base'!$V$38),EXACT(K30,'Data Base'!$X$36)),I30*0.5*1.2*0.75,IF(AND(EXACT(G30,'Data Base'!$T$35),OR(EXACT(H30,'Data Base'!$V$36),EXACT(H30,'Data Base'!$V$35)),EXACT(K30,'Data Base'!$X$37)),I30*0.5*1*0.5,IF(AND(EXACT(G30,'Data Base'!$T$35),EXACT(H30,'Data Base'!$V$37),EXACT(K30,'Data Base'!$X$37)),I30*0.5*0.5*0.5,IF(AND(EXACT(G30,'Data Base'!$T$35),EXACT(H30,'Data Base'!$V$38),EXACT(K30,'Data Base'!$X$37)),I30*0.5*1.2*0.5,IF(AND(EXACT(G30,'Data Base'!$T$36),OR(EXACT(H30,'Data Base'!$V$36),EXACT(H30,'Data Base'!$V$35)),EXACT(K30,'Data Base'!$X$35)),I30*1*1*1,IF(AND(EXACT(G30,'Data Base'!$T$36),EXACT(H30,'Data Base'!$V$37),EXACT(K30,'Data Base'!$X$35)),I30*1*0.5*1,IF(AND(EXACT(G30,'Data Base'!$T$36),EXACT(H30,'Data Base'!$V$38),EXACT(K30,'Data Base'!$X$35)),I30*1*1.2*1,IF(AND(EXACT(G30,'Data Base'!$T$36),OR(EXACT(H30,'Data Base'!$V$36),EXACT(H30,'Data Base'!$V$35)),EXACT(K30,'Data Base'!$X$36)),I30*1*1*0.75,IF(AND(EXACT(G30,'Data Base'!$T$36),EXACT(H30,'Data Base'!$V$37),EXACT(K30,'Data Base'!$X$36)),I30*1*0.5*0.75,IF(AND(EXACT(G30,'Data Base'!$T$36),EXACT(H30,'Data Base'!$V$38),EXACT(K30,'Data Base'!$X$36)),I30*1*1.2*0.75,IF(AND(EXACT(G30,'Data Base'!$T$36),OR(EXACT(H30,'Data Base'!$V$36),EXACT(H30,'Data Base'!$V$35)),EXACT(K30,'Data Base'!$X$37)),I30*1*1*0.5,IF(AND(EXACT(G30,'Data Base'!$T$36),EXACT(H30,'Data Base'!$V$37),EXACT(K30,'Data Base'!$X$37)),I30*1*0.5*0.5,IF(AND(EXACT(G30,'Data Base'!$T$36),EXACT(H30,'Data Base'!$V$38),EXACT(K30,'Data Base'!$X$37)),I30*1*1.2*0.5,IF(AND(EXACT(G30,'Data Base'!$T$37),OR(EXACT(H30,'Data Base'!$V$36),EXACT(H30,'Data Base'!$V$35)),EXACT(K30,'Data Base'!$X$35)),I30*1.25*1*1,IF(AND(EXACT(G30,'Data Base'!$T$37),EXACT(H30,'Data Base'!$V$37),EXACT(K30,'Data Base'!$X$35)),I30*1.25*0.5*1,IF(AND(EXACT(G30,'Data Base'!$T$37),EXACT(H30,'Data Base'!$V$38),EXACT(K30,'Data Base'!$X$35)),I30*1.25*1.2*1,IF(AND(EXACT(G30,'Data Base'!$T$37),OR(EXACT(H30,'Data Base'!$V$36),EXACT(H30,'Data Base'!$V$35)),EXACT(K30,'Data Base'!$X$36)),I30*1.25*1*0.75,IF(AND(EXACT(G30,'Data Base'!$T$37),EXACT(H30,'Data Base'!$V$37),EXACT(K30,'Data Base'!$X$36)),I30*1.25*0.5*0.75,IF(AND(EXACT(G30,'Data Base'!$T$37),EXACT(H30,'Data Base'!$V$38),EXACT(K30,'Data Base'!$X$36)),I30*1.25*1.2*0.75,IF(AND(EXACT(G30,'Data Base'!$T$37),OR(EXACT(H30,'Data Base'!$V$36),EXACT(H30,'Data Base'!$V$35)),EXACT(K30,'Data Base'!$X$37)),I30*1.25*1*0.5,IF(AND(EXACT(G30,'Data Base'!$T$37),EXACT(H30,'Data Base'!$V$37),EXACT(K30,'Data Base'!$X$37)),I30*1.25*0.5*0.5,IF(AND(EXACT(G30,'Data Base'!$T$37),EXACT(H30,'Data Base'!$V$38),EXACT(K30,'Data Base'!$X$37)),I30*1.25*1.2*0.5))))))))))))))))))))))))))),"")</f>
        <v/>
      </c>
    </row>
    <row r="31" spans="1:15" ht="21" customHeight="1">
      <c r="A31" s="99">
        <v>11</v>
      </c>
      <c r="B31" s="1349" t="str">
        <f t="shared" si="2"/>
        <v/>
      </c>
      <c r="C31" s="1350"/>
      <c r="D31" s="148" t="str">
        <f t="shared" si="3"/>
        <v/>
      </c>
      <c r="E31" s="1351"/>
      <c r="F31" s="1352"/>
      <c r="G31" s="165"/>
      <c r="H31" s="140"/>
      <c r="I31" s="4"/>
      <c r="J31" s="4"/>
      <c r="K31" s="140"/>
      <c r="L31" s="4" t="s">
        <v>652</v>
      </c>
      <c r="M31" s="166" t="str">
        <f>IF(AND(NOT(EXACT(D31,"")),NOT(EXACT(G31,"")),NOT(EXACT(E31,"")),NOT(EXACT(B31,"")),NOT(EXACT(I31,"")),NOT(EXACT(H31,""))),IF(AND(EXACT(G31,'Data Base'!$T$35),OR(EXACT(H31,'Data Base'!$V$36),EXACT(H31,'Data Base'!$V$35)),EXACT(K31,'Data Base'!$X$35)),I31*0.5*1*1,IF(AND(EXACT(G31,'Data Base'!$T$35),EXACT(H31,'Data Base'!$V$37),EXACT(K31,'Data Base'!$X$35)),I31*0.5*0.5*1,IF(AND(EXACT(G31,'Data Base'!$T$35),EXACT(H31,'Data Base'!$V$38),EXACT(K31,'Data Base'!$X$35)),I31*0.5*1.2*1,IF(AND(EXACT(G31,'Data Base'!$T$35),OR(EXACT(H31,'Data Base'!$V$36),EXACT(H31,'Data Base'!$V$35)),EXACT(K31,'Data Base'!$X$36)),I31*0.5*1*0.75,IF(AND(EXACT(G31,'Data Base'!$T$35),EXACT(H31,'Data Base'!$V$37),EXACT(K31,'Data Base'!$X$36)),I31*0.5*0.5*0.75,IF(AND(EXACT(G31,'Data Base'!$T$35),EXACT(H31,'Data Base'!$V$38),EXACT(K31,'Data Base'!$X$36)),I31*0.5*1.2*0.75,IF(AND(EXACT(G31,'Data Base'!$T$35),OR(EXACT(H31,'Data Base'!$V$36),EXACT(H31,'Data Base'!$V$35)),EXACT(K31,'Data Base'!$X$37)),I31*0.5*1*0.5,IF(AND(EXACT(G31,'Data Base'!$T$35),EXACT(H31,'Data Base'!$V$37),EXACT(K31,'Data Base'!$X$37)),I31*0.5*0.5*0.5,IF(AND(EXACT(G31,'Data Base'!$T$35),EXACT(H31,'Data Base'!$V$38),EXACT(K31,'Data Base'!$X$37)),I31*0.5*1.2*0.5,IF(AND(EXACT(G31,'Data Base'!$T$36),OR(EXACT(H31,'Data Base'!$V$36),EXACT(H31,'Data Base'!$V$35)),EXACT(K31,'Data Base'!$X$35)),I31*1*1*1,IF(AND(EXACT(G31,'Data Base'!$T$36),EXACT(H31,'Data Base'!$V$37),EXACT(K31,'Data Base'!$X$35)),I31*1*0.5*1,IF(AND(EXACT(G31,'Data Base'!$T$36),EXACT(H31,'Data Base'!$V$38),EXACT(K31,'Data Base'!$X$35)),I31*1*1.2*1,IF(AND(EXACT(G31,'Data Base'!$T$36),OR(EXACT(H31,'Data Base'!$V$36),EXACT(H31,'Data Base'!$V$35)),EXACT(K31,'Data Base'!$X$36)),I31*1*1*0.75,IF(AND(EXACT(G31,'Data Base'!$T$36),EXACT(H31,'Data Base'!$V$37),EXACT(K31,'Data Base'!$X$36)),I31*1*0.5*0.75,IF(AND(EXACT(G31,'Data Base'!$T$36),EXACT(H31,'Data Base'!$V$38),EXACT(K31,'Data Base'!$X$36)),I31*1*1.2*0.75,IF(AND(EXACT(G31,'Data Base'!$T$36),OR(EXACT(H31,'Data Base'!$V$36),EXACT(H31,'Data Base'!$V$35)),EXACT(K31,'Data Base'!$X$37)),I31*1*1*0.5,IF(AND(EXACT(G31,'Data Base'!$T$36),EXACT(H31,'Data Base'!$V$37),EXACT(K31,'Data Base'!$X$37)),I31*1*0.5*0.5,IF(AND(EXACT(G31,'Data Base'!$T$36),EXACT(H31,'Data Base'!$V$38),EXACT(K31,'Data Base'!$X$37)),I31*1*1.2*0.5,IF(AND(EXACT(G31,'Data Base'!$T$37),OR(EXACT(H31,'Data Base'!$V$36),EXACT(H31,'Data Base'!$V$35)),EXACT(K31,'Data Base'!$X$35)),I31*1.25*1*1,IF(AND(EXACT(G31,'Data Base'!$T$37),EXACT(H31,'Data Base'!$V$37),EXACT(K31,'Data Base'!$X$35)),I31*1.25*0.5*1,IF(AND(EXACT(G31,'Data Base'!$T$37),EXACT(H31,'Data Base'!$V$38),EXACT(K31,'Data Base'!$X$35)),I31*1.25*1.2*1,IF(AND(EXACT(G31,'Data Base'!$T$37),OR(EXACT(H31,'Data Base'!$V$36),EXACT(H31,'Data Base'!$V$35)),EXACT(K31,'Data Base'!$X$36)),I31*1.25*1*0.75,IF(AND(EXACT(G31,'Data Base'!$T$37),EXACT(H31,'Data Base'!$V$37),EXACT(K31,'Data Base'!$X$36)),I31*1.25*0.5*0.75,IF(AND(EXACT(G31,'Data Base'!$T$37),EXACT(H31,'Data Base'!$V$38),EXACT(K31,'Data Base'!$X$36)),I31*1.25*1.2*0.75,IF(AND(EXACT(G31,'Data Base'!$T$37),OR(EXACT(H31,'Data Base'!$V$36),EXACT(H31,'Data Base'!$V$35)),EXACT(K31,'Data Base'!$X$37)),I31*1.25*1*0.5,IF(AND(EXACT(G31,'Data Base'!$T$37),EXACT(H31,'Data Base'!$V$37),EXACT(K31,'Data Base'!$X$37)),I31*1.25*0.5*0.5,IF(AND(EXACT(G31,'Data Base'!$T$37),EXACT(H31,'Data Base'!$V$38),EXACT(K31,'Data Base'!$X$37)),I31*1.25*1.2*0.5))))))))))))))))))))))))))),"")</f>
        <v/>
      </c>
    </row>
    <row r="32" spans="1:15" ht="21" customHeight="1">
      <c r="A32" s="99">
        <v>12</v>
      </c>
      <c r="B32" s="1349" t="str">
        <f t="shared" si="2"/>
        <v/>
      </c>
      <c r="C32" s="1350"/>
      <c r="D32" s="148" t="str">
        <f t="shared" si="3"/>
        <v/>
      </c>
      <c r="E32" s="1351"/>
      <c r="F32" s="1352"/>
      <c r="G32" s="165"/>
      <c r="H32" s="140"/>
      <c r="I32" s="4"/>
      <c r="J32" s="4"/>
      <c r="K32" s="140"/>
      <c r="L32" s="4" t="s">
        <v>652</v>
      </c>
      <c r="M32" s="166" t="str">
        <f>IF(AND(NOT(EXACT(D32,"")),NOT(EXACT(G32,"")),NOT(EXACT(E32,"")),NOT(EXACT(B32,"")),NOT(EXACT(I32,"")),NOT(EXACT(H32,""))),IF(AND(EXACT(G32,'Data Base'!$T$35),OR(EXACT(H32,'Data Base'!$V$36),EXACT(H32,'Data Base'!$V$35)),EXACT(K32,'Data Base'!$X$35)),I32*0.5*1*1,IF(AND(EXACT(G32,'Data Base'!$T$35),EXACT(H32,'Data Base'!$V$37),EXACT(K32,'Data Base'!$X$35)),I32*0.5*0.5*1,IF(AND(EXACT(G32,'Data Base'!$T$35),EXACT(H32,'Data Base'!$V$38),EXACT(K32,'Data Base'!$X$35)),I32*0.5*1.2*1,IF(AND(EXACT(G32,'Data Base'!$T$35),OR(EXACT(H32,'Data Base'!$V$36),EXACT(H32,'Data Base'!$V$35)),EXACT(K32,'Data Base'!$X$36)),I32*0.5*1*0.75,IF(AND(EXACT(G32,'Data Base'!$T$35),EXACT(H32,'Data Base'!$V$37),EXACT(K32,'Data Base'!$X$36)),I32*0.5*0.5*0.75,IF(AND(EXACT(G32,'Data Base'!$T$35),EXACT(H32,'Data Base'!$V$38),EXACT(K32,'Data Base'!$X$36)),I32*0.5*1.2*0.75,IF(AND(EXACT(G32,'Data Base'!$T$35),OR(EXACT(H32,'Data Base'!$V$36),EXACT(H32,'Data Base'!$V$35)),EXACT(K32,'Data Base'!$X$37)),I32*0.5*1*0.5,IF(AND(EXACT(G32,'Data Base'!$T$35),EXACT(H32,'Data Base'!$V$37),EXACT(K32,'Data Base'!$X$37)),I32*0.5*0.5*0.5,IF(AND(EXACT(G32,'Data Base'!$T$35),EXACT(H32,'Data Base'!$V$38),EXACT(K32,'Data Base'!$X$37)),I32*0.5*1.2*0.5,IF(AND(EXACT(G32,'Data Base'!$T$36),OR(EXACT(H32,'Data Base'!$V$36),EXACT(H32,'Data Base'!$V$35)),EXACT(K32,'Data Base'!$X$35)),I32*1*1*1,IF(AND(EXACT(G32,'Data Base'!$T$36),EXACT(H32,'Data Base'!$V$37),EXACT(K32,'Data Base'!$X$35)),I32*1*0.5*1,IF(AND(EXACT(G32,'Data Base'!$T$36),EXACT(H32,'Data Base'!$V$38),EXACT(K32,'Data Base'!$X$35)),I32*1*1.2*1,IF(AND(EXACT(G32,'Data Base'!$T$36),OR(EXACT(H32,'Data Base'!$V$36),EXACT(H32,'Data Base'!$V$35)),EXACT(K32,'Data Base'!$X$36)),I32*1*1*0.75,IF(AND(EXACT(G32,'Data Base'!$T$36),EXACT(H32,'Data Base'!$V$37),EXACT(K32,'Data Base'!$X$36)),I32*1*0.5*0.75,IF(AND(EXACT(G32,'Data Base'!$T$36),EXACT(H32,'Data Base'!$V$38),EXACT(K32,'Data Base'!$X$36)),I32*1*1.2*0.75,IF(AND(EXACT(G32,'Data Base'!$T$36),OR(EXACT(H32,'Data Base'!$V$36),EXACT(H32,'Data Base'!$V$35)),EXACT(K32,'Data Base'!$X$37)),I32*1*1*0.5,IF(AND(EXACT(G32,'Data Base'!$T$36),EXACT(H32,'Data Base'!$V$37),EXACT(K32,'Data Base'!$X$37)),I32*1*0.5*0.5,IF(AND(EXACT(G32,'Data Base'!$T$36),EXACT(H32,'Data Base'!$V$38),EXACT(K32,'Data Base'!$X$37)),I32*1*1.2*0.5,IF(AND(EXACT(G32,'Data Base'!$T$37),OR(EXACT(H32,'Data Base'!$V$36),EXACT(H32,'Data Base'!$V$35)),EXACT(K32,'Data Base'!$X$35)),I32*1.25*1*1,IF(AND(EXACT(G32,'Data Base'!$T$37),EXACT(H32,'Data Base'!$V$37),EXACT(K32,'Data Base'!$X$35)),I32*1.25*0.5*1,IF(AND(EXACT(G32,'Data Base'!$T$37),EXACT(H32,'Data Base'!$V$38),EXACT(K32,'Data Base'!$X$35)),I32*1.25*1.2*1,IF(AND(EXACT(G32,'Data Base'!$T$37),OR(EXACT(H32,'Data Base'!$V$36),EXACT(H32,'Data Base'!$V$35)),EXACT(K32,'Data Base'!$X$36)),I32*1.25*1*0.75,IF(AND(EXACT(G32,'Data Base'!$T$37),EXACT(H32,'Data Base'!$V$37),EXACT(K32,'Data Base'!$X$36)),I32*1.25*0.5*0.75,IF(AND(EXACT(G32,'Data Base'!$T$37),EXACT(H32,'Data Base'!$V$38),EXACT(K32,'Data Base'!$X$36)),I32*1.25*1.2*0.75,IF(AND(EXACT(G32,'Data Base'!$T$37),OR(EXACT(H32,'Data Base'!$V$36),EXACT(H32,'Data Base'!$V$35)),EXACT(K32,'Data Base'!$X$37)),I32*1.25*1*0.5,IF(AND(EXACT(G32,'Data Base'!$T$37),EXACT(H32,'Data Base'!$V$37),EXACT(K32,'Data Base'!$X$37)),I32*1.25*0.5*0.5,IF(AND(EXACT(G32,'Data Base'!$T$37),EXACT(H32,'Data Base'!$V$38),EXACT(K32,'Data Base'!$X$37)),I32*1.25*1.2*0.5))))))))))))))))))))))))))),"")</f>
        <v/>
      </c>
      <c r="O32" s="93"/>
    </row>
    <row r="33" spans="1:13" ht="21" customHeight="1">
      <c r="A33" s="97">
        <v>13</v>
      </c>
      <c r="B33" s="1349" t="str">
        <f t="shared" si="2"/>
        <v/>
      </c>
      <c r="C33" s="1350"/>
      <c r="D33" s="148" t="str">
        <f t="shared" si="3"/>
        <v/>
      </c>
      <c r="E33" s="1351"/>
      <c r="F33" s="1352"/>
      <c r="G33" s="165"/>
      <c r="H33" s="140"/>
      <c r="I33" s="4"/>
      <c r="J33" s="4"/>
      <c r="K33" s="140"/>
      <c r="L33" s="4" t="s">
        <v>652</v>
      </c>
      <c r="M33" s="166" t="str">
        <f>IF(AND(NOT(EXACT(D33,"")),NOT(EXACT(G33,"")),NOT(EXACT(E33,"")),NOT(EXACT(B33,"")),NOT(EXACT(I33,"")),NOT(EXACT(H33,""))),IF(AND(EXACT(G33,'Data Base'!$T$35),OR(EXACT(H33,'Data Base'!$V$36),EXACT(H33,'Data Base'!$V$35)),EXACT(K33,'Data Base'!$X$35)),I33*0.5*1*1,IF(AND(EXACT(G33,'Data Base'!$T$35),EXACT(H33,'Data Base'!$V$37),EXACT(K33,'Data Base'!$X$35)),I33*0.5*0.5*1,IF(AND(EXACT(G33,'Data Base'!$T$35),EXACT(H33,'Data Base'!$V$38),EXACT(K33,'Data Base'!$X$35)),I33*0.5*1.2*1,IF(AND(EXACT(G33,'Data Base'!$T$35),OR(EXACT(H33,'Data Base'!$V$36),EXACT(H33,'Data Base'!$V$35)),EXACT(K33,'Data Base'!$X$36)),I33*0.5*1*0.75,IF(AND(EXACT(G33,'Data Base'!$T$35),EXACT(H33,'Data Base'!$V$37),EXACT(K33,'Data Base'!$X$36)),I33*0.5*0.5*0.75,IF(AND(EXACT(G33,'Data Base'!$T$35),EXACT(H33,'Data Base'!$V$38),EXACT(K33,'Data Base'!$X$36)),I33*0.5*1.2*0.75,IF(AND(EXACT(G33,'Data Base'!$T$35),OR(EXACT(H33,'Data Base'!$V$36),EXACT(H33,'Data Base'!$V$35)),EXACT(K33,'Data Base'!$X$37)),I33*0.5*1*0.5,IF(AND(EXACT(G33,'Data Base'!$T$35),EXACT(H33,'Data Base'!$V$37),EXACT(K33,'Data Base'!$X$37)),I33*0.5*0.5*0.5,IF(AND(EXACT(G33,'Data Base'!$T$35),EXACT(H33,'Data Base'!$V$38),EXACT(K33,'Data Base'!$X$37)),I33*0.5*1.2*0.5,IF(AND(EXACT(G33,'Data Base'!$T$36),OR(EXACT(H33,'Data Base'!$V$36),EXACT(H33,'Data Base'!$V$35)),EXACT(K33,'Data Base'!$X$35)),I33*1*1*1,IF(AND(EXACT(G33,'Data Base'!$T$36),EXACT(H33,'Data Base'!$V$37),EXACT(K33,'Data Base'!$X$35)),I33*1*0.5*1,IF(AND(EXACT(G33,'Data Base'!$T$36),EXACT(H33,'Data Base'!$V$38),EXACT(K33,'Data Base'!$X$35)),I33*1*1.2*1,IF(AND(EXACT(G33,'Data Base'!$T$36),OR(EXACT(H33,'Data Base'!$V$36),EXACT(H33,'Data Base'!$V$35)),EXACT(K33,'Data Base'!$X$36)),I33*1*1*0.75,IF(AND(EXACT(G33,'Data Base'!$T$36),EXACT(H33,'Data Base'!$V$37),EXACT(K33,'Data Base'!$X$36)),I33*1*0.5*0.75,IF(AND(EXACT(G33,'Data Base'!$T$36),EXACT(H33,'Data Base'!$V$38),EXACT(K33,'Data Base'!$X$36)),I33*1*1.2*0.75,IF(AND(EXACT(G33,'Data Base'!$T$36),OR(EXACT(H33,'Data Base'!$V$36),EXACT(H33,'Data Base'!$V$35)),EXACT(K33,'Data Base'!$X$37)),I33*1*1*0.5,IF(AND(EXACT(G33,'Data Base'!$T$36),EXACT(H33,'Data Base'!$V$37),EXACT(K33,'Data Base'!$X$37)),I33*1*0.5*0.5,IF(AND(EXACT(G33,'Data Base'!$T$36),EXACT(H33,'Data Base'!$V$38),EXACT(K33,'Data Base'!$X$37)),I33*1*1.2*0.5,IF(AND(EXACT(G33,'Data Base'!$T$37),OR(EXACT(H33,'Data Base'!$V$36),EXACT(H33,'Data Base'!$V$35)),EXACT(K33,'Data Base'!$X$35)),I33*1.25*1*1,IF(AND(EXACT(G33,'Data Base'!$T$37),EXACT(H33,'Data Base'!$V$37),EXACT(K33,'Data Base'!$X$35)),I33*1.25*0.5*1,IF(AND(EXACT(G33,'Data Base'!$T$37),EXACT(H33,'Data Base'!$V$38),EXACT(K33,'Data Base'!$X$35)),I33*1.25*1.2*1,IF(AND(EXACT(G33,'Data Base'!$T$37),OR(EXACT(H33,'Data Base'!$V$36),EXACT(H33,'Data Base'!$V$35)),EXACT(K33,'Data Base'!$X$36)),I33*1.25*1*0.75,IF(AND(EXACT(G33,'Data Base'!$T$37),EXACT(H33,'Data Base'!$V$37),EXACT(K33,'Data Base'!$X$36)),I33*1.25*0.5*0.75,IF(AND(EXACT(G33,'Data Base'!$T$37),EXACT(H33,'Data Base'!$V$38),EXACT(K33,'Data Base'!$X$36)),I33*1.25*1.2*0.75,IF(AND(EXACT(G33,'Data Base'!$T$37),OR(EXACT(H33,'Data Base'!$V$36),EXACT(H33,'Data Base'!$V$35)),EXACT(K33,'Data Base'!$X$37)),I33*1.25*1*0.5,IF(AND(EXACT(G33,'Data Base'!$T$37),EXACT(H33,'Data Base'!$V$37),EXACT(K33,'Data Base'!$X$37)),I33*1.25*0.5*0.5,IF(AND(EXACT(G33,'Data Base'!$T$37),EXACT(H33,'Data Base'!$V$38),EXACT(K33,'Data Base'!$X$37)),I33*1.25*1.2*0.5))))))))))))))))))))))))))),"")</f>
        <v/>
      </c>
    </row>
    <row r="34" spans="1:13" ht="21" customHeight="1">
      <c r="A34" s="99">
        <v>14</v>
      </c>
      <c r="B34" s="1349" t="str">
        <f t="shared" si="2"/>
        <v/>
      </c>
      <c r="C34" s="1350"/>
      <c r="D34" s="148" t="str">
        <f t="shared" si="3"/>
        <v/>
      </c>
      <c r="E34" s="1351"/>
      <c r="F34" s="1352"/>
      <c r="G34" s="165"/>
      <c r="H34" s="140"/>
      <c r="I34" s="4"/>
      <c r="J34" s="4"/>
      <c r="K34" s="140"/>
      <c r="L34" s="4" t="s">
        <v>652</v>
      </c>
      <c r="M34" s="166" t="str">
        <f>IF(AND(NOT(EXACT(D34,"")),NOT(EXACT(G34,"")),NOT(EXACT(E34,"")),NOT(EXACT(B34,"")),NOT(EXACT(I34,"")),NOT(EXACT(H34,""))),IF(AND(EXACT(G34,'Data Base'!$T$35),OR(EXACT(H34,'Data Base'!$V$36),EXACT(H34,'Data Base'!$V$35)),EXACT(K34,'Data Base'!$X$35)),I34*0.5*1*1,IF(AND(EXACT(G34,'Data Base'!$T$35),EXACT(H34,'Data Base'!$V$37),EXACT(K34,'Data Base'!$X$35)),I34*0.5*0.5*1,IF(AND(EXACT(G34,'Data Base'!$T$35),EXACT(H34,'Data Base'!$V$38),EXACT(K34,'Data Base'!$X$35)),I34*0.5*1.2*1,IF(AND(EXACT(G34,'Data Base'!$T$35),OR(EXACT(H34,'Data Base'!$V$36),EXACT(H34,'Data Base'!$V$35)),EXACT(K34,'Data Base'!$X$36)),I34*0.5*1*0.75,IF(AND(EXACT(G34,'Data Base'!$T$35),EXACT(H34,'Data Base'!$V$37),EXACT(K34,'Data Base'!$X$36)),I34*0.5*0.5*0.75,IF(AND(EXACT(G34,'Data Base'!$T$35),EXACT(H34,'Data Base'!$V$38),EXACT(K34,'Data Base'!$X$36)),I34*0.5*1.2*0.75,IF(AND(EXACT(G34,'Data Base'!$T$35),OR(EXACT(H34,'Data Base'!$V$36),EXACT(H34,'Data Base'!$V$35)),EXACT(K34,'Data Base'!$X$37)),I34*0.5*1*0.5,IF(AND(EXACT(G34,'Data Base'!$T$35),EXACT(H34,'Data Base'!$V$37),EXACT(K34,'Data Base'!$X$37)),I34*0.5*0.5*0.5,IF(AND(EXACT(G34,'Data Base'!$T$35),EXACT(H34,'Data Base'!$V$38),EXACT(K34,'Data Base'!$X$37)),I34*0.5*1.2*0.5,IF(AND(EXACT(G34,'Data Base'!$T$36),OR(EXACT(H34,'Data Base'!$V$36),EXACT(H34,'Data Base'!$V$35)),EXACT(K34,'Data Base'!$X$35)),I34*1*1*1,IF(AND(EXACT(G34,'Data Base'!$T$36),EXACT(H34,'Data Base'!$V$37),EXACT(K34,'Data Base'!$X$35)),I34*1*0.5*1,IF(AND(EXACT(G34,'Data Base'!$T$36),EXACT(H34,'Data Base'!$V$38),EXACT(K34,'Data Base'!$X$35)),I34*1*1.2*1,IF(AND(EXACT(G34,'Data Base'!$T$36),OR(EXACT(H34,'Data Base'!$V$36),EXACT(H34,'Data Base'!$V$35)),EXACT(K34,'Data Base'!$X$36)),I34*1*1*0.75,IF(AND(EXACT(G34,'Data Base'!$T$36),EXACT(H34,'Data Base'!$V$37),EXACT(K34,'Data Base'!$X$36)),I34*1*0.5*0.75,IF(AND(EXACT(G34,'Data Base'!$T$36),EXACT(H34,'Data Base'!$V$38),EXACT(K34,'Data Base'!$X$36)),I34*1*1.2*0.75,IF(AND(EXACT(G34,'Data Base'!$T$36),OR(EXACT(H34,'Data Base'!$V$36),EXACT(H34,'Data Base'!$V$35)),EXACT(K34,'Data Base'!$X$37)),I34*1*1*0.5,IF(AND(EXACT(G34,'Data Base'!$T$36),EXACT(H34,'Data Base'!$V$37),EXACT(K34,'Data Base'!$X$37)),I34*1*0.5*0.5,IF(AND(EXACT(G34,'Data Base'!$T$36),EXACT(H34,'Data Base'!$V$38),EXACT(K34,'Data Base'!$X$37)),I34*1*1.2*0.5,IF(AND(EXACT(G34,'Data Base'!$T$37),OR(EXACT(H34,'Data Base'!$V$36),EXACT(H34,'Data Base'!$V$35)),EXACT(K34,'Data Base'!$X$35)),I34*1.25*1*1,IF(AND(EXACT(G34,'Data Base'!$T$37),EXACT(H34,'Data Base'!$V$37),EXACT(K34,'Data Base'!$X$35)),I34*1.25*0.5*1,IF(AND(EXACT(G34,'Data Base'!$T$37),EXACT(H34,'Data Base'!$V$38),EXACT(K34,'Data Base'!$X$35)),I34*1.25*1.2*1,IF(AND(EXACT(G34,'Data Base'!$T$37),OR(EXACT(H34,'Data Base'!$V$36),EXACT(H34,'Data Base'!$V$35)),EXACT(K34,'Data Base'!$X$36)),I34*1.25*1*0.75,IF(AND(EXACT(G34,'Data Base'!$T$37),EXACT(H34,'Data Base'!$V$37),EXACT(K34,'Data Base'!$X$36)),I34*1.25*0.5*0.75,IF(AND(EXACT(G34,'Data Base'!$T$37),EXACT(H34,'Data Base'!$V$38),EXACT(K34,'Data Base'!$X$36)),I34*1.25*1.2*0.75,IF(AND(EXACT(G34,'Data Base'!$T$37),OR(EXACT(H34,'Data Base'!$V$36),EXACT(H34,'Data Base'!$V$35)),EXACT(K34,'Data Base'!$X$37)),I34*1.25*1*0.5,IF(AND(EXACT(G34,'Data Base'!$T$37),EXACT(H34,'Data Base'!$V$37),EXACT(K34,'Data Base'!$X$37)),I34*1.25*0.5*0.5,IF(AND(EXACT(G34,'Data Base'!$T$37),EXACT(H34,'Data Base'!$V$38),EXACT(K34,'Data Base'!$X$37)),I34*1.25*1.2*0.5))))))))))))))))))))))))))),"")</f>
        <v/>
      </c>
    </row>
    <row r="35" spans="1:13" ht="21" customHeight="1" thickBot="1">
      <c r="A35" s="106">
        <v>15</v>
      </c>
      <c r="B35" s="1355" t="str">
        <f t="shared" si="2"/>
        <v/>
      </c>
      <c r="C35" s="1356"/>
      <c r="D35" s="107" t="str">
        <f t="shared" si="3"/>
        <v/>
      </c>
      <c r="E35" s="1357"/>
      <c r="F35" s="1358"/>
      <c r="G35" s="167"/>
      <c r="H35" s="108"/>
      <c r="I35" s="105"/>
      <c r="J35" s="105"/>
      <c r="K35" s="108"/>
      <c r="L35" s="105" t="s">
        <v>652</v>
      </c>
      <c r="M35" s="168" t="str">
        <f>IF(AND(NOT(EXACT(D35,"")),NOT(EXACT(G35,"")),NOT(EXACT(E35,"")),NOT(EXACT(B35,"")),NOT(EXACT(I35,"")),NOT(EXACT(H35,""))),IF(AND(EXACT(G35,'Data Base'!$T$35),OR(EXACT(H35,'Data Base'!$V$36),EXACT(H35,'Data Base'!$V$35)),EXACT(K35,'Data Base'!$X$35)),I35*0.5*1*1,IF(AND(EXACT(G35,'Data Base'!$T$35),EXACT(H35,'Data Base'!$V$37),EXACT(K35,'Data Base'!$X$35)),I35*0.5*0.5*1,IF(AND(EXACT(G35,'Data Base'!$T$35),EXACT(H35,'Data Base'!$V$38),EXACT(K35,'Data Base'!$X$35)),I35*0.5*1.2*1,IF(AND(EXACT(G35,'Data Base'!$T$35),OR(EXACT(H35,'Data Base'!$V$36),EXACT(H35,'Data Base'!$V$35)),EXACT(K35,'Data Base'!$X$36)),I35*0.5*1*0.75,IF(AND(EXACT(G35,'Data Base'!$T$35),EXACT(H35,'Data Base'!$V$37),EXACT(K35,'Data Base'!$X$36)),I35*0.5*0.5*0.75,IF(AND(EXACT(G35,'Data Base'!$T$35),EXACT(H35,'Data Base'!$V$38),EXACT(K35,'Data Base'!$X$36)),I35*0.5*1.2*0.75,IF(AND(EXACT(G35,'Data Base'!$T$35),OR(EXACT(H35,'Data Base'!$V$36),EXACT(H35,'Data Base'!$V$35)),EXACT(K35,'Data Base'!$X$37)),I35*0.5*1*0.5,IF(AND(EXACT(G35,'Data Base'!$T$35),EXACT(H35,'Data Base'!$V$37),EXACT(K35,'Data Base'!$X$37)),I35*0.5*0.5*0.5,IF(AND(EXACT(G35,'Data Base'!$T$35),EXACT(H35,'Data Base'!$V$38),EXACT(K35,'Data Base'!$X$37)),I35*0.5*1.2*0.5,IF(AND(EXACT(G35,'Data Base'!$T$36),OR(EXACT(H35,'Data Base'!$V$36),EXACT(H35,'Data Base'!$V$35)),EXACT(K35,'Data Base'!$X$35)),I35*1*1*1,IF(AND(EXACT(G35,'Data Base'!$T$36),EXACT(H35,'Data Base'!$V$37),EXACT(K35,'Data Base'!$X$35)),I35*1*0.5*1,IF(AND(EXACT(G35,'Data Base'!$T$36),EXACT(H35,'Data Base'!$V$38),EXACT(K35,'Data Base'!$X$35)),I35*1*1.2*1,IF(AND(EXACT(G35,'Data Base'!$T$36),OR(EXACT(H35,'Data Base'!$V$36),EXACT(H35,'Data Base'!$V$35)),EXACT(K35,'Data Base'!$X$36)),I35*1*1*0.75,IF(AND(EXACT(G35,'Data Base'!$T$36),EXACT(H35,'Data Base'!$V$37),EXACT(K35,'Data Base'!$X$36)),I35*1*0.5*0.75,IF(AND(EXACT(G35,'Data Base'!$T$36),EXACT(H35,'Data Base'!$V$38),EXACT(K35,'Data Base'!$X$36)),I35*1*1.2*0.75,IF(AND(EXACT(G35,'Data Base'!$T$36),OR(EXACT(H35,'Data Base'!$V$36),EXACT(H35,'Data Base'!$V$35)),EXACT(K35,'Data Base'!$X$37)),I35*1*1*0.5,IF(AND(EXACT(G35,'Data Base'!$T$36),EXACT(H35,'Data Base'!$V$37),EXACT(K35,'Data Base'!$X$37)),I35*1*0.5*0.5,IF(AND(EXACT(G35,'Data Base'!$T$36),EXACT(H35,'Data Base'!$V$38),EXACT(K35,'Data Base'!$X$37)),I35*1*1.2*0.5,IF(AND(EXACT(G35,'Data Base'!$T$37),OR(EXACT(H35,'Data Base'!$V$36),EXACT(H35,'Data Base'!$V$35)),EXACT(K35,'Data Base'!$X$35)),I35*1.25*1*1,IF(AND(EXACT(G35,'Data Base'!$T$37),EXACT(H35,'Data Base'!$V$37),EXACT(K35,'Data Base'!$X$35)),I35*1.25*0.5*1,IF(AND(EXACT(G35,'Data Base'!$T$37),EXACT(H35,'Data Base'!$V$38),EXACT(K35,'Data Base'!$X$35)),I35*1.25*1.2*1,IF(AND(EXACT(G35,'Data Base'!$T$37),OR(EXACT(H35,'Data Base'!$V$36),EXACT(H35,'Data Base'!$V$35)),EXACT(K35,'Data Base'!$X$36)),I35*1.25*1*0.75,IF(AND(EXACT(G35,'Data Base'!$T$37),EXACT(H35,'Data Base'!$V$37),EXACT(K35,'Data Base'!$X$36)),I35*1.25*0.5*0.75,IF(AND(EXACT(G35,'Data Base'!$T$37),EXACT(H35,'Data Base'!$V$38),EXACT(K35,'Data Base'!$X$36)),I35*1.25*1.2*0.75,IF(AND(EXACT(G35,'Data Base'!$T$37),OR(EXACT(H35,'Data Base'!$V$36),EXACT(H35,'Data Base'!$V$35)),EXACT(K35,'Data Base'!$X$37)),I35*1.25*1*0.5,IF(AND(EXACT(G35,'Data Base'!$T$37),EXACT(H35,'Data Base'!$V$37),EXACT(K35,'Data Base'!$X$37)),I35*1.25*0.5*0.5,IF(AND(EXACT(G35,'Data Base'!$T$37),EXACT(H35,'Data Base'!$V$38),EXACT(K35,'Data Base'!$X$37)),I35*1.25*1.2*0.5))))))))))))))))))))))))))),"")</f>
        <v/>
      </c>
    </row>
    <row r="36" spans="1:13" ht="21" customHeight="1" thickBot="1">
      <c r="A36" s="1359" t="s">
        <v>653</v>
      </c>
      <c r="B36" s="1360"/>
      <c r="C36" s="1360"/>
      <c r="D36" s="1360"/>
      <c r="E36" s="1360"/>
      <c r="F36" s="1360"/>
      <c r="G36" s="1360"/>
      <c r="H36" s="1360"/>
      <c r="I36" s="109">
        <f>B21</f>
        <v>0</v>
      </c>
      <c r="J36" s="109">
        <f>D21</f>
        <v>0</v>
      </c>
      <c r="K36" s="1361"/>
      <c r="L36" s="1362"/>
      <c r="M36" s="110">
        <f>IF(SUM(M21:M35)&gt;5,5,SUM(M21:M35))</f>
        <v>0</v>
      </c>
    </row>
    <row r="37" spans="1:13" ht="21" customHeight="1">
      <c r="A37" s="97">
        <v>1</v>
      </c>
      <c r="B37" s="1363"/>
      <c r="C37" s="1364"/>
      <c r="D37" s="104"/>
      <c r="E37" s="1353"/>
      <c r="F37" s="1354"/>
      <c r="G37" s="169"/>
      <c r="H37" s="104"/>
      <c r="I37" s="98"/>
      <c r="J37" s="98"/>
      <c r="K37" s="104"/>
      <c r="L37" s="98" t="s">
        <v>652</v>
      </c>
      <c r="M37" s="166" t="str">
        <f>IF(AND(NOT(EXACT(D37,"")),NOT(EXACT(G37,"")),NOT(EXACT(E37,"")),NOT(EXACT(B37,"")),NOT(EXACT(I37,"")),NOT(EXACT(H37,""))),IF(AND(EXACT(G37,'Data Base'!$T$35),OR(EXACT(H37,'Data Base'!$V$36),EXACT(H37,'Data Base'!$V$35)),EXACT(K37,'Data Base'!$X$35)),I37*0.5*1*1,IF(AND(EXACT(G37,'Data Base'!$T$35),EXACT(H37,'Data Base'!$V$37),EXACT(K37,'Data Base'!$X$35)),I37*0.5*0.5*1,IF(AND(EXACT(G37,'Data Base'!$T$35),EXACT(H37,'Data Base'!$V$38),EXACT(K37,'Data Base'!$X$35)),I37*0.5*1.2*1,IF(AND(EXACT(G37,'Data Base'!$T$35),OR(EXACT(H37,'Data Base'!$V$36),EXACT(H37,'Data Base'!$V$35)),EXACT(K37,'Data Base'!$X$36)),I37*0.5*1*0.75,IF(AND(EXACT(G37,'Data Base'!$T$35),EXACT(H37,'Data Base'!$V$37),EXACT(K37,'Data Base'!$X$36)),I37*0.5*0.5*0.75,IF(AND(EXACT(G37,'Data Base'!$T$35),EXACT(H37,'Data Base'!$V$38),EXACT(K37,'Data Base'!$X$36)),I37*0.5*1.2*0.75,IF(AND(EXACT(G37,'Data Base'!$T$35),OR(EXACT(H37,'Data Base'!$V$36),EXACT(H37,'Data Base'!$V$35)),EXACT(K37,'Data Base'!$X$37)),I37*0.5*1*0.5,IF(AND(EXACT(G37,'Data Base'!$T$35),EXACT(H37,'Data Base'!$V$37),EXACT(K37,'Data Base'!$X$37)),I37*0.5*0.5*0.5,IF(AND(EXACT(G37,'Data Base'!$T$35),EXACT(H37,'Data Base'!$V$38),EXACT(K37,'Data Base'!$X$37)),I37*0.5*1.2*0.5,IF(AND(EXACT(G37,'Data Base'!$T$36),OR(EXACT(H37,'Data Base'!$V$36),EXACT(H37,'Data Base'!$V$35)),EXACT(K37,'Data Base'!$X$35)),I37*1*1*1,IF(AND(EXACT(G37,'Data Base'!$T$36),EXACT(H37,'Data Base'!$V$37),EXACT(K37,'Data Base'!$X$35)),I37*1*0.5*1,IF(AND(EXACT(G37,'Data Base'!$T$36),EXACT(H37,'Data Base'!$V$38),EXACT(K37,'Data Base'!$X$35)),I37*1*1.2*1,IF(AND(EXACT(G37,'Data Base'!$T$36),OR(EXACT(H37,'Data Base'!$V$36),EXACT(H37,'Data Base'!$V$35)),EXACT(K37,'Data Base'!$X$36)),I37*1*1*0.75,IF(AND(EXACT(G37,'Data Base'!$T$36),EXACT(H37,'Data Base'!$V$37),EXACT(K37,'Data Base'!$X$36)),I37*1*0.5*0.75,IF(AND(EXACT(G37,'Data Base'!$T$36),EXACT(H37,'Data Base'!$V$38),EXACT(K37,'Data Base'!$X$36)),I37*1*1.2*0.75,IF(AND(EXACT(G37,'Data Base'!$T$36),OR(EXACT(H37,'Data Base'!$V$36),EXACT(H37,'Data Base'!$V$35)),EXACT(K37,'Data Base'!$X$37)),I37*1*1*0.5,IF(AND(EXACT(G37,'Data Base'!$T$36),EXACT(H37,'Data Base'!$V$37),EXACT(K37,'Data Base'!$X$37)),I37*1*0.5*0.5,IF(AND(EXACT(G37,'Data Base'!$T$36),EXACT(H37,'Data Base'!$V$38),EXACT(K37,'Data Base'!$X$37)),I37*1*1.2*0.5,IF(AND(EXACT(G37,'Data Base'!$T$37),OR(EXACT(H37,'Data Base'!$V$36),EXACT(H37,'Data Base'!$V$35)),EXACT(K37,'Data Base'!$X$35)),I37*1.25*1*1,IF(AND(EXACT(G37,'Data Base'!$T$37),EXACT(H37,'Data Base'!$V$37),EXACT(K37,'Data Base'!$X$35)),I37*1.25*0.5*1,IF(AND(EXACT(G37,'Data Base'!$T$37),EXACT(H37,'Data Base'!$V$38),EXACT(K37,'Data Base'!$X$35)),I37*1.25*1.2*1,IF(AND(EXACT(G37,'Data Base'!$T$37),OR(EXACT(H37,'Data Base'!$V$36),EXACT(H37,'Data Base'!$V$35)),EXACT(K37,'Data Base'!$X$36)),I37*1.25*1*0.75,IF(AND(EXACT(G37,'Data Base'!$T$37),EXACT(H37,'Data Base'!$V$37),EXACT(K37,'Data Base'!$X$36)),I37*1.25*0.5*0.75,IF(AND(EXACT(G37,'Data Base'!$T$37),EXACT(H37,'Data Base'!$V$38),EXACT(K37,'Data Base'!$X$36)),I37*1.25*1.2*0.75,IF(AND(EXACT(G37,'Data Base'!$T$37),OR(EXACT(H37,'Data Base'!$V$36),EXACT(H37,'Data Base'!$V$35)),EXACT(K37,'Data Base'!$X$37)),I37*1.25*1*0.5,IF(AND(EXACT(G37,'Data Base'!$T$37),EXACT(H37,'Data Base'!$V$37),EXACT(K37,'Data Base'!$X$37)),I37*1.25*0.5*0.5,IF(AND(EXACT(G37,'Data Base'!$T$37),EXACT(H37,'Data Base'!$V$38),EXACT(K37,'Data Base'!$X$37)),I37*1.25*1.2*0.5))))))))))))))))))))))))))),"")</f>
        <v/>
      </c>
    </row>
    <row r="38" spans="1:13" ht="21" customHeight="1">
      <c r="A38" s="99">
        <v>2</v>
      </c>
      <c r="B38" s="1349" t="str">
        <f t="shared" ref="B38:B51" si="4">IF(NOT(EXACT(D38,"")),B37,"")</f>
        <v/>
      </c>
      <c r="C38" s="1350"/>
      <c r="D38" s="148" t="str">
        <f t="shared" ref="D38:D51" si="5">IF(NOT(EXACT(E38,"")),D37,"")</f>
        <v/>
      </c>
      <c r="E38" s="1365"/>
      <c r="F38" s="1365"/>
      <c r="G38" s="165"/>
      <c r="H38" s="140"/>
      <c r="I38" s="4"/>
      <c r="J38" s="4"/>
      <c r="K38" s="140"/>
      <c r="L38" s="4" t="s">
        <v>652</v>
      </c>
      <c r="M38" s="166" t="str">
        <f>IF(AND(NOT(EXACT(D38,"")),NOT(EXACT(G38,"")),NOT(EXACT(E38,"")),NOT(EXACT(B38,"")),NOT(EXACT(I38,"")),NOT(EXACT(H38,""))),IF(AND(EXACT(G38,'Data Base'!$T$35),OR(EXACT(H38,'Data Base'!$V$36),EXACT(H38,'Data Base'!$V$35)),EXACT(K38,'Data Base'!$X$35)),I38*0.5*1*1,IF(AND(EXACT(G38,'Data Base'!$T$35),EXACT(H38,'Data Base'!$V$37),EXACT(K38,'Data Base'!$X$35)),I38*0.5*0.5*1,IF(AND(EXACT(G38,'Data Base'!$T$35),EXACT(H38,'Data Base'!$V$38),EXACT(K38,'Data Base'!$X$35)),I38*0.5*1.2*1,IF(AND(EXACT(G38,'Data Base'!$T$35),OR(EXACT(H38,'Data Base'!$V$36),EXACT(H38,'Data Base'!$V$35)),EXACT(K38,'Data Base'!$X$36)),I38*0.5*1*0.75,IF(AND(EXACT(G38,'Data Base'!$T$35),EXACT(H38,'Data Base'!$V$37),EXACT(K38,'Data Base'!$X$36)),I38*0.5*0.5*0.75,IF(AND(EXACT(G38,'Data Base'!$T$35),EXACT(H38,'Data Base'!$V$38),EXACT(K38,'Data Base'!$X$36)),I38*0.5*1.2*0.75,IF(AND(EXACT(G38,'Data Base'!$T$35),OR(EXACT(H38,'Data Base'!$V$36),EXACT(H38,'Data Base'!$V$35)),EXACT(K38,'Data Base'!$X$37)),I38*0.5*1*0.5,IF(AND(EXACT(G38,'Data Base'!$T$35),EXACT(H38,'Data Base'!$V$37),EXACT(K38,'Data Base'!$X$37)),I38*0.5*0.5*0.5,IF(AND(EXACT(G38,'Data Base'!$T$35),EXACT(H38,'Data Base'!$V$38),EXACT(K38,'Data Base'!$X$37)),I38*0.5*1.2*0.5,IF(AND(EXACT(G38,'Data Base'!$T$36),OR(EXACT(H38,'Data Base'!$V$36),EXACT(H38,'Data Base'!$V$35)),EXACT(K38,'Data Base'!$X$35)),I38*1*1*1,IF(AND(EXACT(G38,'Data Base'!$T$36),EXACT(H38,'Data Base'!$V$37),EXACT(K38,'Data Base'!$X$35)),I38*1*0.5*1,IF(AND(EXACT(G38,'Data Base'!$T$36),EXACT(H38,'Data Base'!$V$38),EXACT(K38,'Data Base'!$X$35)),I38*1*1.2*1,IF(AND(EXACT(G38,'Data Base'!$T$36),OR(EXACT(H38,'Data Base'!$V$36),EXACT(H38,'Data Base'!$V$35)),EXACT(K38,'Data Base'!$X$36)),I38*1*1*0.75,IF(AND(EXACT(G38,'Data Base'!$T$36),EXACT(H38,'Data Base'!$V$37),EXACT(K38,'Data Base'!$X$36)),I38*1*0.5*0.75,IF(AND(EXACT(G38,'Data Base'!$T$36),EXACT(H38,'Data Base'!$V$38),EXACT(K38,'Data Base'!$X$36)),I38*1*1.2*0.75,IF(AND(EXACT(G38,'Data Base'!$T$36),OR(EXACT(H38,'Data Base'!$V$36),EXACT(H38,'Data Base'!$V$35)),EXACT(K38,'Data Base'!$X$37)),I38*1*1*0.5,IF(AND(EXACT(G38,'Data Base'!$T$36),EXACT(H38,'Data Base'!$V$37),EXACT(K38,'Data Base'!$X$37)),I38*1*0.5*0.5,IF(AND(EXACT(G38,'Data Base'!$T$36),EXACT(H38,'Data Base'!$V$38),EXACT(K38,'Data Base'!$X$37)),I38*1*1.2*0.5,IF(AND(EXACT(G38,'Data Base'!$T$37),OR(EXACT(H38,'Data Base'!$V$36),EXACT(H38,'Data Base'!$V$35)),EXACT(K38,'Data Base'!$X$35)),I38*1.25*1*1,IF(AND(EXACT(G38,'Data Base'!$T$37),EXACT(H38,'Data Base'!$V$37),EXACT(K38,'Data Base'!$X$35)),I38*1.25*0.5*1,IF(AND(EXACT(G38,'Data Base'!$T$37),EXACT(H38,'Data Base'!$V$38),EXACT(K38,'Data Base'!$X$35)),I38*1.25*1.2*1,IF(AND(EXACT(G38,'Data Base'!$T$37),OR(EXACT(H38,'Data Base'!$V$36),EXACT(H38,'Data Base'!$V$35)),EXACT(K38,'Data Base'!$X$36)),I38*1.25*1*0.75,IF(AND(EXACT(G38,'Data Base'!$T$37),EXACT(H38,'Data Base'!$V$37),EXACT(K38,'Data Base'!$X$36)),I38*1.25*0.5*0.75,IF(AND(EXACT(G38,'Data Base'!$T$37),EXACT(H38,'Data Base'!$V$38),EXACT(K38,'Data Base'!$X$36)),I38*1.25*1.2*0.75,IF(AND(EXACT(G38,'Data Base'!$T$37),OR(EXACT(H38,'Data Base'!$V$36),EXACT(H38,'Data Base'!$V$35)),EXACT(K38,'Data Base'!$X$37)),I38*1.25*1*0.5,IF(AND(EXACT(G38,'Data Base'!$T$37),EXACT(H38,'Data Base'!$V$37),EXACT(K38,'Data Base'!$X$37)),I38*1.25*0.5*0.5,IF(AND(EXACT(G38,'Data Base'!$T$37),EXACT(H38,'Data Base'!$V$38),EXACT(K38,'Data Base'!$X$37)),I38*1.25*1.2*0.5))))))))))))))))))))))))))),"")</f>
        <v/>
      </c>
    </row>
    <row r="39" spans="1:13" ht="21" customHeight="1">
      <c r="A39" s="99">
        <v>3</v>
      </c>
      <c r="B39" s="1349" t="str">
        <f t="shared" si="4"/>
        <v/>
      </c>
      <c r="C39" s="1350"/>
      <c r="D39" s="148" t="str">
        <f t="shared" si="5"/>
        <v/>
      </c>
      <c r="E39" s="1351"/>
      <c r="F39" s="1352"/>
      <c r="G39" s="165"/>
      <c r="H39" s="140"/>
      <c r="I39" s="4"/>
      <c r="J39" s="4"/>
      <c r="K39" s="140"/>
      <c r="L39" s="4" t="s">
        <v>652</v>
      </c>
      <c r="M39" s="166" t="str">
        <f>IF(AND(NOT(EXACT(D39,"")),NOT(EXACT(G39,"")),NOT(EXACT(E39,"")),NOT(EXACT(B39,"")),NOT(EXACT(I39,"")),NOT(EXACT(H39,""))),IF(AND(EXACT(G39,'Data Base'!$T$35),OR(EXACT(H39,'Data Base'!$V$36),EXACT(H39,'Data Base'!$V$35)),EXACT(K39,'Data Base'!$X$35)),I39*0.5*1*1,IF(AND(EXACT(G39,'Data Base'!$T$35),EXACT(H39,'Data Base'!$V$37),EXACT(K39,'Data Base'!$X$35)),I39*0.5*0.5*1,IF(AND(EXACT(G39,'Data Base'!$T$35),EXACT(H39,'Data Base'!$V$38),EXACT(K39,'Data Base'!$X$35)),I39*0.5*1.2*1,IF(AND(EXACT(G39,'Data Base'!$T$35),OR(EXACT(H39,'Data Base'!$V$36),EXACT(H39,'Data Base'!$V$35)),EXACT(K39,'Data Base'!$X$36)),I39*0.5*1*0.75,IF(AND(EXACT(G39,'Data Base'!$T$35),EXACT(H39,'Data Base'!$V$37),EXACT(K39,'Data Base'!$X$36)),I39*0.5*0.5*0.75,IF(AND(EXACT(G39,'Data Base'!$T$35),EXACT(H39,'Data Base'!$V$38),EXACT(K39,'Data Base'!$X$36)),I39*0.5*1.2*0.75,IF(AND(EXACT(G39,'Data Base'!$T$35),OR(EXACT(H39,'Data Base'!$V$36),EXACT(H39,'Data Base'!$V$35)),EXACT(K39,'Data Base'!$X$37)),I39*0.5*1*0.5,IF(AND(EXACT(G39,'Data Base'!$T$35),EXACT(H39,'Data Base'!$V$37),EXACT(K39,'Data Base'!$X$37)),I39*0.5*0.5*0.5,IF(AND(EXACT(G39,'Data Base'!$T$35),EXACT(H39,'Data Base'!$V$38),EXACT(K39,'Data Base'!$X$37)),I39*0.5*1.2*0.5,IF(AND(EXACT(G39,'Data Base'!$T$36),OR(EXACT(H39,'Data Base'!$V$36),EXACT(H39,'Data Base'!$V$35)),EXACT(K39,'Data Base'!$X$35)),I39*1*1*1,IF(AND(EXACT(G39,'Data Base'!$T$36),EXACT(H39,'Data Base'!$V$37),EXACT(K39,'Data Base'!$X$35)),I39*1*0.5*1,IF(AND(EXACT(G39,'Data Base'!$T$36),EXACT(H39,'Data Base'!$V$38),EXACT(K39,'Data Base'!$X$35)),I39*1*1.2*1,IF(AND(EXACT(G39,'Data Base'!$T$36),OR(EXACT(H39,'Data Base'!$V$36),EXACT(H39,'Data Base'!$V$35)),EXACT(K39,'Data Base'!$X$36)),I39*1*1*0.75,IF(AND(EXACT(G39,'Data Base'!$T$36),EXACT(H39,'Data Base'!$V$37),EXACT(K39,'Data Base'!$X$36)),I39*1*0.5*0.75,IF(AND(EXACT(G39,'Data Base'!$T$36),EXACT(H39,'Data Base'!$V$38),EXACT(K39,'Data Base'!$X$36)),I39*1*1.2*0.75,IF(AND(EXACT(G39,'Data Base'!$T$36),OR(EXACT(H39,'Data Base'!$V$36),EXACT(H39,'Data Base'!$V$35)),EXACT(K39,'Data Base'!$X$37)),I39*1*1*0.5,IF(AND(EXACT(G39,'Data Base'!$T$36),EXACT(H39,'Data Base'!$V$37),EXACT(K39,'Data Base'!$X$37)),I39*1*0.5*0.5,IF(AND(EXACT(G39,'Data Base'!$T$36),EXACT(H39,'Data Base'!$V$38),EXACT(K39,'Data Base'!$X$37)),I39*1*1.2*0.5,IF(AND(EXACT(G39,'Data Base'!$T$37),OR(EXACT(H39,'Data Base'!$V$36),EXACT(H39,'Data Base'!$V$35)),EXACT(K39,'Data Base'!$X$35)),I39*1.25*1*1,IF(AND(EXACT(G39,'Data Base'!$T$37),EXACT(H39,'Data Base'!$V$37),EXACT(K39,'Data Base'!$X$35)),I39*1.25*0.5*1,IF(AND(EXACT(G39,'Data Base'!$T$37),EXACT(H39,'Data Base'!$V$38),EXACT(K39,'Data Base'!$X$35)),I39*1.25*1.2*1,IF(AND(EXACT(G39,'Data Base'!$T$37),OR(EXACT(H39,'Data Base'!$V$36),EXACT(H39,'Data Base'!$V$35)),EXACT(K39,'Data Base'!$X$36)),I39*1.25*1*0.75,IF(AND(EXACT(G39,'Data Base'!$T$37),EXACT(H39,'Data Base'!$V$37),EXACT(K39,'Data Base'!$X$36)),I39*1.25*0.5*0.75,IF(AND(EXACT(G39,'Data Base'!$T$37),EXACT(H39,'Data Base'!$V$38),EXACT(K39,'Data Base'!$X$36)),I39*1.25*1.2*0.75,IF(AND(EXACT(G39,'Data Base'!$T$37),OR(EXACT(H39,'Data Base'!$V$36),EXACT(H39,'Data Base'!$V$35)),EXACT(K39,'Data Base'!$X$37)),I39*1.25*1*0.5,IF(AND(EXACT(G39,'Data Base'!$T$37),EXACT(H39,'Data Base'!$V$37),EXACT(K39,'Data Base'!$X$37)),I39*1.25*0.5*0.5,IF(AND(EXACT(G39,'Data Base'!$T$37),EXACT(H39,'Data Base'!$V$38),EXACT(K39,'Data Base'!$X$37)),I39*1.25*1.2*0.5))))))))))))))))))))))))))),"")</f>
        <v/>
      </c>
    </row>
    <row r="40" spans="1:13" ht="21" customHeight="1">
      <c r="A40" s="97">
        <v>4</v>
      </c>
      <c r="B40" s="1349" t="str">
        <f t="shared" si="4"/>
        <v/>
      </c>
      <c r="C40" s="1350"/>
      <c r="D40" s="148" t="str">
        <f t="shared" si="5"/>
        <v/>
      </c>
      <c r="E40" s="1351"/>
      <c r="F40" s="1352"/>
      <c r="G40" s="165"/>
      <c r="H40" s="140"/>
      <c r="I40" s="4"/>
      <c r="J40" s="4"/>
      <c r="K40" s="140"/>
      <c r="L40" s="4" t="s">
        <v>652</v>
      </c>
      <c r="M40" s="166" t="str">
        <f>IF(AND(NOT(EXACT(D40,"")),NOT(EXACT(G40,"")),NOT(EXACT(E40,"")),NOT(EXACT(B40,"")),NOT(EXACT(I40,"")),NOT(EXACT(H40,""))),IF(AND(EXACT(G40,'Data Base'!$T$35),OR(EXACT(H40,'Data Base'!$V$36),EXACT(H40,'Data Base'!$V$35)),EXACT(K40,'Data Base'!$X$35)),I40*0.5*1*1,IF(AND(EXACT(G40,'Data Base'!$T$35),EXACT(H40,'Data Base'!$V$37),EXACT(K40,'Data Base'!$X$35)),I40*0.5*0.5*1,IF(AND(EXACT(G40,'Data Base'!$T$35),EXACT(H40,'Data Base'!$V$38),EXACT(K40,'Data Base'!$X$35)),I40*0.5*1.2*1,IF(AND(EXACT(G40,'Data Base'!$T$35),OR(EXACT(H40,'Data Base'!$V$36),EXACT(H40,'Data Base'!$V$35)),EXACT(K40,'Data Base'!$X$36)),I40*0.5*1*0.75,IF(AND(EXACT(G40,'Data Base'!$T$35),EXACT(H40,'Data Base'!$V$37),EXACT(K40,'Data Base'!$X$36)),I40*0.5*0.5*0.75,IF(AND(EXACT(G40,'Data Base'!$T$35),EXACT(H40,'Data Base'!$V$38),EXACT(K40,'Data Base'!$X$36)),I40*0.5*1.2*0.75,IF(AND(EXACT(G40,'Data Base'!$T$35),OR(EXACT(H40,'Data Base'!$V$36),EXACT(H40,'Data Base'!$V$35)),EXACT(K40,'Data Base'!$X$37)),I40*0.5*1*0.5,IF(AND(EXACT(G40,'Data Base'!$T$35),EXACT(H40,'Data Base'!$V$37),EXACT(K40,'Data Base'!$X$37)),I40*0.5*0.5*0.5,IF(AND(EXACT(G40,'Data Base'!$T$35),EXACT(H40,'Data Base'!$V$38),EXACT(K40,'Data Base'!$X$37)),I40*0.5*1.2*0.5,IF(AND(EXACT(G40,'Data Base'!$T$36),OR(EXACT(H40,'Data Base'!$V$36),EXACT(H40,'Data Base'!$V$35)),EXACT(K40,'Data Base'!$X$35)),I40*1*1*1,IF(AND(EXACT(G40,'Data Base'!$T$36),EXACT(H40,'Data Base'!$V$37),EXACT(K40,'Data Base'!$X$35)),I40*1*0.5*1,IF(AND(EXACT(G40,'Data Base'!$T$36),EXACT(H40,'Data Base'!$V$38),EXACT(K40,'Data Base'!$X$35)),I40*1*1.2*1,IF(AND(EXACT(G40,'Data Base'!$T$36),OR(EXACT(H40,'Data Base'!$V$36),EXACT(H40,'Data Base'!$V$35)),EXACT(K40,'Data Base'!$X$36)),I40*1*1*0.75,IF(AND(EXACT(G40,'Data Base'!$T$36),EXACT(H40,'Data Base'!$V$37),EXACT(K40,'Data Base'!$X$36)),I40*1*0.5*0.75,IF(AND(EXACT(G40,'Data Base'!$T$36),EXACT(H40,'Data Base'!$V$38),EXACT(K40,'Data Base'!$X$36)),I40*1*1.2*0.75,IF(AND(EXACT(G40,'Data Base'!$T$36),OR(EXACT(H40,'Data Base'!$V$36),EXACT(H40,'Data Base'!$V$35)),EXACT(K40,'Data Base'!$X$37)),I40*1*1*0.5,IF(AND(EXACT(G40,'Data Base'!$T$36),EXACT(H40,'Data Base'!$V$37),EXACT(K40,'Data Base'!$X$37)),I40*1*0.5*0.5,IF(AND(EXACT(G40,'Data Base'!$T$36),EXACT(H40,'Data Base'!$V$38),EXACT(K40,'Data Base'!$X$37)),I40*1*1.2*0.5,IF(AND(EXACT(G40,'Data Base'!$T$37),OR(EXACT(H40,'Data Base'!$V$36),EXACT(H40,'Data Base'!$V$35)),EXACT(K40,'Data Base'!$X$35)),I40*1.25*1*1,IF(AND(EXACT(G40,'Data Base'!$T$37),EXACT(H40,'Data Base'!$V$37),EXACT(K40,'Data Base'!$X$35)),I40*1.25*0.5*1,IF(AND(EXACT(G40,'Data Base'!$T$37),EXACT(H40,'Data Base'!$V$38),EXACT(K40,'Data Base'!$X$35)),I40*1.25*1.2*1,IF(AND(EXACT(G40,'Data Base'!$T$37),OR(EXACT(H40,'Data Base'!$V$36),EXACT(H40,'Data Base'!$V$35)),EXACT(K40,'Data Base'!$X$36)),I40*1.25*1*0.75,IF(AND(EXACT(G40,'Data Base'!$T$37),EXACT(H40,'Data Base'!$V$37),EXACT(K40,'Data Base'!$X$36)),I40*1.25*0.5*0.75,IF(AND(EXACT(G40,'Data Base'!$T$37),EXACT(H40,'Data Base'!$V$38),EXACT(K40,'Data Base'!$X$36)),I40*1.25*1.2*0.75,IF(AND(EXACT(G40,'Data Base'!$T$37),OR(EXACT(H40,'Data Base'!$V$36),EXACT(H40,'Data Base'!$V$35)),EXACT(K40,'Data Base'!$X$37)),I40*1.25*1*0.5,IF(AND(EXACT(G40,'Data Base'!$T$37),EXACT(H40,'Data Base'!$V$37),EXACT(K40,'Data Base'!$X$37)),I40*1.25*0.5*0.5,IF(AND(EXACT(G40,'Data Base'!$T$37),EXACT(H40,'Data Base'!$V$38),EXACT(K40,'Data Base'!$X$37)),I40*1.25*1.2*0.5))))))))))))))))))))))))))),"")</f>
        <v/>
      </c>
    </row>
    <row r="41" spans="1:13" ht="21" customHeight="1">
      <c r="A41" s="99">
        <v>5</v>
      </c>
      <c r="B41" s="1349" t="str">
        <f t="shared" si="4"/>
        <v/>
      </c>
      <c r="C41" s="1350"/>
      <c r="D41" s="148" t="str">
        <f t="shared" si="5"/>
        <v/>
      </c>
      <c r="E41" s="1351"/>
      <c r="F41" s="1352"/>
      <c r="G41" s="165"/>
      <c r="H41" s="140"/>
      <c r="I41" s="4"/>
      <c r="J41" s="4"/>
      <c r="K41" s="140"/>
      <c r="L41" s="4" t="s">
        <v>652</v>
      </c>
      <c r="M41" s="166" t="str">
        <f>IF(AND(NOT(EXACT(D41,"")),NOT(EXACT(G41,"")),NOT(EXACT(E41,"")),NOT(EXACT(B41,"")),NOT(EXACT(I41,"")),NOT(EXACT(H41,""))),IF(AND(EXACT(G41,'Data Base'!$T$35),OR(EXACT(H41,'Data Base'!$V$36),EXACT(H41,'Data Base'!$V$35)),EXACT(K41,'Data Base'!$X$35)),I41*0.5*1*1,IF(AND(EXACT(G41,'Data Base'!$T$35),EXACT(H41,'Data Base'!$V$37),EXACT(K41,'Data Base'!$X$35)),I41*0.5*0.5*1,IF(AND(EXACT(G41,'Data Base'!$T$35),EXACT(H41,'Data Base'!$V$38),EXACT(K41,'Data Base'!$X$35)),I41*0.5*1.2*1,IF(AND(EXACT(G41,'Data Base'!$T$35),OR(EXACT(H41,'Data Base'!$V$36),EXACT(H41,'Data Base'!$V$35)),EXACT(K41,'Data Base'!$X$36)),I41*0.5*1*0.75,IF(AND(EXACT(G41,'Data Base'!$T$35),EXACT(H41,'Data Base'!$V$37),EXACT(K41,'Data Base'!$X$36)),I41*0.5*0.5*0.75,IF(AND(EXACT(G41,'Data Base'!$T$35),EXACT(H41,'Data Base'!$V$38),EXACT(K41,'Data Base'!$X$36)),I41*0.5*1.2*0.75,IF(AND(EXACT(G41,'Data Base'!$T$35),OR(EXACT(H41,'Data Base'!$V$36),EXACT(H41,'Data Base'!$V$35)),EXACT(K41,'Data Base'!$X$37)),I41*0.5*1*0.5,IF(AND(EXACT(G41,'Data Base'!$T$35),EXACT(H41,'Data Base'!$V$37),EXACT(K41,'Data Base'!$X$37)),I41*0.5*0.5*0.5,IF(AND(EXACT(G41,'Data Base'!$T$35),EXACT(H41,'Data Base'!$V$38),EXACT(K41,'Data Base'!$X$37)),I41*0.5*1.2*0.5,IF(AND(EXACT(G41,'Data Base'!$T$36),OR(EXACT(H41,'Data Base'!$V$36),EXACT(H41,'Data Base'!$V$35)),EXACT(K41,'Data Base'!$X$35)),I41*1*1*1,IF(AND(EXACT(G41,'Data Base'!$T$36),EXACT(H41,'Data Base'!$V$37),EXACT(K41,'Data Base'!$X$35)),I41*1*0.5*1,IF(AND(EXACT(G41,'Data Base'!$T$36),EXACT(H41,'Data Base'!$V$38),EXACT(K41,'Data Base'!$X$35)),I41*1*1.2*1,IF(AND(EXACT(G41,'Data Base'!$T$36),OR(EXACT(H41,'Data Base'!$V$36),EXACT(H41,'Data Base'!$V$35)),EXACT(K41,'Data Base'!$X$36)),I41*1*1*0.75,IF(AND(EXACT(G41,'Data Base'!$T$36),EXACT(H41,'Data Base'!$V$37),EXACT(K41,'Data Base'!$X$36)),I41*1*0.5*0.75,IF(AND(EXACT(G41,'Data Base'!$T$36),EXACT(H41,'Data Base'!$V$38),EXACT(K41,'Data Base'!$X$36)),I41*1*1.2*0.75,IF(AND(EXACT(G41,'Data Base'!$T$36),OR(EXACT(H41,'Data Base'!$V$36),EXACT(H41,'Data Base'!$V$35)),EXACT(K41,'Data Base'!$X$37)),I41*1*1*0.5,IF(AND(EXACT(G41,'Data Base'!$T$36),EXACT(H41,'Data Base'!$V$37),EXACT(K41,'Data Base'!$X$37)),I41*1*0.5*0.5,IF(AND(EXACT(G41,'Data Base'!$T$36),EXACT(H41,'Data Base'!$V$38),EXACT(K41,'Data Base'!$X$37)),I41*1*1.2*0.5,IF(AND(EXACT(G41,'Data Base'!$T$37),OR(EXACT(H41,'Data Base'!$V$36),EXACT(H41,'Data Base'!$V$35)),EXACT(K41,'Data Base'!$X$35)),I41*1.25*1*1,IF(AND(EXACT(G41,'Data Base'!$T$37),EXACT(H41,'Data Base'!$V$37),EXACT(K41,'Data Base'!$X$35)),I41*1.25*0.5*1,IF(AND(EXACT(G41,'Data Base'!$T$37),EXACT(H41,'Data Base'!$V$38),EXACT(K41,'Data Base'!$X$35)),I41*1.25*1.2*1,IF(AND(EXACT(G41,'Data Base'!$T$37),OR(EXACT(H41,'Data Base'!$V$36),EXACT(H41,'Data Base'!$V$35)),EXACT(K41,'Data Base'!$X$36)),I41*1.25*1*0.75,IF(AND(EXACT(G41,'Data Base'!$T$37),EXACT(H41,'Data Base'!$V$37),EXACT(K41,'Data Base'!$X$36)),I41*1.25*0.5*0.75,IF(AND(EXACT(G41,'Data Base'!$T$37),EXACT(H41,'Data Base'!$V$38),EXACT(K41,'Data Base'!$X$36)),I41*1.25*1.2*0.75,IF(AND(EXACT(G41,'Data Base'!$T$37),OR(EXACT(H41,'Data Base'!$V$36),EXACT(H41,'Data Base'!$V$35)),EXACT(K41,'Data Base'!$X$37)),I41*1.25*1*0.5,IF(AND(EXACT(G41,'Data Base'!$T$37),EXACT(H41,'Data Base'!$V$37),EXACT(K41,'Data Base'!$X$37)),I41*1.25*0.5*0.5,IF(AND(EXACT(G41,'Data Base'!$T$37),EXACT(H41,'Data Base'!$V$38),EXACT(K41,'Data Base'!$X$37)),I41*1.25*1.2*0.5))))))))))))))))))))))))))),"")</f>
        <v/>
      </c>
    </row>
    <row r="42" spans="1:13" ht="21" customHeight="1">
      <c r="A42" s="99">
        <v>6</v>
      </c>
      <c r="B42" s="1349" t="str">
        <f t="shared" si="4"/>
        <v/>
      </c>
      <c r="C42" s="1350"/>
      <c r="D42" s="148" t="str">
        <f t="shared" si="5"/>
        <v/>
      </c>
      <c r="E42" s="1351"/>
      <c r="F42" s="1352"/>
      <c r="G42" s="165"/>
      <c r="H42" s="140"/>
      <c r="I42" s="4"/>
      <c r="J42" s="4"/>
      <c r="K42" s="140"/>
      <c r="L42" s="4" t="s">
        <v>652</v>
      </c>
      <c r="M42" s="166" t="str">
        <f>IF(AND(NOT(EXACT(D42,"")),NOT(EXACT(G42,"")),NOT(EXACT(E42,"")),NOT(EXACT(B42,"")),NOT(EXACT(I42,"")),NOT(EXACT(H42,""))),IF(AND(EXACT(G42,'Data Base'!$T$35),OR(EXACT(H42,'Data Base'!$V$36),EXACT(H42,'Data Base'!$V$35)),EXACT(K42,'Data Base'!$X$35)),I42*0.5*1*1,IF(AND(EXACT(G42,'Data Base'!$T$35),EXACT(H42,'Data Base'!$V$37),EXACT(K42,'Data Base'!$X$35)),I42*0.5*0.5*1,IF(AND(EXACT(G42,'Data Base'!$T$35),EXACT(H42,'Data Base'!$V$38),EXACT(K42,'Data Base'!$X$35)),I42*0.5*1.2*1,IF(AND(EXACT(G42,'Data Base'!$T$35),OR(EXACT(H42,'Data Base'!$V$36),EXACT(H42,'Data Base'!$V$35)),EXACT(K42,'Data Base'!$X$36)),I42*0.5*1*0.75,IF(AND(EXACT(G42,'Data Base'!$T$35),EXACT(H42,'Data Base'!$V$37),EXACT(K42,'Data Base'!$X$36)),I42*0.5*0.5*0.75,IF(AND(EXACT(G42,'Data Base'!$T$35),EXACT(H42,'Data Base'!$V$38),EXACT(K42,'Data Base'!$X$36)),I42*0.5*1.2*0.75,IF(AND(EXACT(G42,'Data Base'!$T$35),OR(EXACT(H42,'Data Base'!$V$36),EXACT(H42,'Data Base'!$V$35)),EXACT(K42,'Data Base'!$X$37)),I42*0.5*1*0.5,IF(AND(EXACT(G42,'Data Base'!$T$35),EXACT(H42,'Data Base'!$V$37),EXACT(K42,'Data Base'!$X$37)),I42*0.5*0.5*0.5,IF(AND(EXACT(G42,'Data Base'!$T$35),EXACT(H42,'Data Base'!$V$38),EXACT(K42,'Data Base'!$X$37)),I42*0.5*1.2*0.5,IF(AND(EXACT(G42,'Data Base'!$T$36),OR(EXACT(H42,'Data Base'!$V$36),EXACT(H42,'Data Base'!$V$35)),EXACT(K42,'Data Base'!$X$35)),I42*1*1*1,IF(AND(EXACT(G42,'Data Base'!$T$36),EXACT(H42,'Data Base'!$V$37),EXACT(K42,'Data Base'!$X$35)),I42*1*0.5*1,IF(AND(EXACT(G42,'Data Base'!$T$36),EXACT(H42,'Data Base'!$V$38),EXACT(K42,'Data Base'!$X$35)),I42*1*1.2*1,IF(AND(EXACT(G42,'Data Base'!$T$36),OR(EXACT(H42,'Data Base'!$V$36),EXACT(H42,'Data Base'!$V$35)),EXACT(K42,'Data Base'!$X$36)),I42*1*1*0.75,IF(AND(EXACT(G42,'Data Base'!$T$36),EXACT(H42,'Data Base'!$V$37),EXACT(K42,'Data Base'!$X$36)),I42*1*0.5*0.75,IF(AND(EXACT(G42,'Data Base'!$T$36),EXACT(H42,'Data Base'!$V$38),EXACT(K42,'Data Base'!$X$36)),I42*1*1.2*0.75,IF(AND(EXACT(G42,'Data Base'!$T$36),OR(EXACT(H42,'Data Base'!$V$36),EXACT(H42,'Data Base'!$V$35)),EXACT(K42,'Data Base'!$X$37)),I42*1*1*0.5,IF(AND(EXACT(G42,'Data Base'!$T$36),EXACT(H42,'Data Base'!$V$37),EXACT(K42,'Data Base'!$X$37)),I42*1*0.5*0.5,IF(AND(EXACT(G42,'Data Base'!$T$36),EXACT(H42,'Data Base'!$V$38),EXACT(K42,'Data Base'!$X$37)),I42*1*1.2*0.5,IF(AND(EXACT(G42,'Data Base'!$T$37),OR(EXACT(H42,'Data Base'!$V$36),EXACT(H42,'Data Base'!$V$35)),EXACT(K42,'Data Base'!$X$35)),I42*1.25*1*1,IF(AND(EXACT(G42,'Data Base'!$T$37),EXACT(H42,'Data Base'!$V$37),EXACT(K42,'Data Base'!$X$35)),I42*1.25*0.5*1,IF(AND(EXACT(G42,'Data Base'!$T$37),EXACT(H42,'Data Base'!$V$38),EXACT(K42,'Data Base'!$X$35)),I42*1.25*1.2*1,IF(AND(EXACT(G42,'Data Base'!$T$37),OR(EXACT(H42,'Data Base'!$V$36),EXACT(H42,'Data Base'!$V$35)),EXACT(K42,'Data Base'!$X$36)),I42*1.25*1*0.75,IF(AND(EXACT(G42,'Data Base'!$T$37),EXACT(H42,'Data Base'!$V$37),EXACT(K42,'Data Base'!$X$36)),I42*1.25*0.5*0.75,IF(AND(EXACT(G42,'Data Base'!$T$37),EXACT(H42,'Data Base'!$V$38),EXACT(K42,'Data Base'!$X$36)),I42*1.25*1.2*0.75,IF(AND(EXACT(G42,'Data Base'!$T$37),OR(EXACT(H42,'Data Base'!$V$36),EXACT(H42,'Data Base'!$V$35)),EXACT(K42,'Data Base'!$X$37)),I42*1.25*1*0.5,IF(AND(EXACT(G42,'Data Base'!$T$37),EXACT(H42,'Data Base'!$V$37),EXACT(K42,'Data Base'!$X$37)),I42*1.25*0.5*0.5,IF(AND(EXACT(G42,'Data Base'!$T$37),EXACT(H42,'Data Base'!$V$38),EXACT(K42,'Data Base'!$X$37)),I42*1.25*1.2*0.5))))))))))))))))))))))))))),"")</f>
        <v/>
      </c>
    </row>
    <row r="43" spans="1:13" ht="21" customHeight="1">
      <c r="A43" s="97">
        <v>7</v>
      </c>
      <c r="B43" s="1349" t="str">
        <f t="shared" si="4"/>
        <v/>
      </c>
      <c r="C43" s="1350"/>
      <c r="D43" s="148" t="str">
        <f t="shared" si="5"/>
        <v/>
      </c>
      <c r="E43" s="1351"/>
      <c r="F43" s="1352"/>
      <c r="G43" s="165"/>
      <c r="H43" s="140"/>
      <c r="I43" s="4"/>
      <c r="J43" s="4"/>
      <c r="K43" s="140"/>
      <c r="L43" s="4" t="s">
        <v>652</v>
      </c>
      <c r="M43" s="166" t="str">
        <f>IF(AND(NOT(EXACT(D43,"")),NOT(EXACT(G43,"")),NOT(EXACT(E43,"")),NOT(EXACT(B43,"")),NOT(EXACT(I43,"")),NOT(EXACT(H43,""))),IF(AND(EXACT(G43,'Data Base'!$T$35),OR(EXACT(H43,'Data Base'!$V$36),EXACT(H43,'Data Base'!$V$35)),EXACT(K43,'Data Base'!$X$35)),I43*0.5*1*1,IF(AND(EXACT(G43,'Data Base'!$T$35),EXACT(H43,'Data Base'!$V$37),EXACT(K43,'Data Base'!$X$35)),I43*0.5*0.5*1,IF(AND(EXACT(G43,'Data Base'!$T$35),EXACT(H43,'Data Base'!$V$38),EXACT(K43,'Data Base'!$X$35)),I43*0.5*1.2*1,IF(AND(EXACT(G43,'Data Base'!$T$35),OR(EXACT(H43,'Data Base'!$V$36),EXACT(H43,'Data Base'!$V$35)),EXACT(K43,'Data Base'!$X$36)),I43*0.5*1*0.75,IF(AND(EXACT(G43,'Data Base'!$T$35),EXACT(H43,'Data Base'!$V$37),EXACT(K43,'Data Base'!$X$36)),I43*0.5*0.5*0.75,IF(AND(EXACT(G43,'Data Base'!$T$35),EXACT(H43,'Data Base'!$V$38),EXACT(K43,'Data Base'!$X$36)),I43*0.5*1.2*0.75,IF(AND(EXACT(G43,'Data Base'!$T$35),OR(EXACT(H43,'Data Base'!$V$36),EXACT(H43,'Data Base'!$V$35)),EXACT(K43,'Data Base'!$X$37)),I43*0.5*1*0.5,IF(AND(EXACT(G43,'Data Base'!$T$35),EXACT(H43,'Data Base'!$V$37),EXACT(K43,'Data Base'!$X$37)),I43*0.5*0.5*0.5,IF(AND(EXACT(G43,'Data Base'!$T$35),EXACT(H43,'Data Base'!$V$38),EXACT(K43,'Data Base'!$X$37)),I43*0.5*1.2*0.5,IF(AND(EXACT(G43,'Data Base'!$T$36),OR(EXACT(H43,'Data Base'!$V$36),EXACT(H43,'Data Base'!$V$35)),EXACT(K43,'Data Base'!$X$35)),I43*1*1*1,IF(AND(EXACT(G43,'Data Base'!$T$36),EXACT(H43,'Data Base'!$V$37),EXACT(K43,'Data Base'!$X$35)),I43*1*0.5*1,IF(AND(EXACT(G43,'Data Base'!$T$36),EXACT(H43,'Data Base'!$V$38),EXACT(K43,'Data Base'!$X$35)),I43*1*1.2*1,IF(AND(EXACT(G43,'Data Base'!$T$36),OR(EXACT(H43,'Data Base'!$V$36),EXACT(H43,'Data Base'!$V$35)),EXACT(K43,'Data Base'!$X$36)),I43*1*1*0.75,IF(AND(EXACT(G43,'Data Base'!$T$36),EXACT(H43,'Data Base'!$V$37),EXACT(K43,'Data Base'!$X$36)),I43*1*0.5*0.75,IF(AND(EXACT(G43,'Data Base'!$T$36),EXACT(H43,'Data Base'!$V$38),EXACT(K43,'Data Base'!$X$36)),I43*1*1.2*0.75,IF(AND(EXACT(G43,'Data Base'!$T$36),OR(EXACT(H43,'Data Base'!$V$36),EXACT(H43,'Data Base'!$V$35)),EXACT(K43,'Data Base'!$X$37)),I43*1*1*0.5,IF(AND(EXACT(G43,'Data Base'!$T$36),EXACT(H43,'Data Base'!$V$37),EXACT(K43,'Data Base'!$X$37)),I43*1*0.5*0.5,IF(AND(EXACT(G43,'Data Base'!$T$36),EXACT(H43,'Data Base'!$V$38),EXACT(K43,'Data Base'!$X$37)),I43*1*1.2*0.5,IF(AND(EXACT(G43,'Data Base'!$T$37),OR(EXACT(H43,'Data Base'!$V$36),EXACT(H43,'Data Base'!$V$35)),EXACT(K43,'Data Base'!$X$35)),I43*1.25*1*1,IF(AND(EXACT(G43,'Data Base'!$T$37),EXACT(H43,'Data Base'!$V$37),EXACT(K43,'Data Base'!$X$35)),I43*1.25*0.5*1,IF(AND(EXACT(G43,'Data Base'!$T$37),EXACT(H43,'Data Base'!$V$38),EXACT(K43,'Data Base'!$X$35)),I43*1.25*1.2*1,IF(AND(EXACT(G43,'Data Base'!$T$37),OR(EXACT(H43,'Data Base'!$V$36),EXACT(H43,'Data Base'!$V$35)),EXACT(K43,'Data Base'!$X$36)),I43*1.25*1*0.75,IF(AND(EXACT(G43,'Data Base'!$T$37),EXACT(H43,'Data Base'!$V$37),EXACT(K43,'Data Base'!$X$36)),I43*1.25*0.5*0.75,IF(AND(EXACT(G43,'Data Base'!$T$37),EXACT(H43,'Data Base'!$V$38),EXACT(K43,'Data Base'!$X$36)),I43*1.25*1.2*0.75,IF(AND(EXACT(G43,'Data Base'!$T$37),OR(EXACT(H43,'Data Base'!$V$36),EXACT(H43,'Data Base'!$V$35)),EXACT(K43,'Data Base'!$X$37)),I43*1.25*1*0.5,IF(AND(EXACT(G43,'Data Base'!$T$37),EXACT(H43,'Data Base'!$V$37),EXACT(K43,'Data Base'!$X$37)),I43*1.25*0.5*0.5,IF(AND(EXACT(G43,'Data Base'!$T$37),EXACT(H43,'Data Base'!$V$38),EXACT(K43,'Data Base'!$X$37)),I43*1.25*1.2*0.5))))))))))))))))))))))))))),"")</f>
        <v/>
      </c>
    </row>
    <row r="44" spans="1:13" ht="21" customHeight="1">
      <c r="A44" s="99">
        <v>8</v>
      </c>
      <c r="B44" s="1349" t="str">
        <f t="shared" si="4"/>
        <v/>
      </c>
      <c r="C44" s="1350"/>
      <c r="D44" s="148" t="str">
        <f t="shared" si="5"/>
        <v/>
      </c>
      <c r="E44" s="1351"/>
      <c r="F44" s="1352"/>
      <c r="G44" s="165"/>
      <c r="H44" s="140"/>
      <c r="I44" s="4"/>
      <c r="J44" s="4"/>
      <c r="K44" s="140"/>
      <c r="L44" s="4" t="s">
        <v>652</v>
      </c>
      <c r="M44" s="166" t="str">
        <f>IF(AND(NOT(EXACT(D44,"")),NOT(EXACT(G44,"")),NOT(EXACT(E44,"")),NOT(EXACT(B44,"")),NOT(EXACT(I44,"")),NOT(EXACT(H44,""))),IF(AND(EXACT(G44,'Data Base'!$T$35),OR(EXACT(H44,'Data Base'!$V$36),EXACT(H44,'Data Base'!$V$35)),EXACT(K44,'Data Base'!$X$35)),I44*0.5*1*1,IF(AND(EXACT(G44,'Data Base'!$T$35),EXACT(H44,'Data Base'!$V$37),EXACT(K44,'Data Base'!$X$35)),I44*0.5*0.5*1,IF(AND(EXACT(G44,'Data Base'!$T$35),EXACT(H44,'Data Base'!$V$38),EXACT(K44,'Data Base'!$X$35)),I44*0.5*1.2*1,IF(AND(EXACT(G44,'Data Base'!$T$35),OR(EXACT(H44,'Data Base'!$V$36),EXACT(H44,'Data Base'!$V$35)),EXACT(K44,'Data Base'!$X$36)),I44*0.5*1*0.75,IF(AND(EXACT(G44,'Data Base'!$T$35),EXACT(H44,'Data Base'!$V$37),EXACT(K44,'Data Base'!$X$36)),I44*0.5*0.5*0.75,IF(AND(EXACT(G44,'Data Base'!$T$35),EXACT(H44,'Data Base'!$V$38),EXACT(K44,'Data Base'!$X$36)),I44*0.5*1.2*0.75,IF(AND(EXACT(G44,'Data Base'!$T$35),OR(EXACT(H44,'Data Base'!$V$36),EXACT(H44,'Data Base'!$V$35)),EXACT(K44,'Data Base'!$X$37)),I44*0.5*1*0.5,IF(AND(EXACT(G44,'Data Base'!$T$35),EXACT(H44,'Data Base'!$V$37),EXACT(K44,'Data Base'!$X$37)),I44*0.5*0.5*0.5,IF(AND(EXACT(G44,'Data Base'!$T$35),EXACT(H44,'Data Base'!$V$38),EXACT(K44,'Data Base'!$X$37)),I44*0.5*1.2*0.5,IF(AND(EXACT(G44,'Data Base'!$T$36),OR(EXACT(H44,'Data Base'!$V$36),EXACT(H44,'Data Base'!$V$35)),EXACT(K44,'Data Base'!$X$35)),I44*1*1*1,IF(AND(EXACT(G44,'Data Base'!$T$36),EXACT(H44,'Data Base'!$V$37),EXACT(K44,'Data Base'!$X$35)),I44*1*0.5*1,IF(AND(EXACT(G44,'Data Base'!$T$36),EXACT(H44,'Data Base'!$V$38),EXACT(K44,'Data Base'!$X$35)),I44*1*1.2*1,IF(AND(EXACT(G44,'Data Base'!$T$36),OR(EXACT(H44,'Data Base'!$V$36),EXACT(H44,'Data Base'!$V$35)),EXACT(K44,'Data Base'!$X$36)),I44*1*1*0.75,IF(AND(EXACT(G44,'Data Base'!$T$36),EXACT(H44,'Data Base'!$V$37),EXACT(K44,'Data Base'!$X$36)),I44*1*0.5*0.75,IF(AND(EXACT(G44,'Data Base'!$T$36),EXACT(H44,'Data Base'!$V$38),EXACT(K44,'Data Base'!$X$36)),I44*1*1.2*0.75,IF(AND(EXACT(G44,'Data Base'!$T$36),OR(EXACT(H44,'Data Base'!$V$36),EXACT(H44,'Data Base'!$V$35)),EXACT(K44,'Data Base'!$X$37)),I44*1*1*0.5,IF(AND(EXACT(G44,'Data Base'!$T$36),EXACT(H44,'Data Base'!$V$37),EXACT(K44,'Data Base'!$X$37)),I44*1*0.5*0.5,IF(AND(EXACT(G44,'Data Base'!$T$36),EXACT(H44,'Data Base'!$V$38),EXACT(K44,'Data Base'!$X$37)),I44*1*1.2*0.5,IF(AND(EXACT(G44,'Data Base'!$T$37),OR(EXACT(H44,'Data Base'!$V$36),EXACT(H44,'Data Base'!$V$35)),EXACT(K44,'Data Base'!$X$35)),I44*1.25*1*1,IF(AND(EXACT(G44,'Data Base'!$T$37),EXACT(H44,'Data Base'!$V$37),EXACT(K44,'Data Base'!$X$35)),I44*1.25*0.5*1,IF(AND(EXACT(G44,'Data Base'!$T$37),EXACT(H44,'Data Base'!$V$38),EXACT(K44,'Data Base'!$X$35)),I44*1.25*1.2*1,IF(AND(EXACT(G44,'Data Base'!$T$37),OR(EXACT(H44,'Data Base'!$V$36),EXACT(H44,'Data Base'!$V$35)),EXACT(K44,'Data Base'!$X$36)),I44*1.25*1*0.75,IF(AND(EXACT(G44,'Data Base'!$T$37),EXACT(H44,'Data Base'!$V$37),EXACT(K44,'Data Base'!$X$36)),I44*1.25*0.5*0.75,IF(AND(EXACT(G44,'Data Base'!$T$37),EXACT(H44,'Data Base'!$V$38),EXACT(K44,'Data Base'!$X$36)),I44*1.25*1.2*0.75,IF(AND(EXACT(G44,'Data Base'!$T$37),OR(EXACT(H44,'Data Base'!$V$36),EXACT(H44,'Data Base'!$V$35)),EXACT(K44,'Data Base'!$X$37)),I44*1.25*1*0.5,IF(AND(EXACT(G44,'Data Base'!$T$37),EXACT(H44,'Data Base'!$V$37),EXACT(K44,'Data Base'!$X$37)),I44*1.25*0.5*0.5,IF(AND(EXACT(G44,'Data Base'!$T$37),EXACT(H44,'Data Base'!$V$38),EXACT(K44,'Data Base'!$X$37)),I44*1.25*1.2*0.5))))))))))))))))))))))))))),"")</f>
        <v/>
      </c>
    </row>
    <row r="45" spans="1:13" ht="21" customHeight="1">
      <c r="A45" s="99">
        <v>9</v>
      </c>
      <c r="B45" s="1349" t="str">
        <f t="shared" si="4"/>
        <v/>
      </c>
      <c r="C45" s="1350"/>
      <c r="D45" s="148" t="str">
        <f t="shared" si="5"/>
        <v/>
      </c>
      <c r="E45" s="1351"/>
      <c r="F45" s="1352"/>
      <c r="G45" s="165"/>
      <c r="H45" s="140"/>
      <c r="I45" s="4"/>
      <c r="J45" s="4"/>
      <c r="K45" s="140"/>
      <c r="L45" s="4" t="s">
        <v>652</v>
      </c>
      <c r="M45" s="166" t="str">
        <f>IF(AND(NOT(EXACT(D45,"")),NOT(EXACT(G45,"")),NOT(EXACT(E45,"")),NOT(EXACT(B45,"")),NOT(EXACT(I45,"")),NOT(EXACT(H45,""))),IF(AND(EXACT(G45,'Data Base'!$T$35),OR(EXACT(H45,'Data Base'!$V$36),EXACT(H45,'Data Base'!$V$35)),EXACT(K45,'Data Base'!$X$35)),I45*0.5*1*1,IF(AND(EXACT(G45,'Data Base'!$T$35),EXACT(H45,'Data Base'!$V$37),EXACT(K45,'Data Base'!$X$35)),I45*0.5*0.5*1,IF(AND(EXACT(G45,'Data Base'!$T$35),EXACT(H45,'Data Base'!$V$38),EXACT(K45,'Data Base'!$X$35)),I45*0.5*1.2*1,IF(AND(EXACT(G45,'Data Base'!$T$35),OR(EXACT(H45,'Data Base'!$V$36),EXACT(H45,'Data Base'!$V$35)),EXACT(K45,'Data Base'!$X$36)),I45*0.5*1*0.75,IF(AND(EXACT(G45,'Data Base'!$T$35),EXACT(H45,'Data Base'!$V$37),EXACT(K45,'Data Base'!$X$36)),I45*0.5*0.5*0.75,IF(AND(EXACT(G45,'Data Base'!$T$35),EXACT(H45,'Data Base'!$V$38),EXACT(K45,'Data Base'!$X$36)),I45*0.5*1.2*0.75,IF(AND(EXACT(G45,'Data Base'!$T$35),OR(EXACT(H45,'Data Base'!$V$36),EXACT(H45,'Data Base'!$V$35)),EXACT(K45,'Data Base'!$X$37)),I45*0.5*1*0.5,IF(AND(EXACT(G45,'Data Base'!$T$35),EXACT(H45,'Data Base'!$V$37),EXACT(K45,'Data Base'!$X$37)),I45*0.5*0.5*0.5,IF(AND(EXACT(G45,'Data Base'!$T$35),EXACT(H45,'Data Base'!$V$38),EXACT(K45,'Data Base'!$X$37)),I45*0.5*1.2*0.5,IF(AND(EXACT(G45,'Data Base'!$T$36),OR(EXACT(H45,'Data Base'!$V$36),EXACT(H45,'Data Base'!$V$35)),EXACT(K45,'Data Base'!$X$35)),I45*1*1*1,IF(AND(EXACT(G45,'Data Base'!$T$36),EXACT(H45,'Data Base'!$V$37),EXACT(K45,'Data Base'!$X$35)),I45*1*0.5*1,IF(AND(EXACT(G45,'Data Base'!$T$36),EXACT(H45,'Data Base'!$V$38),EXACT(K45,'Data Base'!$X$35)),I45*1*1.2*1,IF(AND(EXACT(G45,'Data Base'!$T$36),OR(EXACT(H45,'Data Base'!$V$36),EXACT(H45,'Data Base'!$V$35)),EXACT(K45,'Data Base'!$X$36)),I45*1*1*0.75,IF(AND(EXACT(G45,'Data Base'!$T$36),EXACT(H45,'Data Base'!$V$37),EXACT(K45,'Data Base'!$X$36)),I45*1*0.5*0.75,IF(AND(EXACT(G45,'Data Base'!$T$36),EXACT(H45,'Data Base'!$V$38),EXACT(K45,'Data Base'!$X$36)),I45*1*1.2*0.75,IF(AND(EXACT(G45,'Data Base'!$T$36),OR(EXACT(H45,'Data Base'!$V$36),EXACT(H45,'Data Base'!$V$35)),EXACT(K45,'Data Base'!$X$37)),I45*1*1*0.5,IF(AND(EXACT(G45,'Data Base'!$T$36),EXACT(H45,'Data Base'!$V$37),EXACT(K45,'Data Base'!$X$37)),I45*1*0.5*0.5,IF(AND(EXACT(G45,'Data Base'!$T$36),EXACT(H45,'Data Base'!$V$38),EXACT(K45,'Data Base'!$X$37)),I45*1*1.2*0.5,IF(AND(EXACT(G45,'Data Base'!$T$37),OR(EXACT(H45,'Data Base'!$V$36),EXACT(H45,'Data Base'!$V$35)),EXACT(K45,'Data Base'!$X$35)),I45*1.25*1*1,IF(AND(EXACT(G45,'Data Base'!$T$37),EXACT(H45,'Data Base'!$V$37),EXACT(K45,'Data Base'!$X$35)),I45*1.25*0.5*1,IF(AND(EXACT(G45,'Data Base'!$T$37),EXACT(H45,'Data Base'!$V$38),EXACT(K45,'Data Base'!$X$35)),I45*1.25*1.2*1,IF(AND(EXACT(G45,'Data Base'!$T$37),OR(EXACT(H45,'Data Base'!$V$36),EXACT(H45,'Data Base'!$V$35)),EXACT(K45,'Data Base'!$X$36)),I45*1.25*1*0.75,IF(AND(EXACT(G45,'Data Base'!$T$37),EXACT(H45,'Data Base'!$V$37),EXACT(K45,'Data Base'!$X$36)),I45*1.25*0.5*0.75,IF(AND(EXACT(G45,'Data Base'!$T$37),EXACT(H45,'Data Base'!$V$38),EXACT(K45,'Data Base'!$X$36)),I45*1.25*1.2*0.75,IF(AND(EXACT(G45,'Data Base'!$T$37),OR(EXACT(H45,'Data Base'!$V$36),EXACT(H45,'Data Base'!$V$35)),EXACT(K45,'Data Base'!$X$37)),I45*1.25*1*0.5,IF(AND(EXACT(G45,'Data Base'!$T$37),EXACT(H45,'Data Base'!$V$37),EXACT(K45,'Data Base'!$X$37)),I45*1.25*0.5*0.5,IF(AND(EXACT(G45,'Data Base'!$T$37),EXACT(H45,'Data Base'!$V$38),EXACT(K45,'Data Base'!$X$37)),I45*1.25*1.2*0.5))))))))))))))))))))))))))),"")</f>
        <v/>
      </c>
    </row>
    <row r="46" spans="1:13" ht="21" customHeight="1">
      <c r="A46" s="97">
        <v>10</v>
      </c>
      <c r="B46" s="1349" t="str">
        <f t="shared" si="4"/>
        <v/>
      </c>
      <c r="C46" s="1350"/>
      <c r="D46" s="148" t="str">
        <f t="shared" si="5"/>
        <v/>
      </c>
      <c r="E46" s="1351"/>
      <c r="F46" s="1352"/>
      <c r="G46" s="165"/>
      <c r="H46" s="140"/>
      <c r="I46" s="4"/>
      <c r="J46" s="4"/>
      <c r="K46" s="140"/>
      <c r="L46" s="4" t="s">
        <v>652</v>
      </c>
      <c r="M46" s="166" t="str">
        <f>IF(AND(NOT(EXACT(D46,"")),NOT(EXACT(G46,"")),NOT(EXACT(E46,"")),NOT(EXACT(B46,"")),NOT(EXACT(I46,"")),NOT(EXACT(H46,""))),IF(AND(EXACT(G46,'Data Base'!$T$35),OR(EXACT(H46,'Data Base'!$V$36),EXACT(H46,'Data Base'!$V$35)),EXACT(K46,'Data Base'!$X$35)),I46*0.5*1*1,IF(AND(EXACT(G46,'Data Base'!$T$35),EXACT(H46,'Data Base'!$V$37),EXACT(K46,'Data Base'!$X$35)),I46*0.5*0.5*1,IF(AND(EXACT(G46,'Data Base'!$T$35),EXACT(H46,'Data Base'!$V$38),EXACT(K46,'Data Base'!$X$35)),I46*0.5*1.2*1,IF(AND(EXACT(G46,'Data Base'!$T$35),OR(EXACT(H46,'Data Base'!$V$36),EXACT(H46,'Data Base'!$V$35)),EXACT(K46,'Data Base'!$X$36)),I46*0.5*1*0.75,IF(AND(EXACT(G46,'Data Base'!$T$35),EXACT(H46,'Data Base'!$V$37),EXACT(K46,'Data Base'!$X$36)),I46*0.5*0.5*0.75,IF(AND(EXACT(G46,'Data Base'!$T$35),EXACT(H46,'Data Base'!$V$38),EXACT(K46,'Data Base'!$X$36)),I46*0.5*1.2*0.75,IF(AND(EXACT(G46,'Data Base'!$T$35),OR(EXACT(H46,'Data Base'!$V$36),EXACT(H46,'Data Base'!$V$35)),EXACT(K46,'Data Base'!$X$37)),I46*0.5*1*0.5,IF(AND(EXACT(G46,'Data Base'!$T$35),EXACT(H46,'Data Base'!$V$37),EXACT(K46,'Data Base'!$X$37)),I46*0.5*0.5*0.5,IF(AND(EXACT(G46,'Data Base'!$T$35),EXACT(H46,'Data Base'!$V$38),EXACT(K46,'Data Base'!$X$37)),I46*0.5*1.2*0.5,IF(AND(EXACT(G46,'Data Base'!$T$36),OR(EXACT(H46,'Data Base'!$V$36),EXACT(H46,'Data Base'!$V$35)),EXACT(K46,'Data Base'!$X$35)),I46*1*1*1,IF(AND(EXACT(G46,'Data Base'!$T$36),EXACT(H46,'Data Base'!$V$37),EXACT(K46,'Data Base'!$X$35)),I46*1*0.5*1,IF(AND(EXACT(G46,'Data Base'!$T$36),EXACT(H46,'Data Base'!$V$38),EXACT(K46,'Data Base'!$X$35)),I46*1*1.2*1,IF(AND(EXACT(G46,'Data Base'!$T$36),OR(EXACT(H46,'Data Base'!$V$36),EXACT(H46,'Data Base'!$V$35)),EXACT(K46,'Data Base'!$X$36)),I46*1*1*0.75,IF(AND(EXACT(G46,'Data Base'!$T$36),EXACT(H46,'Data Base'!$V$37),EXACT(K46,'Data Base'!$X$36)),I46*1*0.5*0.75,IF(AND(EXACT(G46,'Data Base'!$T$36),EXACT(H46,'Data Base'!$V$38),EXACT(K46,'Data Base'!$X$36)),I46*1*1.2*0.75,IF(AND(EXACT(G46,'Data Base'!$T$36),OR(EXACT(H46,'Data Base'!$V$36),EXACT(H46,'Data Base'!$V$35)),EXACT(K46,'Data Base'!$X$37)),I46*1*1*0.5,IF(AND(EXACT(G46,'Data Base'!$T$36),EXACT(H46,'Data Base'!$V$37),EXACT(K46,'Data Base'!$X$37)),I46*1*0.5*0.5,IF(AND(EXACT(G46,'Data Base'!$T$36),EXACT(H46,'Data Base'!$V$38),EXACT(K46,'Data Base'!$X$37)),I46*1*1.2*0.5,IF(AND(EXACT(G46,'Data Base'!$T$37),OR(EXACT(H46,'Data Base'!$V$36),EXACT(H46,'Data Base'!$V$35)),EXACT(K46,'Data Base'!$X$35)),I46*1.25*1*1,IF(AND(EXACT(G46,'Data Base'!$T$37),EXACT(H46,'Data Base'!$V$37),EXACT(K46,'Data Base'!$X$35)),I46*1.25*0.5*1,IF(AND(EXACT(G46,'Data Base'!$T$37),EXACT(H46,'Data Base'!$V$38),EXACT(K46,'Data Base'!$X$35)),I46*1.25*1.2*1,IF(AND(EXACT(G46,'Data Base'!$T$37),OR(EXACT(H46,'Data Base'!$V$36),EXACT(H46,'Data Base'!$V$35)),EXACT(K46,'Data Base'!$X$36)),I46*1.25*1*0.75,IF(AND(EXACT(G46,'Data Base'!$T$37),EXACT(H46,'Data Base'!$V$37),EXACT(K46,'Data Base'!$X$36)),I46*1.25*0.5*0.75,IF(AND(EXACT(G46,'Data Base'!$T$37),EXACT(H46,'Data Base'!$V$38),EXACT(K46,'Data Base'!$X$36)),I46*1.25*1.2*0.75,IF(AND(EXACT(G46,'Data Base'!$T$37),OR(EXACT(H46,'Data Base'!$V$36),EXACT(H46,'Data Base'!$V$35)),EXACT(K46,'Data Base'!$X$37)),I46*1.25*1*0.5,IF(AND(EXACT(G46,'Data Base'!$T$37),EXACT(H46,'Data Base'!$V$37),EXACT(K46,'Data Base'!$X$37)),I46*1.25*0.5*0.5,IF(AND(EXACT(G46,'Data Base'!$T$37),EXACT(H46,'Data Base'!$V$38),EXACT(K46,'Data Base'!$X$37)),I46*1.25*1.2*0.5))))))))))))))))))))))))))),"")</f>
        <v/>
      </c>
    </row>
    <row r="47" spans="1:13" ht="21" customHeight="1">
      <c r="A47" s="99">
        <v>11</v>
      </c>
      <c r="B47" s="1349" t="str">
        <f t="shared" si="4"/>
        <v/>
      </c>
      <c r="C47" s="1350"/>
      <c r="D47" s="148" t="str">
        <f t="shared" si="5"/>
        <v/>
      </c>
      <c r="E47" s="1351"/>
      <c r="F47" s="1352"/>
      <c r="G47" s="165"/>
      <c r="H47" s="140"/>
      <c r="I47" s="4"/>
      <c r="J47" s="4"/>
      <c r="K47" s="140"/>
      <c r="L47" s="4" t="s">
        <v>652</v>
      </c>
      <c r="M47" s="166" t="str">
        <f>IF(AND(NOT(EXACT(D47,"")),NOT(EXACT(G47,"")),NOT(EXACT(E47,"")),NOT(EXACT(B47,"")),NOT(EXACT(I47,"")),NOT(EXACT(H47,""))),IF(AND(EXACT(G47,'Data Base'!$T$35),OR(EXACT(H47,'Data Base'!$V$36),EXACT(H47,'Data Base'!$V$35)),EXACT(K47,'Data Base'!$X$35)),I47*0.5*1*1,IF(AND(EXACT(G47,'Data Base'!$T$35),EXACT(H47,'Data Base'!$V$37),EXACT(K47,'Data Base'!$X$35)),I47*0.5*0.5*1,IF(AND(EXACT(G47,'Data Base'!$T$35),EXACT(H47,'Data Base'!$V$38),EXACT(K47,'Data Base'!$X$35)),I47*0.5*1.2*1,IF(AND(EXACT(G47,'Data Base'!$T$35),OR(EXACT(H47,'Data Base'!$V$36),EXACT(H47,'Data Base'!$V$35)),EXACT(K47,'Data Base'!$X$36)),I47*0.5*1*0.75,IF(AND(EXACT(G47,'Data Base'!$T$35),EXACT(H47,'Data Base'!$V$37),EXACT(K47,'Data Base'!$X$36)),I47*0.5*0.5*0.75,IF(AND(EXACT(G47,'Data Base'!$T$35),EXACT(H47,'Data Base'!$V$38),EXACT(K47,'Data Base'!$X$36)),I47*0.5*1.2*0.75,IF(AND(EXACT(G47,'Data Base'!$T$35),OR(EXACT(H47,'Data Base'!$V$36),EXACT(H47,'Data Base'!$V$35)),EXACT(K47,'Data Base'!$X$37)),I47*0.5*1*0.5,IF(AND(EXACT(G47,'Data Base'!$T$35),EXACT(H47,'Data Base'!$V$37),EXACT(K47,'Data Base'!$X$37)),I47*0.5*0.5*0.5,IF(AND(EXACT(G47,'Data Base'!$T$35),EXACT(H47,'Data Base'!$V$38),EXACT(K47,'Data Base'!$X$37)),I47*0.5*1.2*0.5,IF(AND(EXACT(G47,'Data Base'!$T$36),OR(EXACT(H47,'Data Base'!$V$36),EXACT(H47,'Data Base'!$V$35)),EXACT(K47,'Data Base'!$X$35)),I47*1*1*1,IF(AND(EXACT(G47,'Data Base'!$T$36),EXACT(H47,'Data Base'!$V$37),EXACT(K47,'Data Base'!$X$35)),I47*1*0.5*1,IF(AND(EXACT(G47,'Data Base'!$T$36),EXACT(H47,'Data Base'!$V$38),EXACT(K47,'Data Base'!$X$35)),I47*1*1.2*1,IF(AND(EXACT(G47,'Data Base'!$T$36),OR(EXACT(H47,'Data Base'!$V$36),EXACT(H47,'Data Base'!$V$35)),EXACT(K47,'Data Base'!$X$36)),I47*1*1*0.75,IF(AND(EXACT(G47,'Data Base'!$T$36),EXACT(H47,'Data Base'!$V$37),EXACT(K47,'Data Base'!$X$36)),I47*1*0.5*0.75,IF(AND(EXACT(G47,'Data Base'!$T$36),EXACT(H47,'Data Base'!$V$38),EXACT(K47,'Data Base'!$X$36)),I47*1*1.2*0.75,IF(AND(EXACT(G47,'Data Base'!$T$36),OR(EXACT(H47,'Data Base'!$V$36),EXACT(H47,'Data Base'!$V$35)),EXACT(K47,'Data Base'!$X$37)),I47*1*1*0.5,IF(AND(EXACT(G47,'Data Base'!$T$36),EXACT(H47,'Data Base'!$V$37),EXACT(K47,'Data Base'!$X$37)),I47*1*0.5*0.5,IF(AND(EXACT(G47,'Data Base'!$T$36),EXACT(H47,'Data Base'!$V$38),EXACT(K47,'Data Base'!$X$37)),I47*1*1.2*0.5,IF(AND(EXACT(G47,'Data Base'!$T$37),OR(EXACT(H47,'Data Base'!$V$36),EXACT(H47,'Data Base'!$V$35)),EXACT(K47,'Data Base'!$X$35)),I47*1.25*1*1,IF(AND(EXACT(G47,'Data Base'!$T$37),EXACT(H47,'Data Base'!$V$37),EXACT(K47,'Data Base'!$X$35)),I47*1.25*0.5*1,IF(AND(EXACT(G47,'Data Base'!$T$37),EXACT(H47,'Data Base'!$V$38),EXACT(K47,'Data Base'!$X$35)),I47*1.25*1.2*1,IF(AND(EXACT(G47,'Data Base'!$T$37),OR(EXACT(H47,'Data Base'!$V$36),EXACT(H47,'Data Base'!$V$35)),EXACT(K47,'Data Base'!$X$36)),I47*1.25*1*0.75,IF(AND(EXACT(G47,'Data Base'!$T$37),EXACT(H47,'Data Base'!$V$37),EXACT(K47,'Data Base'!$X$36)),I47*1.25*0.5*0.75,IF(AND(EXACT(G47,'Data Base'!$T$37),EXACT(H47,'Data Base'!$V$38),EXACT(K47,'Data Base'!$X$36)),I47*1.25*1.2*0.75,IF(AND(EXACT(G47,'Data Base'!$T$37),OR(EXACT(H47,'Data Base'!$V$36),EXACT(H47,'Data Base'!$V$35)),EXACT(K47,'Data Base'!$X$37)),I47*1.25*1*0.5,IF(AND(EXACT(G47,'Data Base'!$T$37),EXACT(H47,'Data Base'!$V$37),EXACT(K47,'Data Base'!$X$37)),I47*1.25*0.5*0.5,IF(AND(EXACT(G47,'Data Base'!$T$37),EXACT(H47,'Data Base'!$V$38),EXACT(K47,'Data Base'!$X$37)),I47*1.25*1.2*0.5))))))))))))))))))))))))))),"")</f>
        <v/>
      </c>
    </row>
    <row r="48" spans="1:13" ht="21" customHeight="1">
      <c r="A48" s="99">
        <v>12</v>
      </c>
      <c r="B48" s="1349" t="str">
        <f t="shared" si="4"/>
        <v/>
      </c>
      <c r="C48" s="1350"/>
      <c r="D48" s="148" t="str">
        <f t="shared" si="5"/>
        <v/>
      </c>
      <c r="E48" s="1351"/>
      <c r="F48" s="1352"/>
      <c r="G48" s="165"/>
      <c r="H48" s="140"/>
      <c r="I48" s="4"/>
      <c r="J48" s="4"/>
      <c r="K48" s="140"/>
      <c r="L48" s="4" t="s">
        <v>652</v>
      </c>
      <c r="M48" s="166" t="str">
        <f>IF(AND(NOT(EXACT(D48,"")),NOT(EXACT(G48,"")),NOT(EXACT(E48,"")),NOT(EXACT(B48,"")),NOT(EXACT(I48,"")),NOT(EXACT(H48,""))),IF(AND(EXACT(G48,'Data Base'!$T$35),OR(EXACT(H48,'Data Base'!$V$36),EXACT(H48,'Data Base'!$V$35)),EXACT(K48,'Data Base'!$X$35)),I48*0.5*1*1,IF(AND(EXACT(G48,'Data Base'!$T$35),EXACT(H48,'Data Base'!$V$37),EXACT(K48,'Data Base'!$X$35)),I48*0.5*0.5*1,IF(AND(EXACT(G48,'Data Base'!$T$35),EXACT(H48,'Data Base'!$V$38),EXACT(K48,'Data Base'!$X$35)),I48*0.5*1.2*1,IF(AND(EXACT(G48,'Data Base'!$T$35),OR(EXACT(H48,'Data Base'!$V$36),EXACT(H48,'Data Base'!$V$35)),EXACT(K48,'Data Base'!$X$36)),I48*0.5*1*0.75,IF(AND(EXACT(G48,'Data Base'!$T$35),EXACT(H48,'Data Base'!$V$37),EXACT(K48,'Data Base'!$X$36)),I48*0.5*0.5*0.75,IF(AND(EXACT(G48,'Data Base'!$T$35),EXACT(H48,'Data Base'!$V$38),EXACT(K48,'Data Base'!$X$36)),I48*0.5*1.2*0.75,IF(AND(EXACT(G48,'Data Base'!$T$35),OR(EXACT(H48,'Data Base'!$V$36),EXACT(H48,'Data Base'!$V$35)),EXACT(K48,'Data Base'!$X$37)),I48*0.5*1*0.5,IF(AND(EXACT(G48,'Data Base'!$T$35),EXACT(H48,'Data Base'!$V$37),EXACT(K48,'Data Base'!$X$37)),I48*0.5*0.5*0.5,IF(AND(EXACT(G48,'Data Base'!$T$35),EXACT(H48,'Data Base'!$V$38),EXACT(K48,'Data Base'!$X$37)),I48*0.5*1.2*0.5,IF(AND(EXACT(G48,'Data Base'!$T$36),OR(EXACT(H48,'Data Base'!$V$36),EXACT(H48,'Data Base'!$V$35)),EXACT(K48,'Data Base'!$X$35)),I48*1*1*1,IF(AND(EXACT(G48,'Data Base'!$T$36),EXACT(H48,'Data Base'!$V$37),EXACT(K48,'Data Base'!$X$35)),I48*1*0.5*1,IF(AND(EXACT(G48,'Data Base'!$T$36),EXACT(H48,'Data Base'!$V$38),EXACT(K48,'Data Base'!$X$35)),I48*1*1.2*1,IF(AND(EXACT(G48,'Data Base'!$T$36),OR(EXACT(H48,'Data Base'!$V$36),EXACT(H48,'Data Base'!$V$35)),EXACT(K48,'Data Base'!$X$36)),I48*1*1*0.75,IF(AND(EXACT(G48,'Data Base'!$T$36),EXACT(H48,'Data Base'!$V$37),EXACT(K48,'Data Base'!$X$36)),I48*1*0.5*0.75,IF(AND(EXACT(G48,'Data Base'!$T$36),EXACT(H48,'Data Base'!$V$38),EXACT(K48,'Data Base'!$X$36)),I48*1*1.2*0.75,IF(AND(EXACT(G48,'Data Base'!$T$36),OR(EXACT(H48,'Data Base'!$V$36),EXACT(H48,'Data Base'!$V$35)),EXACT(K48,'Data Base'!$X$37)),I48*1*1*0.5,IF(AND(EXACT(G48,'Data Base'!$T$36),EXACT(H48,'Data Base'!$V$37),EXACT(K48,'Data Base'!$X$37)),I48*1*0.5*0.5,IF(AND(EXACT(G48,'Data Base'!$T$36),EXACT(H48,'Data Base'!$V$38),EXACT(K48,'Data Base'!$X$37)),I48*1*1.2*0.5,IF(AND(EXACT(G48,'Data Base'!$T$37),OR(EXACT(H48,'Data Base'!$V$36),EXACT(H48,'Data Base'!$V$35)),EXACT(K48,'Data Base'!$X$35)),I48*1.25*1*1,IF(AND(EXACT(G48,'Data Base'!$T$37),EXACT(H48,'Data Base'!$V$37),EXACT(K48,'Data Base'!$X$35)),I48*1.25*0.5*1,IF(AND(EXACT(G48,'Data Base'!$T$37),EXACT(H48,'Data Base'!$V$38),EXACT(K48,'Data Base'!$X$35)),I48*1.25*1.2*1,IF(AND(EXACT(G48,'Data Base'!$T$37),OR(EXACT(H48,'Data Base'!$V$36),EXACT(H48,'Data Base'!$V$35)),EXACT(K48,'Data Base'!$X$36)),I48*1.25*1*0.75,IF(AND(EXACT(G48,'Data Base'!$T$37),EXACT(H48,'Data Base'!$V$37),EXACT(K48,'Data Base'!$X$36)),I48*1.25*0.5*0.75,IF(AND(EXACT(G48,'Data Base'!$T$37),EXACT(H48,'Data Base'!$V$38),EXACT(K48,'Data Base'!$X$36)),I48*1.25*1.2*0.75,IF(AND(EXACT(G48,'Data Base'!$T$37),OR(EXACT(H48,'Data Base'!$V$36),EXACT(H48,'Data Base'!$V$35)),EXACT(K48,'Data Base'!$X$37)),I48*1.25*1*0.5,IF(AND(EXACT(G48,'Data Base'!$T$37),EXACT(H48,'Data Base'!$V$37),EXACT(K48,'Data Base'!$X$37)),I48*1.25*0.5*0.5,IF(AND(EXACT(G48,'Data Base'!$T$37),EXACT(H48,'Data Base'!$V$38),EXACT(K48,'Data Base'!$X$37)),I48*1.25*1.2*0.5))))))))))))))))))))))))))),"")</f>
        <v/>
      </c>
    </row>
    <row r="49" spans="1:13" ht="21" customHeight="1">
      <c r="A49" s="97">
        <v>13</v>
      </c>
      <c r="B49" s="1349" t="str">
        <f t="shared" si="4"/>
        <v/>
      </c>
      <c r="C49" s="1350"/>
      <c r="D49" s="148" t="str">
        <f t="shared" si="5"/>
        <v/>
      </c>
      <c r="E49" s="1351"/>
      <c r="F49" s="1352"/>
      <c r="G49" s="165"/>
      <c r="H49" s="140"/>
      <c r="I49" s="4"/>
      <c r="J49" s="4"/>
      <c r="K49" s="140"/>
      <c r="L49" s="4" t="s">
        <v>652</v>
      </c>
      <c r="M49" s="166" t="str">
        <f>IF(AND(NOT(EXACT(D49,"")),NOT(EXACT(G49,"")),NOT(EXACT(E49,"")),NOT(EXACT(B49,"")),NOT(EXACT(I49,"")),NOT(EXACT(H49,""))),IF(AND(EXACT(G49,'Data Base'!$T$35),OR(EXACT(H49,'Data Base'!$V$36),EXACT(H49,'Data Base'!$V$35)),EXACT(K49,'Data Base'!$X$35)),I49*0.5*1*1,IF(AND(EXACT(G49,'Data Base'!$T$35),EXACT(H49,'Data Base'!$V$37),EXACT(K49,'Data Base'!$X$35)),I49*0.5*0.5*1,IF(AND(EXACT(G49,'Data Base'!$T$35),EXACT(H49,'Data Base'!$V$38),EXACT(K49,'Data Base'!$X$35)),I49*0.5*1.2*1,IF(AND(EXACT(G49,'Data Base'!$T$35),OR(EXACT(H49,'Data Base'!$V$36),EXACT(H49,'Data Base'!$V$35)),EXACT(K49,'Data Base'!$X$36)),I49*0.5*1*0.75,IF(AND(EXACT(G49,'Data Base'!$T$35),EXACT(H49,'Data Base'!$V$37),EXACT(K49,'Data Base'!$X$36)),I49*0.5*0.5*0.75,IF(AND(EXACT(G49,'Data Base'!$T$35),EXACT(H49,'Data Base'!$V$38),EXACT(K49,'Data Base'!$X$36)),I49*0.5*1.2*0.75,IF(AND(EXACT(G49,'Data Base'!$T$35),OR(EXACT(H49,'Data Base'!$V$36),EXACT(H49,'Data Base'!$V$35)),EXACT(K49,'Data Base'!$X$37)),I49*0.5*1*0.5,IF(AND(EXACT(G49,'Data Base'!$T$35),EXACT(H49,'Data Base'!$V$37),EXACT(K49,'Data Base'!$X$37)),I49*0.5*0.5*0.5,IF(AND(EXACT(G49,'Data Base'!$T$35),EXACT(H49,'Data Base'!$V$38),EXACT(K49,'Data Base'!$X$37)),I49*0.5*1.2*0.5,IF(AND(EXACT(G49,'Data Base'!$T$36),OR(EXACT(H49,'Data Base'!$V$36),EXACT(H49,'Data Base'!$V$35)),EXACT(K49,'Data Base'!$X$35)),I49*1*1*1,IF(AND(EXACT(G49,'Data Base'!$T$36),EXACT(H49,'Data Base'!$V$37),EXACT(K49,'Data Base'!$X$35)),I49*1*0.5*1,IF(AND(EXACT(G49,'Data Base'!$T$36),EXACT(H49,'Data Base'!$V$38),EXACT(K49,'Data Base'!$X$35)),I49*1*1.2*1,IF(AND(EXACT(G49,'Data Base'!$T$36),OR(EXACT(H49,'Data Base'!$V$36),EXACT(H49,'Data Base'!$V$35)),EXACT(K49,'Data Base'!$X$36)),I49*1*1*0.75,IF(AND(EXACT(G49,'Data Base'!$T$36),EXACT(H49,'Data Base'!$V$37),EXACT(K49,'Data Base'!$X$36)),I49*1*0.5*0.75,IF(AND(EXACT(G49,'Data Base'!$T$36),EXACT(H49,'Data Base'!$V$38),EXACT(K49,'Data Base'!$X$36)),I49*1*1.2*0.75,IF(AND(EXACT(G49,'Data Base'!$T$36),OR(EXACT(H49,'Data Base'!$V$36),EXACT(H49,'Data Base'!$V$35)),EXACT(K49,'Data Base'!$X$37)),I49*1*1*0.5,IF(AND(EXACT(G49,'Data Base'!$T$36),EXACT(H49,'Data Base'!$V$37),EXACT(K49,'Data Base'!$X$37)),I49*1*0.5*0.5,IF(AND(EXACT(G49,'Data Base'!$T$36),EXACT(H49,'Data Base'!$V$38),EXACT(K49,'Data Base'!$X$37)),I49*1*1.2*0.5,IF(AND(EXACT(G49,'Data Base'!$T$37),OR(EXACT(H49,'Data Base'!$V$36),EXACT(H49,'Data Base'!$V$35)),EXACT(K49,'Data Base'!$X$35)),I49*1.25*1*1,IF(AND(EXACT(G49,'Data Base'!$T$37),EXACT(H49,'Data Base'!$V$37),EXACT(K49,'Data Base'!$X$35)),I49*1.25*0.5*1,IF(AND(EXACT(G49,'Data Base'!$T$37),EXACT(H49,'Data Base'!$V$38),EXACT(K49,'Data Base'!$X$35)),I49*1.25*1.2*1,IF(AND(EXACT(G49,'Data Base'!$T$37),OR(EXACT(H49,'Data Base'!$V$36),EXACT(H49,'Data Base'!$V$35)),EXACT(K49,'Data Base'!$X$36)),I49*1.25*1*0.75,IF(AND(EXACT(G49,'Data Base'!$T$37),EXACT(H49,'Data Base'!$V$37),EXACT(K49,'Data Base'!$X$36)),I49*1.25*0.5*0.75,IF(AND(EXACT(G49,'Data Base'!$T$37),EXACT(H49,'Data Base'!$V$38),EXACT(K49,'Data Base'!$X$36)),I49*1.25*1.2*0.75,IF(AND(EXACT(G49,'Data Base'!$T$37),OR(EXACT(H49,'Data Base'!$V$36),EXACT(H49,'Data Base'!$V$35)),EXACT(K49,'Data Base'!$X$37)),I49*1.25*1*0.5,IF(AND(EXACT(G49,'Data Base'!$T$37),EXACT(H49,'Data Base'!$V$37),EXACT(K49,'Data Base'!$X$37)),I49*1.25*0.5*0.5,IF(AND(EXACT(G49,'Data Base'!$T$37),EXACT(H49,'Data Base'!$V$38),EXACT(K49,'Data Base'!$X$37)),I49*1.25*1.2*0.5))))))))))))))))))))))))))),"")</f>
        <v/>
      </c>
    </row>
    <row r="50" spans="1:13" ht="21" customHeight="1">
      <c r="A50" s="99">
        <v>14</v>
      </c>
      <c r="B50" s="1349" t="str">
        <f t="shared" si="4"/>
        <v/>
      </c>
      <c r="C50" s="1350"/>
      <c r="D50" s="148" t="str">
        <f t="shared" si="5"/>
        <v/>
      </c>
      <c r="E50" s="1351"/>
      <c r="F50" s="1352"/>
      <c r="G50" s="165"/>
      <c r="H50" s="140"/>
      <c r="I50" s="4"/>
      <c r="J50" s="4"/>
      <c r="K50" s="140"/>
      <c r="L50" s="4" t="s">
        <v>652</v>
      </c>
      <c r="M50" s="166" t="str">
        <f>IF(AND(NOT(EXACT(D50,"")),NOT(EXACT(G50,"")),NOT(EXACT(E50,"")),NOT(EXACT(B50,"")),NOT(EXACT(I50,"")),NOT(EXACT(H50,""))),IF(AND(EXACT(G50,'Data Base'!$T$35),OR(EXACT(H50,'Data Base'!$V$36),EXACT(H50,'Data Base'!$V$35)),EXACT(K50,'Data Base'!$X$35)),I50*0.5*1*1,IF(AND(EXACT(G50,'Data Base'!$T$35),EXACT(H50,'Data Base'!$V$37),EXACT(K50,'Data Base'!$X$35)),I50*0.5*0.5*1,IF(AND(EXACT(G50,'Data Base'!$T$35),EXACT(H50,'Data Base'!$V$38),EXACT(K50,'Data Base'!$X$35)),I50*0.5*1.2*1,IF(AND(EXACT(G50,'Data Base'!$T$35),OR(EXACT(H50,'Data Base'!$V$36),EXACT(H50,'Data Base'!$V$35)),EXACT(K50,'Data Base'!$X$36)),I50*0.5*1*0.75,IF(AND(EXACT(G50,'Data Base'!$T$35),EXACT(H50,'Data Base'!$V$37),EXACT(K50,'Data Base'!$X$36)),I50*0.5*0.5*0.75,IF(AND(EXACT(G50,'Data Base'!$T$35),EXACT(H50,'Data Base'!$V$38),EXACT(K50,'Data Base'!$X$36)),I50*0.5*1.2*0.75,IF(AND(EXACT(G50,'Data Base'!$T$35),OR(EXACT(H50,'Data Base'!$V$36),EXACT(H50,'Data Base'!$V$35)),EXACT(K50,'Data Base'!$X$37)),I50*0.5*1*0.5,IF(AND(EXACT(G50,'Data Base'!$T$35),EXACT(H50,'Data Base'!$V$37),EXACT(K50,'Data Base'!$X$37)),I50*0.5*0.5*0.5,IF(AND(EXACT(G50,'Data Base'!$T$35),EXACT(H50,'Data Base'!$V$38),EXACT(K50,'Data Base'!$X$37)),I50*0.5*1.2*0.5,IF(AND(EXACT(G50,'Data Base'!$T$36),OR(EXACT(H50,'Data Base'!$V$36),EXACT(H50,'Data Base'!$V$35)),EXACT(K50,'Data Base'!$X$35)),I50*1*1*1,IF(AND(EXACT(G50,'Data Base'!$T$36),EXACT(H50,'Data Base'!$V$37),EXACT(K50,'Data Base'!$X$35)),I50*1*0.5*1,IF(AND(EXACT(G50,'Data Base'!$T$36),EXACT(H50,'Data Base'!$V$38),EXACT(K50,'Data Base'!$X$35)),I50*1*1.2*1,IF(AND(EXACT(G50,'Data Base'!$T$36),OR(EXACT(H50,'Data Base'!$V$36),EXACT(H50,'Data Base'!$V$35)),EXACT(K50,'Data Base'!$X$36)),I50*1*1*0.75,IF(AND(EXACT(G50,'Data Base'!$T$36),EXACT(H50,'Data Base'!$V$37),EXACT(K50,'Data Base'!$X$36)),I50*1*0.5*0.75,IF(AND(EXACT(G50,'Data Base'!$T$36),EXACT(H50,'Data Base'!$V$38),EXACT(K50,'Data Base'!$X$36)),I50*1*1.2*0.75,IF(AND(EXACT(G50,'Data Base'!$T$36),OR(EXACT(H50,'Data Base'!$V$36),EXACT(H50,'Data Base'!$V$35)),EXACT(K50,'Data Base'!$X$37)),I50*1*1*0.5,IF(AND(EXACT(G50,'Data Base'!$T$36),EXACT(H50,'Data Base'!$V$37),EXACT(K50,'Data Base'!$X$37)),I50*1*0.5*0.5,IF(AND(EXACT(G50,'Data Base'!$T$36),EXACT(H50,'Data Base'!$V$38),EXACT(K50,'Data Base'!$X$37)),I50*1*1.2*0.5,IF(AND(EXACT(G50,'Data Base'!$T$37),OR(EXACT(H50,'Data Base'!$V$36),EXACT(H50,'Data Base'!$V$35)),EXACT(K50,'Data Base'!$X$35)),I50*1.25*1*1,IF(AND(EXACT(G50,'Data Base'!$T$37),EXACT(H50,'Data Base'!$V$37),EXACT(K50,'Data Base'!$X$35)),I50*1.25*0.5*1,IF(AND(EXACT(G50,'Data Base'!$T$37),EXACT(H50,'Data Base'!$V$38),EXACT(K50,'Data Base'!$X$35)),I50*1.25*1.2*1,IF(AND(EXACT(G50,'Data Base'!$T$37),OR(EXACT(H50,'Data Base'!$V$36),EXACT(H50,'Data Base'!$V$35)),EXACT(K50,'Data Base'!$X$36)),I50*1.25*1*0.75,IF(AND(EXACT(G50,'Data Base'!$T$37),EXACT(H50,'Data Base'!$V$37),EXACT(K50,'Data Base'!$X$36)),I50*1.25*0.5*0.75,IF(AND(EXACT(G50,'Data Base'!$T$37),EXACT(H50,'Data Base'!$V$38),EXACT(K50,'Data Base'!$X$36)),I50*1.25*1.2*0.75,IF(AND(EXACT(G50,'Data Base'!$T$37),OR(EXACT(H50,'Data Base'!$V$36),EXACT(H50,'Data Base'!$V$35)),EXACT(K50,'Data Base'!$X$37)),I50*1.25*1*0.5,IF(AND(EXACT(G50,'Data Base'!$T$37),EXACT(H50,'Data Base'!$V$37),EXACT(K50,'Data Base'!$X$37)),I50*1.25*0.5*0.5,IF(AND(EXACT(G50,'Data Base'!$T$37),EXACT(H50,'Data Base'!$V$38),EXACT(K50,'Data Base'!$X$37)),I50*1.25*1.2*0.5))))))))))))))))))))))))))),"")</f>
        <v/>
      </c>
    </row>
    <row r="51" spans="1:13" ht="21" customHeight="1" thickBot="1">
      <c r="A51" s="106">
        <v>15</v>
      </c>
      <c r="B51" s="1355" t="str">
        <f t="shared" si="4"/>
        <v/>
      </c>
      <c r="C51" s="1356"/>
      <c r="D51" s="107" t="str">
        <f t="shared" si="5"/>
        <v/>
      </c>
      <c r="E51" s="1357"/>
      <c r="F51" s="1358"/>
      <c r="G51" s="167"/>
      <c r="H51" s="108"/>
      <c r="I51" s="105"/>
      <c r="J51" s="105"/>
      <c r="K51" s="108"/>
      <c r="L51" s="105" t="s">
        <v>652</v>
      </c>
      <c r="M51" s="168" t="str">
        <f>IF(AND(NOT(EXACT(D51,"")),NOT(EXACT(G51,"")),NOT(EXACT(E51,"")),NOT(EXACT(B51,"")),NOT(EXACT(I51,"")),NOT(EXACT(H51,""))),IF(AND(EXACT(G51,'Data Base'!$T$35),OR(EXACT(H51,'Data Base'!$V$36),EXACT(H51,'Data Base'!$V$35)),EXACT(K51,'Data Base'!$X$35)),I51*0.5*1*1,IF(AND(EXACT(G51,'Data Base'!$T$35),EXACT(H51,'Data Base'!$V$37),EXACT(K51,'Data Base'!$X$35)),I51*0.5*0.5*1,IF(AND(EXACT(G51,'Data Base'!$T$35),EXACT(H51,'Data Base'!$V$38),EXACT(K51,'Data Base'!$X$35)),I51*0.5*1.2*1,IF(AND(EXACT(G51,'Data Base'!$T$35),OR(EXACT(H51,'Data Base'!$V$36),EXACT(H51,'Data Base'!$V$35)),EXACT(K51,'Data Base'!$X$36)),I51*0.5*1*0.75,IF(AND(EXACT(G51,'Data Base'!$T$35),EXACT(H51,'Data Base'!$V$37),EXACT(K51,'Data Base'!$X$36)),I51*0.5*0.5*0.75,IF(AND(EXACT(G51,'Data Base'!$T$35),EXACT(H51,'Data Base'!$V$38),EXACT(K51,'Data Base'!$X$36)),I51*0.5*1.2*0.75,IF(AND(EXACT(G51,'Data Base'!$T$35),OR(EXACT(H51,'Data Base'!$V$36),EXACT(H51,'Data Base'!$V$35)),EXACT(K51,'Data Base'!$X$37)),I51*0.5*1*0.5,IF(AND(EXACT(G51,'Data Base'!$T$35),EXACT(H51,'Data Base'!$V$37),EXACT(K51,'Data Base'!$X$37)),I51*0.5*0.5*0.5,IF(AND(EXACT(G51,'Data Base'!$T$35),EXACT(H51,'Data Base'!$V$38),EXACT(K51,'Data Base'!$X$37)),I51*0.5*1.2*0.5,IF(AND(EXACT(G51,'Data Base'!$T$36),OR(EXACT(H51,'Data Base'!$V$36),EXACT(H51,'Data Base'!$V$35)),EXACT(K51,'Data Base'!$X$35)),I51*1*1*1,IF(AND(EXACT(G51,'Data Base'!$T$36),EXACT(H51,'Data Base'!$V$37),EXACT(K51,'Data Base'!$X$35)),I51*1*0.5*1,IF(AND(EXACT(G51,'Data Base'!$T$36),EXACT(H51,'Data Base'!$V$38),EXACT(K51,'Data Base'!$X$35)),I51*1*1.2*1,IF(AND(EXACT(G51,'Data Base'!$T$36),OR(EXACT(H51,'Data Base'!$V$36),EXACT(H51,'Data Base'!$V$35)),EXACT(K51,'Data Base'!$X$36)),I51*1*1*0.75,IF(AND(EXACT(G51,'Data Base'!$T$36),EXACT(H51,'Data Base'!$V$37),EXACT(K51,'Data Base'!$X$36)),I51*1*0.5*0.75,IF(AND(EXACT(G51,'Data Base'!$T$36),EXACT(H51,'Data Base'!$V$38),EXACT(K51,'Data Base'!$X$36)),I51*1*1.2*0.75,IF(AND(EXACT(G51,'Data Base'!$T$36),OR(EXACT(H51,'Data Base'!$V$36),EXACT(H51,'Data Base'!$V$35)),EXACT(K51,'Data Base'!$X$37)),I51*1*1*0.5,IF(AND(EXACT(G51,'Data Base'!$T$36),EXACT(H51,'Data Base'!$V$37),EXACT(K51,'Data Base'!$X$37)),I51*1*0.5*0.5,IF(AND(EXACT(G51,'Data Base'!$T$36),EXACT(H51,'Data Base'!$V$38),EXACT(K51,'Data Base'!$X$37)),I51*1*1.2*0.5,IF(AND(EXACT(G51,'Data Base'!$T$37),OR(EXACT(H51,'Data Base'!$V$36),EXACT(H51,'Data Base'!$V$35)),EXACT(K51,'Data Base'!$X$35)),I51*1.25*1*1,IF(AND(EXACT(G51,'Data Base'!$T$37),EXACT(H51,'Data Base'!$V$37),EXACT(K51,'Data Base'!$X$35)),I51*1.25*0.5*1,IF(AND(EXACT(G51,'Data Base'!$T$37),EXACT(H51,'Data Base'!$V$38),EXACT(K51,'Data Base'!$X$35)),I51*1.25*1.2*1,IF(AND(EXACT(G51,'Data Base'!$T$37),OR(EXACT(H51,'Data Base'!$V$36),EXACT(H51,'Data Base'!$V$35)),EXACT(K51,'Data Base'!$X$36)),I51*1.25*1*0.75,IF(AND(EXACT(G51,'Data Base'!$T$37),EXACT(H51,'Data Base'!$V$37),EXACT(K51,'Data Base'!$X$36)),I51*1.25*0.5*0.75,IF(AND(EXACT(G51,'Data Base'!$T$37),EXACT(H51,'Data Base'!$V$38),EXACT(K51,'Data Base'!$X$36)),I51*1.25*1.2*0.75,IF(AND(EXACT(G51,'Data Base'!$T$37),OR(EXACT(H51,'Data Base'!$V$36),EXACT(H51,'Data Base'!$V$35)),EXACT(K51,'Data Base'!$X$37)),I51*1.25*1*0.5,IF(AND(EXACT(G51,'Data Base'!$T$37),EXACT(H51,'Data Base'!$V$37),EXACT(K51,'Data Base'!$X$37)),I51*1.25*0.5*0.5,IF(AND(EXACT(G51,'Data Base'!$T$37),EXACT(H51,'Data Base'!$V$38),EXACT(K51,'Data Base'!$X$37)),I51*1.25*1.2*0.5))))))))))))))))))))))))))),"")</f>
        <v/>
      </c>
    </row>
    <row r="52" spans="1:13" ht="21" customHeight="1" thickBot="1">
      <c r="A52" s="1359" t="s">
        <v>653</v>
      </c>
      <c r="B52" s="1360"/>
      <c r="C52" s="1360"/>
      <c r="D52" s="1360"/>
      <c r="E52" s="1360"/>
      <c r="F52" s="1360"/>
      <c r="G52" s="1360"/>
      <c r="H52" s="1360"/>
      <c r="I52" s="109">
        <f>B37</f>
        <v>0</v>
      </c>
      <c r="J52" s="109">
        <f>D37</f>
        <v>0</v>
      </c>
      <c r="K52" s="1361"/>
      <c r="L52" s="1362"/>
      <c r="M52" s="110">
        <f>IF(SUM(M37:M51)&gt;5,5,SUM(M37:M51))</f>
        <v>0</v>
      </c>
    </row>
    <row r="53" spans="1:13" ht="21" customHeight="1">
      <c r="A53" s="97">
        <v>1</v>
      </c>
      <c r="B53" s="1363"/>
      <c r="C53" s="1364"/>
      <c r="D53" s="104"/>
      <c r="E53" s="1353"/>
      <c r="F53" s="1354"/>
      <c r="G53" s="169"/>
      <c r="H53" s="104"/>
      <c r="I53" s="98"/>
      <c r="J53" s="98"/>
      <c r="K53" s="104"/>
      <c r="L53" s="98" t="s">
        <v>652</v>
      </c>
      <c r="M53" s="166" t="str">
        <f>IF(AND(NOT(EXACT(D53,"")),NOT(EXACT(G53,"")),NOT(EXACT(E53,"")),NOT(EXACT(B53,"")),NOT(EXACT(I53,"")),NOT(EXACT(H53,""))),IF(AND(EXACT(G53,'Data Base'!$T$35),OR(EXACT(H53,'Data Base'!$V$36),EXACT(H53,'Data Base'!$V$35)),EXACT(K53,'Data Base'!$X$35)),I53*0.5*1*1,IF(AND(EXACT(G53,'Data Base'!$T$35),EXACT(H53,'Data Base'!$V$37),EXACT(K53,'Data Base'!$X$35)),I53*0.5*0.5*1,IF(AND(EXACT(G53,'Data Base'!$T$35),EXACT(H53,'Data Base'!$V$38),EXACT(K53,'Data Base'!$X$35)),I53*0.5*1.2*1,IF(AND(EXACT(G53,'Data Base'!$T$35),OR(EXACT(H53,'Data Base'!$V$36),EXACT(H53,'Data Base'!$V$35)),EXACT(K53,'Data Base'!$X$36)),I53*0.5*1*0.75,IF(AND(EXACT(G53,'Data Base'!$T$35),EXACT(H53,'Data Base'!$V$37),EXACT(K53,'Data Base'!$X$36)),I53*0.5*0.5*0.75,IF(AND(EXACT(G53,'Data Base'!$T$35),EXACT(H53,'Data Base'!$V$38),EXACT(K53,'Data Base'!$X$36)),I53*0.5*1.2*0.75,IF(AND(EXACT(G53,'Data Base'!$T$35),OR(EXACT(H53,'Data Base'!$V$36),EXACT(H53,'Data Base'!$V$35)),EXACT(K53,'Data Base'!$X$37)),I53*0.5*1*0.5,IF(AND(EXACT(G53,'Data Base'!$T$35),EXACT(H53,'Data Base'!$V$37),EXACT(K53,'Data Base'!$X$37)),I53*0.5*0.5*0.5,IF(AND(EXACT(G53,'Data Base'!$T$35),EXACT(H53,'Data Base'!$V$38),EXACT(K53,'Data Base'!$X$37)),I53*0.5*1.2*0.5,IF(AND(EXACT(G53,'Data Base'!$T$36),OR(EXACT(H53,'Data Base'!$V$36),EXACT(H53,'Data Base'!$V$35)),EXACT(K53,'Data Base'!$X$35)),I53*1*1*1,IF(AND(EXACT(G53,'Data Base'!$T$36),EXACT(H53,'Data Base'!$V$37),EXACT(K53,'Data Base'!$X$35)),I53*1*0.5*1,IF(AND(EXACT(G53,'Data Base'!$T$36),EXACT(H53,'Data Base'!$V$38),EXACT(K53,'Data Base'!$X$35)),I53*1*1.2*1,IF(AND(EXACT(G53,'Data Base'!$T$36),OR(EXACT(H53,'Data Base'!$V$36),EXACT(H53,'Data Base'!$V$35)),EXACT(K53,'Data Base'!$X$36)),I53*1*1*0.75,IF(AND(EXACT(G53,'Data Base'!$T$36),EXACT(H53,'Data Base'!$V$37),EXACT(K53,'Data Base'!$X$36)),I53*1*0.5*0.75,IF(AND(EXACT(G53,'Data Base'!$T$36),EXACT(H53,'Data Base'!$V$38),EXACT(K53,'Data Base'!$X$36)),I53*1*1.2*0.75,IF(AND(EXACT(G53,'Data Base'!$T$36),OR(EXACT(H53,'Data Base'!$V$36),EXACT(H53,'Data Base'!$V$35)),EXACT(K53,'Data Base'!$X$37)),I53*1*1*0.5,IF(AND(EXACT(G53,'Data Base'!$T$36),EXACT(H53,'Data Base'!$V$37),EXACT(K53,'Data Base'!$X$37)),I53*1*0.5*0.5,IF(AND(EXACT(G53,'Data Base'!$T$36),EXACT(H53,'Data Base'!$V$38),EXACT(K53,'Data Base'!$X$37)),I53*1*1.2*0.5,IF(AND(EXACT(G53,'Data Base'!$T$37),OR(EXACT(H53,'Data Base'!$V$36),EXACT(H53,'Data Base'!$V$35)),EXACT(K53,'Data Base'!$X$35)),I53*1.25*1*1,IF(AND(EXACT(G53,'Data Base'!$T$37),EXACT(H53,'Data Base'!$V$37),EXACT(K53,'Data Base'!$X$35)),I53*1.25*0.5*1,IF(AND(EXACT(G53,'Data Base'!$T$37),EXACT(H53,'Data Base'!$V$38),EXACT(K53,'Data Base'!$X$35)),I53*1.25*1.2*1,IF(AND(EXACT(G53,'Data Base'!$T$37),OR(EXACT(H53,'Data Base'!$V$36),EXACT(H53,'Data Base'!$V$35)),EXACT(K53,'Data Base'!$X$36)),I53*1.25*1*0.75,IF(AND(EXACT(G53,'Data Base'!$T$37),EXACT(H53,'Data Base'!$V$37),EXACT(K53,'Data Base'!$X$36)),I53*1.25*0.5*0.75,IF(AND(EXACT(G53,'Data Base'!$T$37),EXACT(H53,'Data Base'!$V$38),EXACT(K53,'Data Base'!$X$36)),I53*1.25*1.2*0.75,IF(AND(EXACT(G53,'Data Base'!$T$37),OR(EXACT(H53,'Data Base'!$V$36),EXACT(H53,'Data Base'!$V$35)),EXACT(K53,'Data Base'!$X$37)),I53*1.25*1*0.5,IF(AND(EXACT(G53,'Data Base'!$T$37),EXACT(H53,'Data Base'!$V$37),EXACT(K53,'Data Base'!$X$37)),I53*1.25*0.5*0.5,IF(AND(EXACT(G53,'Data Base'!$T$37),EXACT(H53,'Data Base'!$V$38),EXACT(K53,'Data Base'!$X$37)),I53*1.25*1.2*0.5))))))))))))))))))))))))))),"")</f>
        <v/>
      </c>
    </row>
    <row r="54" spans="1:13" ht="21" customHeight="1">
      <c r="A54" s="99">
        <v>2</v>
      </c>
      <c r="B54" s="1349" t="str">
        <f t="shared" ref="B54:B67" si="6">IF(NOT(EXACT(D54,"")),B53,"")</f>
        <v/>
      </c>
      <c r="C54" s="1350"/>
      <c r="D54" s="148" t="str">
        <f t="shared" ref="D54:D67" si="7">IF(NOT(EXACT(E54,"")),D53,"")</f>
        <v/>
      </c>
      <c r="E54" s="1365"/>
      <c r="F54" s="1365"/>
      <c r="G54" s="165"/>
      <c r="H54" s="140"/>
      <c r="I54" s="4"/>
      <c r="J54" s="4"/>
      <c r="K54" s="140"/>
      <c r="L54" s="4" t="s">
        <v>652</v>
      </c>
      <c r="M54" s="166" t="str">
        <f>IF(AND(NOT(EXACT(D54,"")),NOT(EXACT(G54,"")),NOT(EXACT(E54,"")),NOT(EXACT(B54,"")),NOT(EXACT(I54,"")),NOT(EXACT(H54,""))),IF(AND(EXACT(G54,'Data Base'!$T$35),OR(EXACT(H54,'Data Base'!$V$36),EXACT(H54,'Data Base'!$V$35)),EXACT(K54,'Data Base'!$X$35)),I54*0.5*1*1,IF(AND(EXACT(G54,'Data Base'!$T$35),EXACT(H54,'Data Base'!$V$37),EXACT(K54,'Data Base'!$X$35)),I54*0.5*0.5*1,IF(AND(EXACT(G54,'Data Base'!$T$35),EXACT(H54,'Data Base'!$V$38),EXACT(K54,'Data Base'!$X$35)),I54*0.5*1.2*1,IF(AND(EXACT(G54,'Data Base'!$T$35),OR(EXACT(H54,'Data Base'!$V$36),EXACT(H54,'Data Base'!$V$35)),EXACT(K54,'Data Base'!$X$36)),I54*0.5*1*0.75,IF(AND(EXACT(G54,'Data Base'!$T$35),EXACT(H54,'Data Base'!$V$37),EXACT(K54,'Data Base'!$X$36)),I54*0.5*0.5*0.75,IF(AND(EXACT(G54,'Data Base'!$T$35),EXACT(H54,'Data Base'!$V$38),EXACT(K54,'Data Base'!$X$36)),I54*0.5*1.2*0.75,IF(AND(EXACT(G54,'Data Base'!$T$35),OR(EXACT(H54,'Data Base'!$V$36),EXACT(H54,'Data Base'!$V$35)),EXACT(K54,'Data Base'!$X$37)),I54*0.5*1*0.5,IF(AND(EXACT(G54,'Data Base'!$T$35),EXACT(H54,'Data Base'!$V$37),EXACT(K54,'Data Base'!$X$37)),I54*0.5*0.5*0.5,IF(AND(EXACT(G54,'Data Base'!$T$35),EXACT(H54,'Data Base'!$V$38),EXACT(K54,'Data Base'!$X$37)),I54*0.5*1.2*0.5,IF(AND(EXACT(G54,'Data Base'!$T$36),OR(EXACT(H54,'Data Base'!$V$36),EXACT(H54,'Data Base'!$V$35)),EXACT(K54,'Data Base'!$X$35)),I54*1*1*1,IF(AND(EXACT(G54,'Data Base'!$T$36),EXACT(H54,'Data Base'!$V$37),EXACT(K54,'Data Base'!$X$35)),I54*1*0.5*1,IF(AND(EXACT(G54,'Data Base'!$T$36),EXACT(H54,'Data Base'!$V$38),EXACT(K54,'Data Base'!$X$35)),I54*1*1.2*1,IF(AND(EXACT(G54,'Data Base'!$T$36),OR(EXACT(H54,'Data Base'!$V$36),EXACT(H54,'Data Base'!$V$35)),EXACT(K54,'Data Base'!$X$36)),I54*1*1*0.75,IF(AND(EXACT(G54,'Data Base'!$T$36),EXACT(H54,'Data Base'!$V$37),EXACT(K54,'Data Base'!$X$36)),I54*1*0.5*0.75,IF(AND(EXACT(G54,'Data Base'!$T$36),EXACT(H54,'Data Base'!$V$38),EXACT(K54,'Data Base'!$X$36)),I54*1*1.2*0.75,IF(AND(EXACT(G54,'Data Base'!$T$36),OR(EXACT(H54,'Data Base'!$V$36),EXACT(H54,'Data Base'!$V$35)),EXACT(K54,'Data Base'!$X$37)),I54*1*1*0.5,IF(AND(EXACT(G54,'Data Base'!$T$36),EXACT(H54,'Data Base'!$V$37),EXACT(K54,'Data Base'!$X$37)),I54*1*0.5*0.5,IF(AND(EXACT(G54,'Data Base'!$T$36),EXACT(H54,'Data Base'!$V$38),EXACT(K54,'Data Base'!$X$37)),I54*1*1.2*0.5,IF(AND(EXACT(G54,'Data Base'!$T$37),OR(EXACT(H54,'Data Base'!$V$36),EXACT(H54,'Data Base'!$V$35)),EXACT(K54,'Data Base'!$X$35)),I54*1.25*1*1,IF(AND(EXACT(G54,'Data Base'!$T$37),EXACT(H54,'Data Base'!$V$37),EXACT(K54,'Data Base'!$X$35)),I54*1.25*0.5*1,IF(AND(EXACT(G54,'Data Base'!$T$37),EXACT(H54,'Data Base'!$V$38),EXACT(K54,'Data Base'!$X$35)),I54*1.25*1.2*1,IF(AND(EXACT(G54,'Data Base'!$T$37),OR(EXACT(H54,'Data Base'!$V$36),EXACT(H54,'Data Base'!$V$35)),EXACT(K54,'Data Base'!$X$36)),I54*1.25*1*0.75,IF(AND(EXACT(G54,'Data Base'!$T$37),EXACT(H54,'Data Base'!$V$37),EXACT(K54,'Data Base'!$X$36)),I54*1.25*0.5*0.75,IF(AND(EXACT(G54,'Data Base'!$T$37),EXACT(H54,'Data Base'!$V$38),EXACT(K54,'Data Base'!$X$36)),I54*1.25*1.2*0.75,IF(AND(EXACT(G54,'Data Base'!$T$37),OR(EXACT(H54,'Data Base'!$V$36),EXACT(H54,'Data Base'!$V$35)),EXACT(K54,'Data Base'!$X$37)),I54*1.25*1*0.5,IF(AND(EXACT(G54,'Data Base'!$T$37),EXACT(H54,'Data Base'!$V$37),EXACT(K54,'Data Base'!$X$37)),I54*1.25*0.5*0.5,IF(AND(EXACT(G54,'Data Base'!$T$37),EXACT(H54,'Data Base'!$V$38),EXACT(K54,'Data Base'!$X$37)),I54*1.25*1.2*0.5))))))))))))))))))))))))))),"")</f>
        <v/>
      </c>
    </row>
    <row r="55" spans="1:13" ht="21" customHeight="1">
      <c r="A55" s="99">
        <v>3</v>
      </c>
      <c r="B55" s="1349" t="str">
        <f t="shared" si="6"/>
        <v/>
      </c>
      <c r="C55" s="1350"/>
      <c r="D55" s="148" t="str">
        <f t="shared" si="7"/>
        <v/>
      </c>
      <c r="E55" s="1351"/>
      <c r="F55" s="1352"/>
      <c r="G55" s="165"/>
      <c r="H55" s="140"/>
      <c r="I55" s="4"/>
      <c r="J55" s="4"/>
      <c r="K55" s="140"/>
      <c r="L55" s="4" t="s">
        <v>652</v>
      </c>
      <c r="M55" s="166" t="str">
        <f>IF(AND(NOT(EXACT(D55,"")),NOT(EXACT(G55,"")),NOT(EXACT(E55,"")),NOT(EXACT(B55,"")),NOT(EXACT(I55,"")),NOT(EXACT(H55,""))),IF(AND(EXACT(G55,'Data Base'!$T$35),OR(EXACT(H55,'Data Base'!$V$36),EXACT(H55,'Data Base'!$V$35)),EXACT(K55,'Data Base'!$X$35)),I55*0.5*1*1,IF(AND(EXACT(G55,'Data Base'!$T$35),EXACT(H55,'Data Base'!$V$37),EXACT(K55,'Data Base'!$X$35)),I55*0.5*0.5*1,IF(AND(EXACT(G55,'Data Base'!$T$35),EXACT(H55,'Data Base'!$V$38),EXACT(K55,'Data Base'!$X$35)),I55*0.5*1.2*1,IF(AND(EXACT(G55,'Data Base'!$T$35),OR(EXACT(H55,'Data Base'!$V$36),EXACT(H55,'Data Base'!$V$35)),EXACT(K55,'Data Base'!$X$36)),I55*0.5*1*0.75,IF(AND(EXACT(G55,'Data Base'!$T$35),EXACT(H55,'Data Base'!$V$37),EXACT(K55,'Data Base'!$X$36)),I55*0.5*0.5*0.75,IF(AND(EXACT(G55,'Data Base'!$T$35),EXACT(H55,'Data Base'!$V$38),EXACT(K55,'Data Base'!$X$36)),I55*0.5*1.2*0.75,IF(AND(EXACT(G55,'Data Base'!$T$35),OR(EXACT(H55,'Data Base'!$V$36),EXACT(H55,'Data Base'!$V$35)),EXACT(K55,'Data Base'!$X$37)),I55*0.5*1*0.5,IF(AND(EXACT(G55,'Data Base'!$T$35),EXACT(H55,'Data Base'!$V$37),EXACT(K55,'Data Base'!$X$37)),I55*0.5*0.5*0.5,IF(AND(EXACT(G55,'Data Base'!$T$35),EXACT(H55,'Data Base'!$V$38),EXACT(K55,'Data Base'!$X$37)),I55*0.5*1.2*0.5,IF(AND(EXACT(G55,'Data Base'!$T$36),OR(EXACT(H55,'Data Base'!$V$36),EXACT(H55,'Data Base'!$V$35)),EXACT(K55,'Data Base'!$X$35)),I55*1*1*1,IF(AND(EXACT(G55,'Data Base'!$T$36),EXACT(H55,'Data Base'!$V$37),EXACT(K55,'Data Base'!$X$35)),I55*1*0.5*1,IF(AND(EXACT(G55,'Data Base'!$T$36),EXACT(H55,'Data Base'!$V$38),EXACT(K55,'Data Base'!$X$35)),I55*1*1.2*1,IF(AND(EXACT(G55,'Data Base'!$T$36),OR(EXACT(H55,'Data Base'!$V$36),EXACT(H55,'Data Base'!$V$35)),EXACT(K55,'Data Base'!$X$36)),I55*1*1*0.75,IF(AND(EXACT(G55,'Data Base'!$T$36),EXACT(H55,'Data Base'!$V$37),EXACT(K55,'Data Base'!$X$36)),I55*1*0.5*0.75,IF(AND(EXACT(G55,'Data Base'!$T$36),EXACT(H55,'Data Base'!$V$38),EXACT(K55,'Data Base'!$X$36)),I55*1*1.2*0.75,IF(AND(EXACT(G55,'Data Base'!$T$36),OR(EXACT(H55,'Data Base'!$V$36),EXACT(H55,'Data Base'!$V$35)),EXACT(K55,'Data Base'!$X$37)),I55*1*1*0.5,IF(AND(EXACT(G55,'Data Base'!$T$36),EXACT(H55,'Data Base'!$V$37),EXACT(K55,'Data Base'!$X$37)),I55*1*0.5*0.5,IF(AND(EXACT(G55,'Data Base'!$T$36),EXACT(H55,'Data Base'!$V$38),EXACT(K55,'Data Base'!$X$37)),I55*1*1.2*0.5,IF(AND(EXACT(G55,'Data Base'!$T$37),OR(EXACT(H55,'Data Base'!$V$36),EXACT(H55,'Data Base'!$V$35)),EXACT(K55,'Data Base'!$X$35)),I55*1.25*1*1,IF(AND(EXACT(G55,'Data Base'!$T$37),EXACT(H55,'Data Base'!$V$37),EXACT(K55,'Data Base'!$X$35)),I55*1.25*0.5*1,IF(AND(EXACT(G55,'Data Base'!$T$37),EXACT(H55,'Data Base'!$V$38),EXACT(K55,'Data Base'!$X$35)),I55*1.25*1.2*1,IF(AND(EXACT(G55,'Data Base'!$T$37),OR(EXACT(H55,'Data Base'!$V$36),EXACT(H55,'Data Base'!$V$35)),EXACT(K55,'Data Base'!$X$36)),I55*1.25*1*0.75,IF(AND(EXACT(G55,'Data Base'!$T$37),EXACT(H55,'Data Base'!$V$37),EXACT(K55,'Data Base'!$X$36)),I55*1.25*0.5*0.75,IF(AND(EXACT(G55,'Data Base'!$T$37),EXACT(H55,'Data Base'!$V$38),EXACT(K55,'Data Base'!$X$36)),I55*1.25*1.2*0.75,IF(AND(EXACT(G55,'Data Base'!$T$37),OR(EXACT(H55,'Data Base'!$V$36),EXACT(H55,'Data Base'!$V$35)),EXACT(K55,'Data Base'!$X$37)),I55*1.25*1*0.5,IF(AND(EXACT(G55,'Data Base'!$T$37),EXACT(H55,'Data Base'!$V$37),EXACT(K55,'Data Base'!$X$37)),I55*1.25*0.5*0.5,IF(AND(EXACT(G55,'Data Base'!$T$37),EXACT(H55,'Data Base'!$V$38),EXACT(K55,'Data Base'!$X$37)),I55*1.25*1.2*0.5))))))))))))))))))))))))))),"")</f>
        <v/>
      </c>
    </row>
    <row r="56" spans="1:13" ht="21" customHeight="1">
      <c r="A56" s="97">
        <v>4</v>
      </c>
      <c r="B56" s="1349" t="str">
        <f t="shared" si="6"/>
        <v/>
      </c>
      <c r="C56" s="1350"/>
      <c r="D56" s="148" t="str">
        <f t="shared" si="7"/>
        <v/>
      </c>
      <c r="E56" s="1351"/>
      <c r="F56" s="1352"/>
      <c r="G56" s="165"/>
      <c r="H56" s="140"/>
      <c r="I56" s="4"/>
      <c r="J56" s="4"/>
      <c r="K56" s="140"/>
      <c r="L56" s="4" t="s">
        <v>652</v>
      </c>
      <c r="M56" s="166" t="str">
        <f>IF(AND(NOT(EXACT(D56,"")),NOT(EXACT(G56,"")),NOT(EXACT(E56,"")),NOT(EXACT(B56,"")),NOT(EXACT(I56,"")),NOT(EXACT(H56,""))),IF(AND(EXACT(G56,'Data Base'!$T$35),OR(EXACT(H56,'Data Base'!$V$36),EXACT(H56,'Data Base'!$V$35)),EXACT(K56,'Data Base'!$X$35)),I56*0.5*1*1,IF(AND(EXACT(G56,'Data Base'!$T$35),EXACT(H56,'Data Base'!$V$37),EXACT(K56,'Data Base'!$X$35)),I56*0.5*0.5*1,IF(AND(EXACT(G56,'Data Base'!$T$35),EXACT(H56,'Data Base'!$V$38),EXACT(K56,'Data Base'!$X$35)),I56*0.5*1.2*1,IF(AND(EXACT(G56,'Data Base'!$T$35),OR(EXACT(H56,'Data Base'!$V$36),EXACT(H56,'Data Base'!$V$35)),EXACT(K56,'Data Base'!$X$36)),I56*0.5*1*0.75,IF(AND(EXACT(G56,'Data Base'!$T$35),EXACT(H56,'Data Base'!$V$37),EXACT(K56,'Data Base'!$X$36)),I56*0.5*0.5*0.75,IF(AND(EXACT(G56,'Data Base'!$T$35),EXACT(H56,'Data Base'!$V$38),EXACT(K56,'Data Base'!$X$36)),I56*0.5*1.2*0.75,IF(AND(EXACT(G56,'Data Base'!$T$35),OR(EXACT(H56,'Data Base'!$V$36),EXACT(H56,'Data Base'!$V$35)),EXACT(K56,'Data Base'!$X$37)),I56*0.5*1*0.5,IF(AND(EXACT(G56,'Data Base'!$T$35),EXACT(H56,'Data Base'!$V$37),EXACT(K56,'Data Base'!$X$37)),I56*0.5*0.5*0.5,IF(AND(EXACT(G56,'Data Base'!$T$35),EXACT(H56,'Data Base'!$V$38),EXACT(K56,'Data Base'!$X$37)),I56*0.5*1.2*0.5,IF(AND(EXACT(G56,'Data Base'!$T$36),OR(EXACT(H56,'Data Base'!$V$36),EXACT(H56,'Data Base'!$V$35)),EXACT(K56,'Data Base'!$X$35)),I56*1*1*1,IF(AND(EXACT(G56,'Data Base'!$T$36),EXACT(H56,'Data Base'!$V$37),EXACT(K56,'Data Base'!$X$35)),I56*1*0.5*1,IF(AND(EXACT(G56,'Data Base'!$T$36),EXACT(H56,'Data Base'!$V$38),EXACT(K56,'Data Base'!$X$35)),I56*1*1.2*1,IF(AND(EXACT(G56,'Data Base'!$T$36),OR(EXACT(H56,'Data Base'!$V$36),EXACT(H56,'Data Base'!$V$35)),EXACT(K56,'Data Base'!$X$36)),I56*1*1*0.75,IF(AND(EXACT(G56,'Data Base'!$T$36),EXACT(H56,'Data Base'!$V$37),EXACT(K56,'Data Base'!$X$36)),I56*1*0.5*0.75,IF(AND(EXACT(G56,'Data Base'!$T$36),EXACT(H56,'Data Base'!$V$38),EXACT(K56,'Data Base'!$X$36)),I56*1*1.2*0.75,IF(AND(EXACT(G56,'Data Base'!$T$36),OR(EXACT(H56,'Data Base'!$V$36),EXACT(H56,'Data Base'!$V$35)),EXACT(K56,'Data Base'!$X$37)),I56*1*1*0.5,IF(AND(EXACT(G56,'Data Base'!$T$36),EXACT(H56,'Data Base'!$V$37),EXACT(K56,'Data Base'!$X$37)),I56*1*0.5*0.5,IF(AND(EXACT(G56,'Data Base'!$T$36),EXACT(H56,'Data Base'!$V$38),EXACT(K56,'Data Base'!$X$37)),I56*1*1.2*0.5,IF(AND(EXACT(G56,'Data Base'!$T$37),OR(EXACT(H56,'Data Base'!$V$36),EXACT(H56,'Data Base'!$V$35)),EXACT(K56,'Data Base'!$X$35)),I56*1.25*1*1,IF(AND(EXACT(G56,'Data Base'!$T$37),EXACT(H56,'Data Base'!$V$37),EXACT(K56,'Data Base'!$X$35)),I56*1.25*0.5*1,IF(AND(EXACT(G56,'Data Base'!$T$37),EXACT(H56,'Data Base'!$V$38),EXACT(K56,'Data Base'!$X$35)),I56*1.25*1.2*1,IF(AND(EXACT(G56,'Data Base'!$T$37),OR(EXACT(H56,'Data Base'!$V$36),EXACT(H56,'Data Base'!$V$35)),EXACT(K56,'Data Base'!$X$36)),I56*1.25*1*0.75,IF(AND(EXACT(G56,'Data Base'!$T$37),EXACT(H56,'Data Base'!$V$37),EXACT(K56,'Data Base'!$X$36)),I56*1.25*0.5*0.75,IF(AND(EXACT(G56,'Data Base'!$T$37),EXACT(H56,'Data Base'!$V$38),EXACT(K56,'Data Base'!$X$36)),I56*1.25*1.2*0.75,IF(AND(EXACT(G56,'Data Base'!$T$37),OR(EXACT(H56,'Data Base'!$V$36),EXACT(H56,'Data Base'!$V$35)),EXACT(K56,'Data Base'!$X$37)),I56*1.25*1*0.5,IF(AND(EXACT(G56,'Data Base'!$T$37),EXACT(H56,'Data Base'!$V$37),EXACT(K56,'Data Base'!$X$37)),I56*1.25*0.5*0.5,IF(AND(EXACT(G56,'Data Base'!$T$37),EXACT(H56,'Data Base'!$V$38),EXACT(K56,'Data Base'!$X$37)),I56*1.25*1.2*0.5))))))))))))))))))))))))))),"")</f>
        <v/>
      </c>
    </row>
    <row r="57" spans="1:13" ht="21" customHeight="1">
      <c r="A57" s="99">
        <v>5</v>
      </c>
      <c r="B57" s="1349" t="str">
        <f t="shared" si="6"/>
        <v/>
      </c>
      <c r="C57" s="1350"/>
      <c r="D57" s="148" t="str">
        <f t="shared" si="7"/>
        <v/>
      </c>
      <c r="E57" s="1351"/>
      <c r="F57" s="1352"/>
      <c r="G57" s="165"/>
      <c r="H57" s="140"/>
      <c r="I57" s="4"/>
      <c r="J57" s="4"/>
      <c r="K57" s="140"/>
      <c r="L57" s="4" t="s">
        <v>652</v>
      </c>
      <c r="M57" s="166" t="str">
        <f>IF(AND(NOT(EXACT(D57,"")),NOT(EXACT(G57,"")),NOT(EXACT(E57,"")),NOT(EXACT(B57,"")),NOT(EXACT(I57,"")),NOT(EXACT(H57,""))),IF(AND(EXACT(G57,'Data Base'!$T$35),OR(EXACT(H57,'Data Base'!$V$36),EXACT(H57,'Data Base'!$V$35)),EXACT(K57,'Data Base'!$X$35)),I57*0.5*1*1,IF(AND(EXACT(G57,'Data Base'!$T$35),EXACT(H57,'Data Base'!$V$37),EXACT(K57,'Data Base'!$X$35)),I57*0.5*0.5*1,IF(AND(EXACT(G57,'Data Base'!$T$35),EXACT(H57,'Data Base'!$V$38),EXACT(K57,'Data Base'!$X$35)),I57*0.5*1.2*1,IF(AND(EXACT(G57,'Data Base'!$T$35),OR(EXACT(H57,'Data Base'!$V$36),EXACT(H57,'Data Base'!$V$35)),EXACT(K57,'Data Base'!$X$36)),I57*0.5*1*0.75,IF(AND(EXACT(G57,'Data Base'!$T$35),EXACT(H57,'Data Base'!$V$37),EXACT(K57,'Data Base'!$X$36)),I57*0.5*0.5*0.75,IF(AND(EXACT(G57,'Data Base'!$T$35),EXACT(H57,'Data Base'!$V$38),EXACT(K57,'Data Base'!$X$36)),I57*0.5*1.2*0.75,IF(AND(EXACT(G57,'Data Base'!$T$35),OR(EXACT(H57,'Data Base'!$V$36),EXACT(H57,'Data Base'!$V$35)),EXACT(K57,'Data Base'!$X$37)),I57*0.5*1*0.5,IF(AND(EXACT(G57,'Data Base'!$T$35),EXACT(H57,'Data Base'!$V$37),EXACT(K57,'Data Base'!$X$37)),I57*0.5*0.5*0.5,IF(AND(EXACT(G57,'Data Base'!$T$35),EXACT(H57,'Data Base'!$V$38),EXACT(K57,'Data Base'!$X$37)),I57*0.5*1.2*0.5,IF(AND(EXACT(G57,'Data Base'!$T$36),OR(EXACT(H57,'Data Base'!$V$36),EXACT(H57,'Data Base'!$V$35)),EXACT(K57,'Data Base'!$X$35)),I57*1*1*1,IF(AND(EXACT(G57,'Data Base'!$T$36),EXACT(H57,'Data Base'!$V$37),EXACT(K57,'Data Base'!$X$35)),I57*1*0.5*1,IF(AND(EXACT(G57,'Data Base'!$T$36),EXACT(H57,'Data Base'!$V$38),EXACT(K57,'Data Base'!$X$35)),I57*1*1.2*1,IF(AND(EXACT(G57,'Data Base'!$T$36),OR(EXACT(H57,'Data Base'!$V$36),EXACT(H57,'Data Base'!$V$35)),EXACT(K57,'Data Base'!$X$36)),I57*1*1*0.75,IF(AND(EXACT(G57,'Data Base'!$T$36),EXACT(H57,'Data Base'!$V$37),EXACT(K57,'Data Base'!$X$36)),I57*1*0.5*0.75,IF(AND(EXACT(G57,'Data Base'!$T$36),EXACT(H57,'Data Base'!$V$38),EXACT(K57,'Data Base'!$X$36)),I57*1*1.2*0.75,IF(AND(EXACT(G57,'Data Base'!$T$36),OR(EXACT(H57,'Data Base'!$V$36),EXACT(H57,'Data Base'!$V$35)),EXACT(K57,'Data Base'!$X$37)),I57*1*1*0.5,IF(AND(EXACT(G57,'Data Base'!$T$36),EXACT(H57,'Data Base'!$V$37),EXACT(K57,'Data Base'!$X$37)),I57*1*0.5*0.5,IF(AND(EXACT(G57,'Data Base'!$T$36),EXACT(H57,'Data Base'!$V$38),EXACT(K57,'Data Base'!$X$37)),I57*1*1.2*0.5,IF(AND(EXACT(G57,'Data Base'!$T$37),OR(EXACT(H57,'Data Base'!$V$36),EXACT(H57,'Data Base'!$V$35)),EXACT(K57,'Data Base'!$X$35)),I57*1.25*1*1,IF(AND(EXACT(G57,'Data Base'!$T$37),EXACT(H57,'Data Base'!$V$37),EXACT(K57,'Data Base'!$X$35)),I57*1.25*0.5*1,IF(AND(EXACT(G57,'Data Base'!$T$37),EXACT(H57,'Data Base'!$V$38),EXACT(K57,'Data Base'!$X$35)),I57*1.25*1.2*1,IF(AND(EXACT(G57,'Data Base'!$T$37),OR(EXACT(H57,'Data Base'!$V$36),EXACT(H57,'Data Base'!$V$35)),EXACT(K57,'Data Base'!$X$36)),I57*1.25*1*0.75,IF(AND(EXACT(G57,'Data Base'!$T$37),EXACT(H57,'Data Base'!$V$37),EXACT(K57,'Data Base'!$X$36)),I57*1.25*0.5*0.75,IF(AND(EXACT(G57,'Data Base'!$T$37),EXACT(H57,'Data Base'!$V$38),EXACT(K57,'Data Base'!$X$36)),I57*1.25*1.2*0.75,IF(AND(EXACT(G57,'Data Base'!$T$37),OR(EXACT(H57,'Data Base'!$V$36),EXACT(H57,'Data Base'!$V$35)),EXACT(K57,'Data Base'!$X$37)),I57*1.25*1*0.5,IF(AND(EXACT(G57,'Data Base'!$T$37),EXACT(H57,'Data Base'!$V$37),EXACT(K57,'Data Base'!$X$37)),I57*1.25*0.5*0.5,IF(AND(EXACT(G57,'Data Base'!$T$37),EXACT(H57,'Data Base'!$V$38),EXACT(K57,'Data Base'!$X$37)),I57*1.25*1.2*0.5))))))))))))))))))))))))))),"")</f>
        <v/>
      </c>
    </row>
    <row r="58" spans="1:13" ht="21" customHeight="1">
      <c r="A58" s="99">
        <v>6</v>
      </c>
      <c r="B58" s="1349" t="str">
        <f t="shared" si="6"/>
        <v/>
      </c>
      <c r="C58" s="1350"/>
      <c r="D58" s="148" t="str">
        <f t="shared" si="7"/>
        <v/>
      </c>
      <c r="E58" s="1351"/>
      <c r="F58" s="1352"/>
      <c r="G58" s="165"/>
      <c r="H58" s="140"/>
      <c r="I58" s="4"/>
      <c r="J58" s="4"/>
      <c r="K58" s="140"/>
      <c r="L58" s="4" t="s">
        <v>652</v>
      </c>
      <c r="M58" s="166" t="str">
        <f>IF(AND(NOT(EXACT(D58,"")),NOT(EXACT(G58,"")),NOT(EXACT(E58,"")),NOT(EXACT(B58,"")),NOT(EXACT(I58,"")),NOT(EXACT(H58,""))),IF(AND(EXACT(G58,'Data Base'!$T$35),OR(EXACT(H58,'Data Base'!$V$36),EXACT(H58,'Data Base'!$V$35)),EXACT(K58,'Data Base'!$X$35)),I58*0.5*1*1,IF(AND(EXACT(G58,'Data Base'!$T$35),EXACT(H58,'Data Base'!$V$37),EXACT(K58,'Data Base'!$X$35)),I58*0.5*0.5*1,IF(AND(EXACT(G58,'Data Base'!$T$35),EXACT(H58,'Data Base'!$V$38),EXACT(K58,'Data Base'!$X$35)),I58*0.5*1.2*1,IF(AND(EXACT(G58,'Data Base'!$T$35),OR(EXACT(H58,'Data Base'!$V$36),EXACT(H58,'Data Base'!$V$35)),EXACT(K58,'Data Base'!$X$36)),I58*0.5*1*0.75,IF(AND(EXACT(G58,'Data Base'!$T$35),EXACT(H58,'Data Base'!$V$37),EXACT(K58,'Data Base'!$X$36)),I58*0.5*0.5*0.75,IF(AND(EXACT(G58,'Data Base'!$T$35),EXACT(H58,'Data Base'!$V$38),EXACT(K58,'Data Base'!$X$36)),I58*0.5*1.2*0.75,IF(AND(EXACT(G58,'Data Base'!$T$35),OR(EXACT(H58,'Data Base'!$V$36),EXACT(H58,'Data Base'!$V$35)),EXACT(K58,'Data Base'!$X$37)),I58*0.5*1*0.5,IF(AND(EXACT(G58,'Data Base'!$T$35),EXACT(H58,'Data Base'!$V$37),EXACT(K58,'Data Base'!$X$37)),I58*0.5*0.5*0.5,IF(AND(EXACT(G58,'Data Base'!$T$35),EXACT(H58,'Data Base'!$V$38),EXACT(K58,'Data Base'!$X$37)),I58*0.5*1.2*0.5,IF(AND(EXACT(G58,'Data Base'!$T$36),OR(EXACT(H58,'Data Base'!$V$36),EXACT(H58,'Data Base'!$V$35)),EXACT(K58,'Data Base'!$X$35)),I58*1*1*1,IF(AND(EXACT(G58,'Data Base'!$T$36),EXACT(H58,'Data Base'!$V$37),EXACT(K58,'Data Base'!$X$35)),I58*1*0.5*1,IF(AND(EXACT(G58,'Data Base'!$T$36),EXACT(H58,'Data Base'!$V$38),EXACT(K58,'Data Base'!$X$35)),I58*1*1.2*1,IF(AND(EXACT(G58,'Data Base'!$T$36),OR(EXACT(H58,'Data Base'!$V$36),EXACT(H58,'Data Base'!$V$35)),EXACT(K58,'Data Base'!$X$36)),I58*1*1*0.75,IF(AND(EXACT(G58,'Data Base'!$T$36),EXACT(H58,'Data Base'!$V$37),EXACT(K58,'Data Base'!$X$36)),I58*1*0.5*0.75,IF(AND(EXACT(G58,'Data Base'!$T$36),EXACT(H58,'Data Base'!$V$38),EXACT(K58,'Data Base'!$X$36)),I58*1*1.2*0.75,IF(AND(EXACT(G58,'Data Base'!$T$36),OR(EXACT(H58,'Data Base'!$V$36),EXACT(H58,'Data Base'!$V$35)),EXACT(K58,'Data Base'!$X$37)),I58*1*1*0.5,IF(AND(EXACT(G58,'Data Base'!$T$36),EXACT(H58,'Data Base'!$V$37),EXACT(K58,'Data Base'!$X$37)),I58*1*0.5*0.5,IF(AND(EXACT(G58,'Data Base'!$T$36),EXACT(H58,'Data Base'!$V$38),EXACT(K58,'Data Base'!$X$37)),I58*1*1.2*0.5,IF(AND(EXACT(G58,'Data Base'!$T$37),OR(EXACT(H58,'Data Base'!$V$36),EXACT(H58,'Data Base'!$V$35)),EXACT(K58,'Data Base'!$X$35)),I58*1.25*1*1,IF(AND(EXACT(G58,'Data Base'!$T$37),EXACT(H58,'Data Base'!$V$37),EXACT(K58,'Data Base'!$X$35)),I58*1.25*0.5*1,IF(AND(EXACT(G58,'Data Base'!$T$37),EXACT(H58,'Data Base'!$V$38),EXACT(K58,'Data Base'!$X$35)),I58*1.25*1.2*1,IF(AND(EXACT(G58,'Data Base'!$T$37),OR(EXACT(H58,'Data Base'!$V$36),EXACT(H58,'Data Base'!$V$35)),EXACT(K58,'Data Base'!$X$36)),I58*1.25*1*0.75,IF(AND(EXACT(G58,'Data Base'!$T$37),EXACT(H58,'Data Base'!$V$37),EXACT(K58,'Data Base'!$X$36)),I58*1.25*0.5*0.75,IF(AND(EXACT(G58,'Data Base'!$T$37),EXACT(H58,'Data Base'!$V$38),EXACT(K58,'Data Base'!$X$36)),I58*1.25*1.2*0.75,IF(AND(EXACT(G58,'Data Base'!$T$37),OR(EXACT(H58,'Data Base'!$V$36),EXACT(H58,'Data Base'!$V$35)),EXACT(K58,'Data Base'!$X$37)),I58*1.25*1*0.5,IF(AND(EXACT(G58,'Data Base'!$T$37),EXACT(H58,'Data Base'!$V$37),EXACT(K58,'Data Base'!$X$37)),I58*1.25*0.5*0.5,IF(AND(EXACT(G58,'Data Base'!$T$37),EXACT(H58,'Data Base'!$V$38),EXACT(K58,'Data Base'!$X$37)),I58*1.25*1.2*0.5))))))))))))))))))))))))))),"")</f>
        <v/>
      </c>
    </row>
    <row r="59" spans="1:13" ht="21" customHeight="1">
      <c r="A59" s="97">
        <v>7</v>
      </c>
      <c r="B59" s="1349" t="str">
        <f t="shared" si="6"/>
        <v/>
      </c>
      <c r="C59" s="1350"/>
      <c r="D59" s="148" t="str">
        <f t="shared" si="7"/>
        <v/>
      </c>
      <c r="E59" s="1351"/>
      <c r="F59" s="1352"/>
      <c r="G59" s="165"/>
      <c r="H59" s="140"/>
      <c r="I59" s="4"/>
      <c r="J59" s="4"/>
      <c r="K59" s="140"/>
      <c r="L59" s="4" t="s">
        <v>652</v>
      </c>
      <c r="M59" s="166" t="str">
        <f>IF(AND(NOT(EXACT(D59,"")),NOT(EXACT(G59,"")),NOT(EXACT(E59,"")),NOT(EXACT(B59,"")),NOT(EXACT(I59,"")),NOT(EXACT(H59,""))),IF(AND(EXACT(G59,'Data Base'!$T$35),OR(EXACT(H59,'Data Base'!$V$36),EXACT(H59,'Data Base'!$V$35)),EXACT(K59,'Data Base'!$X$35)),I59*0.5*1*1,IF(AND(EXACT(G59,'Data Base'!$T$35),EXACT(H59,'Data Base'!$V$37),EXACT(K59,'Data Base'!$X$35)),I59*0.5*0.5*1,IF(AND(EXACT(G59,'Data Base'!$T$35),EXACT(H59,'Data Base'!$V$38),EXACT(K59,'Data Base'!$X$35)),I59*0.5*1.2*1,IF(AND(EXACT(G59,'Data Base'!$T$35),OR(EXACT(H59,'Data Base'!$V$36),EXACT(H59,'Data Base'!$V$35)),EXACT(K59,'Data Base'!$X$36)),I59*0.5*1*0.75,IF(AND(EXACT(G59,'Data Base'!$T$35),EXACT(H59,'Data Base'!$V$37),EXACT(K59,'Data Base'!$X$36)),I59*0.5*0.5*0.75,IF(AND(EXACT(G59,'Data Base'!$T$35),EXACT(H59,'Data Base'!$V$38),EXACT(K59,'Data Base'!$X$36)),I59*0.5*1.2*0.75,IF(AND(EXACT(G59,'Data Base'!$T$35),OR(EXACT(H59,'Data Base'!$V$36),EXACT(H59,'Data Base'!$V$35)),EXACT(K59,'Data Base'!$X$37)),I59*0.5*1*0.5,IF(AND(EXACT(G59,'Data Base'!$T$35),EXACT(H59,'Data Base'!$V$37),EXACT(K59,'Data Base'!$X$37)),I59*0.5*0.5*0.5,IF(AND(EXACT(G59,'Data Base'!$T$35),EXACT(H59,'Data Base'!$V$38),EXACT(K59,'Data Base'!$X$37)),I59*0.5*1.2*0.5,IF(AND(EXACT(G59,'Data Base'!$T$36),OR(EXACT(H59,'Data Base'!$V$36),EXACT(H59,'Data Base'!$V$35)),EXACT(K59,'Data Base'!$X$35)),I59*1*1*1,IF(AND(EXACT(G59,'Data Base'!$T$36),EXACT(H59,'Data Base'!$V$37),EXACT(K59,'Data Base'!$X$35)),I59*1*0.5*1,IF(AND(EXACT(G59,'Data Base'!$T$36),EXACT(H59,'Data Base'!$V$38),EXACT(K59,'Data Base'!$X$35)),I59*1*1.2*1,IF(AND(EXACT(G59,'Data Base'!$T$36),OR(EXACT(H59,'Data Base'!$V$36),EXACT(H59,'Data Base'!$V$35)),EXACT(K59,'Data Base'!$X$36)),I59*1*1*0.75,IF(AND(EXACT(G59,'Data Base'!$T$36),EXACT(H59,'Data Base'!$V$37),EXACT(K59,'Data Base'!$X$36)),I59*1*0.5*0.75,IF(AND(EXACT(G59,'Data Base'!$T$36),EXACT(H59,'Data Base'!$V$38),EXACT(K59,'Data Base'!$X$36)),I59*1*1.2*0.75,IF(AND(EXACT(G59,'Data Base'!$T$36),OR(EXACT(H59,'Data Base'!$V$36),EXACT(H59,'Data Base'!$V$35)),EXACT(K59,'Data Base'!$X$37)),I59*1*1*0.5,IF(AND(EXACT(G59,'Data Base'!$T$36),EXACT(H59,'Data Base'!$V$37),EXACT(K59,'Data Base'!$X$37)),I59*1*0.5*0.5,IF(AND(EXACT(G59,'Data Base'!$T$36),EXACT(H59,'Data Base'!$V$38),EXACT(K59,'Data Base'!$X$37)),I59*1*1.2*0.5,IF(AND(EXACT(G59,'Data Base'!$T$37),OR(EXACT(H59,'Data Base'!$V$36),EXACT(H59,'Data Base'!$V$35)),EXACT(K59,'Data Base'!$X$35)),I59*1.25*1*1,IF(AND(EXACT(G59,'Data Base'!$T$37),EXACT(H59,'Data Base'!$V$37),EXACT(K59,'Data Base'!$X$35)),I59*1.25*0.5*1,IF(AND(EXACT(G59,'Data Base'!$T$37),EXACT(H59,'Data Base'!$V$38),EXACT(K59,'Data Base'!$X$35)),I59*1.25*1.2*1,IF(AND(EXACT(G59,'Data Base'!$T$37),OR(EXACT(H59,'Data Base'!$V$36),EXACT(H59,'Data Base'!$V$35)),EXACT(K59,'Data Base'!$X$36)),I59*1.25*1*0.75,IF(AND(EXACT(G59,'Data Base'!$T$37),EXACT(H59,'Data Base'!$V$37),EXACT(K59,'Data Base'!$X$36)),I59*1.25*0.5*0.75,IF(AND(EXACT(G59,'Data Base'!$T$37),EXACT(H59,'Data Base'!$V$38),EXACT(K59,'Data Base'!$X$36)),I59*1.25*1.2*0.75,IF(AND(EXACT(G59,'Data Base'!$T$37),OR(EXACT(H59,'Data Base'!$V$36),EXACT(H59,'Data Base'!$V$35)),EXACT(K59,'Data Base'!$X$37)),I59*1.25*1*0.5,IF(AND(EXACT(G59,'Data Base'!$T$37),EXACT(H59,'Data Base'!$V$37),EXACT(K59,'Data Base'!$X$37)),I59*1.25*0.5*0.5,IF(AND(EXACT(G59,'Data Base'!$T$37),EXACT(H59,'Data Base'!$V$38),EXACT(K59,'Data Base'!$X$37)),I59*1.25*1.2*0.5))))))))))))))))))))))))))),"")</f>
        <v/>
      </c>
    </row>
    <row r="60" spans="1:13" ht="21" customHeight="1">
      <c r="A60" s="99">
        <v>8</v>
      </c>
      <c r="B60" s="1349" t="str">
        <f t="shared" si="6"/>
        <v/>
      </c>
      <c r="C60" s="1350"/>
      <c r="D60" s="148" t="str">
        <f t="shared" si="7"/>
        <v/>
      </c>
      <c r="E60" s="1351"/>
      <c r="F60" s="1352"/>
      <c r="G60" s="165"/>
      <c r="H60" s="140"/>
      <c r="I60" s="4"/>
      <c r="J60" s="4"/>
      <c r="K60" s="140"/>
      <c r="L60" s="4" t="s">
        <v>652</v>
      </c>
      <c r="M60" s="166" t="str">
        <f>IF(AND(NOT(EXACT(D60,"")),NOT(EXACT(G60,"")),NOT(EXACT(E60,"")),NOT(EXACT(B60,"")),NOT(EXACT(I60,"")),NOT(EXACT(H60,""))),IF(AND(EXACT(G60,'Data Base'!$T$35),OR(EXACT(H60,'Data Base'!$V$36),EXACT(H60,'Data Base'!$V$35)),EXACT(K60,'Data Base'!$X$35)),I60*0.5*1*1,IF(AND(EXACT(G60,'Data Base'!$T$35),EXACT(H60,'Data Base'!$V$37),EXACT(K60,'Data Base'!$X$35)),I60*0.5*0.5*1,IF(AND(EXACT(G60,'Data Base'!$T$35),EXACT(H60,'Data Base'!$V$38),EXACT(K60,'Data Base'!$X$35)),I60*0.5*1.2*1,IF(AND(EXACT(G60,'Data Base'!$T$35),OR(EXACT(H60,'Data Base'!$V$36),EXACT(H60,'Data Base'!$V$35)),EXACT(K60,'Data Base'!$X$36)),I60*0.5*1*0.75,IF(AND(EXACT(G60,'Data Base'!$T$35),EXACT(H60,'Data Base'!$V$37),EXACT(K60,'Data Base'!$X$36)),I60*0.5*0.5*0.75,IF(AND(EXACT(G60,'Data Base'!$T$35),EXACT(H60,'Data Base'!$V$38),EXACT(K60,'Data Base'!$X$36)),I60*0.5*1.2*0.75,IF(AND(EXACT(G60,'Data Base'!$T$35),OR(EXACT(H60,'Data Base'!$V$36),EXACT(H60,'Data Base'!$V$35)),EXACT(K60,'Data Base'!$X$37)),I60*0.5*1*0.5,IF(AND(EXACT(G60,'Data Base'!$T$35),EXACT(H60,'Data Base'!$V$37),EXACT(K60,'Data Base'!$X$37)),I60*0.5*0.5*0.5,IF(AND(EXACT(G60,'Data Base'!$T$35),EXACT(H60,'Data Base'!$V$38),EXACT(K60,'Data Base'!$X$37)),I60*0.5*1.2*0.5,IF(AND(EXACT(G60,'Data Base'!$T$36),OR(EXACT(H60,'Data Base'!$V$36),EXACT(H60,'Data Base'!$V$35)),EXACT(K60,'Data Base'!$X$35)),I60*1*1*1,IF(AND(EXACT(G60,'Data Base'!$T$36),EXACT(H60,'Data Base'!$V$37),EXACT(K60,'Data Base'!$X$35)),I60*1*0.5*1,IF(AND(EXACT(G60,'Data Base'!$T$36),EXACT(H60,'Data Base'!$V$38),EXACT(K60,'Data Base'!$X$35)),I60*1*1.2*1,IF(AND(EXACT(G60,'Data Base'!$T$36),OR(EXACT(H60,'Data Base'!$V$36),EXACT(H60,'Data Base'!$V$35)),EXACT(K60,'Data Base'!$X$36)),I60*1*1*0.75,IF(AND(EXACT(G60,'Data Base'!$T$36),EXACT(H60,'Data Base'!$V$37),EXACT(K60,'Data Base'!$X$36)),I60*1*0.5*0.75,IF(AND(EXACT(G60,'Data Base'!$T$36),EXACT(H60,'Data Base'!$V$38),EXACT(K60,'Data Base'!$X$36)),I60*1*1.2*0.75,IF(AND(EXACT(G60,'Data Base'!$T$36),OR(EXACT(H60,'Data Base'!$V$36),EXACT(H60,'Data Base'!$V$35)),EXACT(K60,'Data Base'!$X$37)),I60*1*1*0.5,IF(AND(EXACT(G60,'Data Base'!$T$36),EXACT(H60,'Data Base'!$V$37),EXACT(K60,'Data Base'!$X$37)),I60*1*0.5*0.5,IF(AND(EXACT(G60,'Data Base'!$T$36),EXACT(H60,'Data Base'!$V$38),EXACT(K60,'Data Base'!$X$37)),I60*1*1.2*0.5,IF(AND(EXACT(G60,'Data Base'!$T$37),OR(EXACT(H60,'Data Base'!$V$36),EXACT(H60,'Data Base'!$V$35)),EXACT(K60,'Data Base'!$X$35)),I60*1.25*1*1,IF(AND(EXACT(G60,'Data Base'!$T$37),EXACT(H60,'Data Base'!$V$37),EXACT(K60,'Data Base'!$X$35)),I60*1.25*0.5*1,IF(AND(EXACT(G60,'Data Base'!$T$37),EXACT(H60,'Data Base'!$V$38),EXACT(K60,'Data Base'!$X$35)),I60*1.25*1.2*1,IF(AND(EXACT(G60,'Data Base'!$T$37),OR(EXACT(H60,'Data Base'!$V$36),EXACT(H60,'Data Base'!$V$35)),EXACT(K60,'Data Base'!$X$36)),I60*1.25*1*0.75,IF(AND(EXACT(G60,'Data Base'!$T$37),EXACT(H60,'Data Base'!$V$37),EXACT(K60,'Data Base'!$X$36)),I60*1.25*0.5*0.75,IF(AND(EXACT(G60,'Data Base'!$T$37),EXACT(H60,'Data Base'!$V$38),EXACT(K60,'Data Base'!$X$36)),I60*1.25*1.2*0.75,IF(AND(EXACT(G60,'Data Base'!$T$37),OR(EXACT(H60,'Data Base'!$V$36),EXACT(H60,'Data Base'!$V$35)),EXACT(K60,'Data Base'!$X$37)),I60*1.25*1*0.5,IF(AND(EXACT(G60,'Data Base'!$T$37),EXACT(H60,'Data Base'!$V$37),EXACT(K60,'Data Base'!$X$37)),I60*1.25*0.5*0.5,IF(AND(EXACT(G60,'Data Base'!$T$37),EXACT(H60,'Data Base'!$V$38),EXACT(K60,'Data Base'!$X$37)),I60*1.25*1.2*0.5))))))))))))))))))))))))))),"")</f>
        <v/>
      </c>
    </row>
    <row r="61" spans="1:13" ht="21" customHeight="1">
      <c r="A61" s="99">
        <v>9</v>
      </c>
      <c r="B61" s="1349" t="str">
        <f t="shared" si="6"/>
        <v/>
      </c>
      <c r="C61" s="1350"/>
      <c r="D61" s="148" t="str">
        <f t="shared" si="7"/>
        <v/>
      </c>
      <c r="E61" s="1351"/>
      <c r="F61" s="1352"/>
      <c r="G61" s="165"/>
      <c r="H61" s="140"/>
      <c r="I61" s="4"/>
      <c r="J61" s="4"/>
      <c r="K61" s="140"/>
      <c r="L61" s="4" t="s">
        <v>652</v>
      </c>
      <c r="M61" s="166" t="str">
        <f>IF(AND(NOT(EXACT(D61,"")),NOT(EXACT(G61,"")),NOT(EXACT(E61,"")),NOT(EXACT(B61,"")),NOT(EXACT(I61,"")),NOT(EXACT(H61,""))),IF(AND(EXACT(G61,'Data Base'!$T$35),OR(EXACT(H61,'Data Base'!$V$36),EXACT(H61,'Data Base'!$V$35)),EXACT(K61,'Data Base'!$X$35)),I61*0.5*1*1,IF(AND(EXACT(G61,'Data Base'!$T$35),EXACT(H61,'Data Base'!$V$37),EXACT(K61,'Data Base'!$X$35)),I61*0.5*0.5*1,IF(AND(EXACT(G61,'Data Base'!$T$35),EXACT(H61,'Data Base'!$V$38),EXACT(K61,'Data Base'!$X$35)),I61*0.5*1.2*1,IF(AND(EXACT(G61,'Data Base'!$T$35),OR(EXACT(H61,'Data Base'!$V$36),EXACT(H61,'Data Base'!$V$35)),EXACT(K61,'Data Base'!$X$36)),I61*0.5*1*0.75,IF(AND(EXACT(G61,'Data Base'!$T$35),EXACT(H61,'Data Base'!$V$37),EXACT(K61,'Data Base'!$X$36)),I61*0.5*0.5*0.75,IF(AND(EXACT(G61,'Data Base'!$T$35),EXACT(H61,'Data Base'!$V$38),EXACT(K61,'Data Base'!$X$36)),I61*0.5*1.2*0.75,IF(AND(EXACT(G61,'Data Base'!$T$35),OR(EXACT(H61,'Data Base'!$V$36),EXACT(H61,'Data Base'!$V$35)),EXACT(K61,'Data Base'!$X$37)),I61*0.5*1*0.5,IF(AND(EXACT(G61,'Data Base'!$T$35),EXACT(H61,'Data Base'!$V$37),EXACT(K61,'Data Base'!$X$37)),I61*0.5*0.5*0.5,IF(AND(EXACT(G61,'Data Base'!$T$35),EXACT(H61,'Data Base'!$V$38),EXACT(K61,'Data Base'!$X$37)),I61*0.5*1.2*0.5,IF(AND(EXACT(G61,'Data Base'!$T$36),OR(EXACT(H61,'Data Base'!$V$36),EXACT(H61,'Data Base'!$V$35)),EXACT(K61,'Data Base'!$X$35)),I61*1*1*1,IF(AND(EXACT(G61,'Data Base'!$T$36),EXACT(H61,'Data Base'!$V$37),EXACT(K61,'Data Base'!$X$35)),I61*1*0.5*1,IF(AND(EXACT(G61,'Data Base'!$T$36),EXACT(H61,'Data Base'!$V$38),EXACT(K61,'Data Base'!$X$35)),I61*1*1.2*1,IF(AND(EXACT(G61,'Data Base'!$T$36),OR(EXACT(H61,'Data Base'!$V$36),EXACT(H61,'Data Base'!$V$35)),EXACT(K61,'Data Base'!$X$36)),I61*1*1*0.75,IF(AND(EXACT(G61,'Data Base'!$T$36),EXACT(H61,'Data Base'!$V$37),EXACT(K61,'Data Base'!$X$36)),I61*1*0.5*0.75,IF(AND(EXACT(G61,'Data Base'!$T$36),EXACT(H61,'Data Base'!$V$38),EXACT(K61,'Data Base'!$X$36)),I61*1*1.2*0.75,IF(AND(EXACT(G61,'Data Base'!$T$36),OR(EXACT(H61,'Data Base'!$V$36),EXACT(H61,'Data Base'!$V$35)),EXACT(K61,'Data Base'!$X$37)),I61*1*1*0.5,IF(AND(EXACT(G61,'Data Base'!$T$36),EXACT(H61,'Data Base'!$V$37),EXACT(K61,'Data Base'!$X$37)),I61*1*0.5*0.5,IF(AND(EXACT(G61,'Data Base'!$T$36),EXACT(H61,'Data Base'!$V$38),EXACT(K61,'Data Base'!$X$37)),I61*1*1.2*0.5,IF(AND(EXACT(G61,'Data Base'!$T$37),OR(EXACT(H61,'Data Base'!$V$36),EXACT(H61,'Data Base'!$V$35)),EXACT(K61,'Data Base'!$X$35)),I61*1.25*1*1,IF(AND(EXACT(G61,'Data Base'!$T$37),EXACT(H61,'Data Base'!$V$37),EXACT(K61,'Data Base'!$X$35)),I61*1.25*0.5*1,IF(AND(EXACT(G61,'Data Base'!$T$37),EXACT(H61,'Data Base'!$V$38),EXACT(K61,'Data Base'!$X$35)),I61*1.25*1.2*1,IF(AND(EXACT(G61,'Data Base'!$T$37),OR(EXACT(H61,'Data Base'!$V$36),EXACT(H61,'Data Base'!$V$35)),EXACT(K61,'Data Base'!$X$36)),I61*1.25*1*0.75,IF(AND(EXACT(G61,'Data Base'!$T$37),EXACT(H61,'Data Base'!$V$37),EXACT(K61,'Data Base'!$X$36)),I61*1.25*0.5*0.75,IF(AND(EXACT(G61,'Data Base'!$T$37),EXACT(H61,'Data Base'!$V$38),EXACT(K61,'Data Base'!$X$36)),I61*1.25*1.2*0.75,IF(AND(EXACT(G61,'Data Base'!$T$37),OR(EXACT(H61,'Data Base'!$V$36),EXACT(H61,'Data Base'!$V$35)),EXACT(K61,'Data Base'!$X$37)),I61*1.25*1*0.5,IF(AND(EXACT(G61,'Data Base'!$T$37),EXACT(H61,'Data Base'!$V$37),EXACT(K61,'Data Base'!$X$37)),I61*1.25*0.5*0.5,IF(AND(EXACT(G61,'Data Base'!$T$37),EXACT(H61,'Data Base'!$V$38),EXACT(K61,'Data Base'!$X$37)),I61*1.25*1.2*0.5))))))))))))))))))))))))))),"")</f>
        <v/>
      </c>
    </row>
    <row r="62" spans="1:13" ht="21" customHeight="1">
      <c r="A62" s="97">
        <v>10</v>
      </c>
      <c r="B62" s="1349" t="str">
        <f t="shared" si="6"/>
        <v/>
      </c>
      <c r="C62" s="1350"/>
      <c r="D62" s="148" t="str">
        <f t="shared" si="7"/>
        <v/>
      </c>
      <c r="E62" s="1351"/>
      <c r="F62" s="1352"/>
      <c r="G62" s="165"/>
      <c r="H62" s="140"/>
      <c r="I62" s="4"/>
      <c r="J62" s="4"/>
      <c r="K62" s="140"/>
      <c r="L62" s="4" t="s">
        <v>652</v>
      </c>
      <c r="M62" s="166" t="str">
        <f>IF(AND(NOT(EXACT(D62,"")),NOT(EXACT(G62,"")),NOT(EXACT(E62,"")),NOT(EXACT(B62,"")),NOT(EXACT(I62,"")),NOT(EXACT(H62,""))),IF(AND(EXACT(G62,'Data Base'!$T$35),OR(EXACT(H62,'Data Base'!$V$36),EXACT(H62,'Data Base'!$V$35)),EXACT(K62,'Data Base'!$X$35)),I62*0.5*1*1,IF(AND(EXACT(G62,'Data Base'!$T$35),EXACT(H62,'Data Base'!$V$37),EXACT(K62,'Data Base'!$X$35)),I62*0.5*0.5*1,IF(AND(EXACT(G62,'Data Base'!$T$35),EXACT(H62,'Data Base'!$V$38),EXACT(K62,'Data Base'!$X$35)),I62*0.5*1.2*1,IF(AND(EXACT(G62,'Data Base'!$T$35),OR(EXACT(H62,'Data Base'!$V$36),EXACT(H62,'Data Base'!$V$35)),EXACT(K62,'Data Base'!$X$36)),I62*0.5*1*0.75,IF(AND(EXACT(G62,'Data Base'!$T$35),EXACT(H62,'Data Base'!$V$37),EXACT(K62,'Data Base'!$X$36)),I62*0.5*0.5*0.75,IF(AND(EXACT(G62,'Data Base'!$T$35),EXACT(H62,'Data Base'!$V$38),EXACT(K62,'Data Base'!$X$36)),I62*0.5*1.2*0.75,IF(AND(EXACT(G62,'Data Base'!$T$35),OR(EXACT(H62,'Data Base'!$V$36),EXACT(H62,'Data Base'!$V$35)),EXACT(K62,'Data Base'!$X$37)),I62*0.5*1*0.5,IF(AND(EXACT(G62,'Data Base'!$T$35),EXACT(H62,'Data Base'!$V$37),EXACT(K62,'Data Base'!$X$37)),I62*0.5*0.5*0.5,IF(AND(EXACT(G62,'Data Base'!$T$35),EXACT(H62,'Data Base'!$V$38),EXACT(K62,'Data Base'!$X$37)),I62*0.5*1.2*0.5,IF(AND(EXACT(G62,'Data Base'!$T$36),OR(EXACT(H62,'Data Base'!$V$36),EXACT(H62,'Data Base'!$V$35)),EXACT(K62,'Data Base'!$X$35)),I62*1*1*1,IF(AND(EXACT(G62,'Data Base'!$T$36),EXACT(H62,'Data Base'!$V$37),EXACT(K62,'Data Base'!$X$35)),I62*1*0.5*1,IF(AND(EXACT(G62,'Data Base'!$T$36),EXACT(H62,'Data Base'!$V$38),EXACT(K62,'Data Base'!$X$35)),I62*1*1.2*1,IF(AND(EXACT(G62,'Data Base'!$T$36),OR(EXACT(H62,'Data Base'!$V$36),EXACT(H62,'Data Base'!$V$35)),EXACT(K62,'Data Base'!$X$36)),I62*1*1*0.75,IF(AND(EXACT(G62,'Data Base'!$T$36),EXACT(H62,'Data Base'!$V$37),EXACT(K62,'Data Base'!$X$36)),I62*1*0.5*0.75,IF(AND(EXACT(G62,'Data Base'!$T$36),EXACT(H62,'Data Base'!$V$38),EXACT(K62,'Data Base'!$X$36)),I62*1*1.2*0.75,IF(AND(EXACT(G62,'Data Base'!$T$36),OR(EXACT(H62,'Data Base'!$V$36),EXACT(H62,'Data Base'!$V$35)),EXACT(K62,'Data Base'!$X$37)),I62*1*1*0.5,IF(AND(EXACT(G62,'Data Base'!$T$36),EXACT(H62,'Data Base'!$V$37),EXACT(K62,'Data Base'!$X$37)),I62*1*0.5*0.5,IF(AND(EXACT(G62,'Data Base'!$T$36),EXACT(H62,'Data Base'!$V$38),EXACT(K62,'Data Base'!$X$37)),I62*1*1.2*0.5,IF(AND(EXACT(G62,'Data Base'!$T$37),OR(EXACT(H62,'Data Base'!$V$36),EXACT(H62,'Data Base'!$V$35)),EXACT(K62,'Data Base'!$X$35)),I62*1.25*1*1,IF(AND(EXACT(G62,'Data Base'!$T$37),EXACT(H62,'Data Base'!$V$37),EXACT(K62,'Data Base'!$X$35)),I62*1.25*0.5*1,IF(AND(EXACT(G62,'Data Base'!$T$37),EXACT(H62,'Data Base'!$V$38),EXACT(K62,'Data Base'!$X$35)),I62*1.25*1.2*1,IF(AND(EXACT(G62,'Data Base'!$T$37),OR(EXACT(H62,'Data Base'!$V$36),EXACT(H62,'Data Base'!$V$35)),EXACT(K62,'Data Base'!$X$36)),I62*1.25*1*0.75,IF(AND(EXACT(G62,'Data Base'!$T$37),EXACT(H62,'Data Base'!$V$37),EXACT(K62,'Data Base'!$X$36)),I62*1.25*0.5*0.75,IF(AND(EXACT(G62,'Data Base'!$T$37),EXACT(H62,'Data Base'!$V$38),EXACT(K62,'Data Base'!$X$36)),I62*1.25*1.2*0.75,IF(AND(EXACT(G62,'Data Base'!$T$37),OR(EXACT(H62,'Data Base'!$V$36),EXACT(H62,'Data Base'!$V$35)),EXACT(K62,'Data Base'!$X$37)),I62*1.25*1*0.5,IF(AND(EXACT(G62,'Data Base'!$T$37),EXACT(H62,'Data Base'!$V$37),EXACT(K62,'Data Base'!$X$37)),I62*1.25*0.5*0.5,IF(AND(EXACT(G62,'Data Base'!$T$37),EXACT(H62,'Data Base'!$V$38),EXACT(K62,'Data Base'!$X$37)),I62*1.25*1.2*0.5))))))))))))))))))))))))))),"")</f>
        <v/>
      </c>
    </row>
    <row r="63" spans="1:13" ht="21" customHeight="1">
      <c r="A63" s="99">
        <v>11</v>
      </c>
      <c r="B63" s="1349" t="str">
        <f t="shared" si="6"/>
        <v/>
      </c>
      <c r="C63" s="1350"/>
      <c r="D63" s="148" t="str">
        <f t="shared" si="7"/>
        <v/>
      </c>
      <c r="E63" s="1351"/>
      <c r="F63" s="1352"/>
      <c r="G63" s="165"/>
      <c r="H63" s="140"/>
      <c r="I63" s="4"/>
      <c r="J63" s="4"/>
      <c r="K63" s="140"/>
      <c r="L63" s="4" t="s">
        <v>652</v>
      </c>
      <c r="M63" s="166" t="str">
        <f>IF(AND(NOT(EXACT(D63,"")),NOT(EXACT(G63,"")),NOT(EXACT(E63,"")),NOT(EXACT(B63,"")),NOT(EXACT(I63,"")),NOT(EXACT(H63,""))),IF(AND(EXACT(G63,'Data Base'!$T$35),OR(EXACT(H63,'Data Base'!$V$36),EXACT(H63,'Data Base'!$V$35)),EXACT(K63,'Data Base'!$X$35)),I63*0.5*1*1,IF(AND(EXACT(G63,'Data Base'!$T$35),EXACT(H63,'Data Base'!$V$37),EXACT(K63,'Data Base'!$X$35)),I63*0.5*0.5*1,IF(AND(EXACT(G63,'Data Base'!$T$35),EXACT(H63,'Data Base'!$V$38),EXACT(K63,'Data Base'!$X$35)),I63*0.5*1.2*1,IF(AND(EXACT(G63,'Data Base'!$T$35),OR(EXACT(H63,'Data Base'!$V$36),EXACT(H63,'Data Base'!$V$35)),EXACT(K63,'Data Base'!$X$36)),I63*0.5*1*0.75,IF(AND(EXACT(G63,'Data Base'!$T$35),EXACT(H63,'Data Base'!$V$37),EXACT(K63,'Data Base'!$X$36)),I63*0.5*0.5*0.75,IF(AND(EXACT(G63,'Data Base'!$T$35),EXACT(H63,'Data Base'!$V$38),EXACT(K63,'Data Base'!$X$36)),I63*0.5*1.2*0.75,IF(AND(EXACT(G63,'Data Base'!$T$35),OR(EXACT(H63,'Data Base'!$V$36),EXACT(H63,'Data Base'!$V$35)),EXACT(K63,'Data Base'!$X$37)),I63*0.5*1*0.5,IF(AND(EXACT(G63,'Data Base'!$T$35),EXACT(H63,'Data Base'!$V$37),EXACT(K63,'Data Base'!$X$37)),I63*0.5*0.5*0.5,IF(AND(EXACT(G63,'Data Base'!$T$35),EXACT(H63,'Data Base'!$V$38),EXACT(K63,'Data Base'!$X$37)),I63*0.5*1.2*0.5,IF(AND(EXACT(G63,'Data Base'!$T$36),OR(EXACT(H63,'Data Base'!$V$36),EXACT(H63,'Data Base'!$V$35)),EXACT(K63,'Data Base'!$X$35)),I63*1*1*1,IF(AND(EXACT(G63,'Data Base'!$T$36),EXACT(H63,'Data Base'!$V$37),EXACT(K63,'Data Base'!$X$35)),I63*1*0.5*1,IF(AND(EXACT(G63,'Data Base'!$T$36),EXACT(H63,'Data Base'!$V$38),EXACT(K63,'Data Base'!$X$35)),I63*1*1.2*1,IF(AND(EXACT(G63,'Data Base'!$T$36),OR(EXACT(H63,'Data Base'!$V$36),EXACT(H63,'Data Base'!$V$35)),EXACT(K63,'Data Base'!$X$36)),I63*1*1*0.75,IF(AND(EXACT(G63,'Data Base'!$T$36),EXACT(H63,'Data Base'!$V$37),EXACT(K63,'Data Base'!$X$36)),I63*1*0.5*0.75,IF(AND(EXACT(G63,'Data Base'!$T$36),EXACT(H63,'Data Base'!$V$38),EXACT(K63,'Data Base'!$X$36)),I63*1*1.2*0.75,IF(AND(EXACT(G63,'Data Base'!$T$36),OR(EXACT(H63,'Data Base'!$V$36),EXACT(H63,'Data Base'!$V$35)),EXACT(K63,'Data Base'!$X$37)),I63*1*1*0.5,IF(AND(EXACT(G63,'Data Base'!$T$36),EXACT(H63,'Data Base'!$V$37),EXACT(K63,'Data Base'!$X$37)),I63*1*0.5*0.5,IF(AND(EXACT(G63,'Data Base'!$T$36),EXACT(H63,'Data Base'!$V$38),EXACT(K63,'Data Base'!$X$37)),I63*1*1.2*0.5,IF(AND(EXACT(G63,'Data Base'!$T$37),OR(EXACT(H63,'Data Base'!$V$36),EXACT(H63,'Data Base'!$V$35)),EXACT(K63,'Data Base'!$X$35)),I63*1.25*1*1,IF(AND(EXACT(G63,'Data Base'!$T$37),EXACT(H63,'Data Base'!$V$37),EXACT(K63,'Data Base'!$X$35)),I63*1.25*0.5*1,IF(AND(EXACT(G63,'Data Base'!$T$37),EXACT(H63,'Data Base'!$V$38),EXACT(K63,'Data Base'!$X$35)),I63*1.25*1.2*1,IF(AND(EXACT(G63,'Data Base'!$T$37),OR(EXACT(H63,'Data Base'!$V$36),EXACT(H63,'Data Base'!$V$35)),EXACT(K63,'Data Base'!$X$36)),I63*1.25*1*0.75,IF(AND(EXACT(G63,'Data Base'!$T$37),EXACT(H63,'Data Base'!$V$37),EXACT(K63,'Data Base'!$X$36)),I63*1.25*0.5*0.75,IF(AND(EXACT(G63,'Data Base'!$T$37),EXACT(H63,'Data Base'!$V$38),EXACT(K63,'Data Base'!$X$36)),I63*1.25*1.2*0.75,IF(AND(EXACT(G63,'Data Base'!$T$37),OR(EXACT(H63,'Data Base'!$V$36),EXACT(H63,'Data Base'!$V$35)),EXACT(K63,'Data Base'!$X$37)),I63*1.25*1*0.5,IF(AND(EXACT(G63,'Data Base'!$T$37),EXACT(H63,'Data Base'!$V$37),EXACT(K63,'Data Base'!$X$37)),I63*1.25*0.5*0.5,IF(AND(EXACT(G63,'Data Base'!$T$37),EXACT(H63,'Data Base'!$V$38),EXACT(K63,'Data Base'!$X$37)),I63*1.25*1.2*0.5))))))))))))))))))))))))))),"")</f>
        <v/>
      </c>
    </row>
    <row r="64" spans="1:13" ht="21" customHeight="1">
      <c r="A64" s="99">
        <v>12</v>
      </c>
      <c r="B64" s="1349" t="str">
        <f t="shared" si="6"/>
        <v/>
      </c>
      <c r="C64" s="1350"/>
      <c r="D64" s="148" t="str">
        <f t="shared" si="7"/>
        <v/>
      </c>
      <c r="E64" s="1351"/>
      <c r="F64" s="1352"/>
      <c r="G64" s="165"/>
      <c r="H64" s="140"/>
      <c r="I64" s="4"/>
      <c r="J64" s="4"/>
      <c r="K64" s="140"/>
      <c r="L64" s="4" t="s">
        <v>652</v>
      </c>
      <c r="M64" s="166" t="str">
        <f>IF(AND(NOT(EXACT(D64,"")),NOT(EXACT(G64,"")),NOT(EXACT(E64,"")),NOT(EXACT(B64,"")),NOT(EXACT(I64,"")),NOT(EXACT(H64,""))),IF(AND(EXACT(G64,'Data Base'!$T$35),OR(EXACT(H64,'Data Base'!$V$36),EXACT(H64,'Data Base'!$V$35)),EXACT(K64,'Data Base'!$X$35)),I64*0.5*1*1,IF(AND(EXACT(G64,'Data Base'!$T$35),EXACT(H64,'Data Base'!$V$37),EXACT(K64,'Data Base'!$X$35)),I64*0.5*0.5*1,IF(AND(EXACT(G64,'Data Base'!$T$35),EXACT(H64,'Data Base'!$V$38),EXACT(K64,'Data Base'!$X$35)),I64*0.5*1.2*1,IF(AND(EXACT(G64,'Data Base'!$T$35),OR(EXACT(H64,'Data Base'!$V$36),EXACT(H64,'Data Base'!$V$35)),EXACT(K64,'Data Base'!$X$36)),I64*0.5*1*0.75,IF(AND(EXACT(G64,'Data Base'!$T$35),EXACT(H64,'Data Base'!$V$37),EXACT(K64,'Data Base'!$X$36)),I64*0.5*0.5*0.75,IF(AND(EXACT(G64,'Data Base'!$T$35),EXACT(H64,'Data Base'!$V$38),EXACT(K64,'Data Base'!$X$36)),I64*0.5*1.2*0.75,IF(AND(EXACT(G64,'Data Base'!$T$35),OR(EXACT(H64,'Data Base'!$V$36),EXACT(H64,'Data Base'!$V$35)),EXACT(K64,'Data Base'!$X$37)),I64*0.5*1*0.5,IF(AND(EXACT(G64,'Data Base'!$T$35),EXACT(H64,'Data Base'!$V$37),EXACT(K64,'Data Base'!$X$37)),I64*0.5*0.5*0.5,IF(AND(EXACT(G64,'Data Base'!$T$35),EXACT(H64,'Data Base'!$V$38),EXACT(K64,'Data Base'!$X$37)),I64*0.5*1.2*0.5,IF(AND(EXACT(G64,'Data Base'!$T$36),OR(EXACT(H64,'Data Base'!$V$36),EXACT(H64,'Data Base'!$V$35)),EXACT(K64,'Data Base'!$X$35)),I64*1*1*1,IF(AND(EXACT(G64,'Data Base'!$T$36),EXACT(H64,'Data Base'!$V$37),EXACT(K64,'Data Base'!$X$35)),I64*1*0.5*1,IF(AND(EXACT(G64,'Data Base'!$T$36),EXACT(H64,'Data Base'!$V$38),EXACT(K64,'Data Base'!$X$35)),I64*1*1.2*1,IF(AND(EXACT(G64,'Data Base'!$T$36),OR(EXACT(H64,'Data Base'!$V$36),EXACT(H64,'Data Base'!$V$35)),EXACT(K64,'Data Base'!$X$36)),I64*1*1*0.75,IF(AND(EXACT(G64,'Data Base'!$T$36),EXACT(H64,'Data Base'!$V$37),EXACT(K64,'Data Base'!$X$36)),I64*1*0.5*0.75,IF(AND(EXACT(G64,'Data Base'!$T$36),EXACT(H64,'Data Base'!$V$38),EXACT(K64,'Data Base'!$X$36)),I64*1*1.2*0.75,IF(AND(EXACT(G64,'Data Base'!$T$36),OR(EXACT(H64,'Data Base'!$V$36),EXACT(H64,'Data Base'!$V$35)),EXACT(K64,'Data Base'!$X$37)),I64*1*1*0.5,IF(AND(EXACT(G64,'Data Base'!$T$36),EXACT(H64,'Data Base'!$V$37),EXACT(K64,'Data Base'!$X$37)),I64*1*0.5*0.5,IF(AND(EXACT(G64,'Data Base'!$T$36),EXACT(H64,'Data Base'!$V$38),EXACT(K64,'Data Base'!$X$37)),I64*1*1.2*0.5,IF(AND(EXACT(G64,'Data Base'!$T$37),OR(EXACT(H64,'Data Base'!$V$36),EXACT(H64,'Data Base'!$V$35)),EXACT(K64,'Data Base'!$X$35)),I64*1.25*1*1,IF(AND(EXACT(G64,'Data Base'!$T$37),EXACT(H64,'Data Base'!$V$37),EXACT(K64,'Data Base'!$X$35)),I64*1.25*0.5*1,IF(AND(EXACT(G64,'Data Base'!$T$37),EXACT(H64,'Data Base'!$V$38),EXACT(K64,'Data Base'!$X$35)),I64*1.25*1.2*1,IF(AND(EXACT(G64,'Data Base'!$T$37),OR(EXACT(H64,'Data Base'!$V$36),EXACT(H64,'Data Base'!$V$35)),EXACT(K64,'Data Base'!$X$36)),I64*1.25*1*0.75,IF(AND(EXACT(G64,'Data Base'!$T$37),EXACT(H64,'Data Base'!$V$37),EXACT(K64,'Data Base'!$X$36)),I64*1.25*0.5*0.75,IF(AND(EXACT(G64,'Data Base'!$T$37),EXACT(H64,'Data Base'!$V$38),EXACT(K64,'Data Base'!$X$36)),I64*1.25*1.2*0.75,IF(AND(EXACT(G64,'Data Base'!$T$37),OR(EXACT(H64,'Data Base'!$V$36),EXACT(H64,'Data Base'!$V$35)),EXACT(K64,'Data Base'!$X$37)),I64*1.25*1*0.5,IF(AND(EXACT(G64,'Data Base'!$T$37),EXACT(H64,'Data Base'!$V$37),EXACT(K64,'Data Base'!$X$37)),I64*1.25*0.5*0.5,IF(AND(EXACT(G64,'Data Base'!$T$37),EXACT(H64,'Data Base'!$V$38),EXACT(K64,'Data Base'!$X$37)),I64*1.25*1.2*0.5))))))))))))))))))))))))))),"")</f>
        <v/>
      </c>
    </row>
    <row r="65" spans="1:13" ht="21" customHeight="1">
      <c r="A65" s="97">
        <v>13</v>
      </c>
      <c r="B65" s="1349" t="str">
        <f t="shared" si="6"/>
        <v/>
      </c>
      <c r="C65" s="1350"/>
      <c r="D65" s="148" t="str">
        <f t="shared" si="7"/>
        <v/>
      </c>
      <c r="E65" s="1351"/>
      <c r="F65" s="1352"/>
      <c r="G65" s="165"/>
      <c r="H65" s="140"/>
      <c r="I65" s="4"/>
      <c r="J65" s="4"/>
      <c r="K65" s="140"/>
      <c r="L65" s="4" t="s">
        <v>652</v>
      </c>
      <c r="M65" s="166" t="str">
        <f>IF(AND(NOT(EXACT(D65,"")),NOT(EXACT(G65,"")),NOT(EXACT(E65,"")),NOT(EXACT(B65,"")),NOT(EXACT(I65,"")),NOT(EXACT(H65,""))),IF(AND(EXACT(G65,'Data Base'!$T$35),OR(EXACT(H65,'Data Base'!$V$36),EXACT(H65,'Data Base'!$V$35)),EXACT(K65,'Data Base'!$X$35)),I65*0.5*1*1,IF(AND(EXACT(G65,'Data Base'!$T$35),EXACT(H65,'Data Base'!$V$37),EXACT(K65,'Data Base'!$X$35)),I65*0.5*0.5*1,IF(AND(EXACT(G65,'Data Base'!$T$35),EXACT(H65,'Data Base'!$V$38),EXACT(K65,'Data Base'!$X$35)),I65*0.5*1.2*1,IF(AND(EXACT(G65,'Data Base'!$T$35),OR(EXACT(H65,'Data Base'!$V$36),EXACT(H65,'Data Base'!$V$35)),EXACT(K65,'Data Base'!$X$36)),I65*0.5*1*0.75,IF(AND(EXACT(G65,'Data Base'!$T$35),EXACT(H65,'Data Base'!$V$37),EXACT(K65,'Data Base'!$X$36)),I65*0.5*0.5*0.75,IF(AND(EXACT(G65,'Data Base'!$T$35),EXACT(H65,'Data Base'!$V$38),EXACT(K65,'Data Base'!$X$36)),I65*0.5*1.2*0.75,IF(AND(EXACT(G65,'Data Base'!$T$35),OR(EXACT(H65,'Data Base'!$V$36),EXACT(H65,'Data Base'!$V$35)),EXACT(K65,'Data Base'!$X$37)),I65*0.5*1*0.5,IF(AND(EXACT(G65,'Data Base'!$T$35),EXACT(H65,'Data Base'!$V$37),EXACT(K65,'Data Base'!$X$37)),I65*0.5*0.5*0.5,IF(AND(EXACT(G65,'Data Base'!$T$35),EXACT(H65,'Data Base'!$V$38),EXACT(K65,'Data Base'!$X$37)),I65*0.5*1.2*0.5,IF(AND(EXACT(G65,'Data Base'!$T$36),OR(EXACT(H65,'Data Base'!$V$36),EXACT(H65,'Data Base'!$V$35)),EXACT(K65,'Data Base'!$X$35)),I65*1*1*1,IF(AND(EXACT(G65,'Data Base'!$T$36),EXACT(H65,'Data Base'!$V$37),EXACT(K65,'Data Base'!$X$35)),I65*1*0.5*1,IF(AND(EXACT(G65,'Data Base'!$T$36),EXACT(H65,'Data Base'!$V$38),EXACT(K65,'Data Base'!$X$35)),I65*1*1.2*1,IF(AND(EXACT(G65,'Data Base'!$T$36),OR(EXACT(H65,'Data Base'!$V$36),EXACT(H65,'Data Base'!$V$35)),EXACT(K65,'Data Base'!$X$36)),I65*1*1*0.75,IF(AND(EXACT(G65,'Data Base'!$T$36),EXACT(H65,'Data Base'!$V$37),EXACT(K65,'Data Base'!$X$36)),I65*1*0.5*0.75,IF(AND(EXACT(G65,'Data Base'!$T$36),EXACT(H65,'Data Base'!$V$38),EXACT(K65,'Data Base'!$X$36)),I65*1*1.2*0.75,IF(AND(EXACT(G65,'Data Base'!$T$36),OR(EXACT(H65,'Data Base'!$V$36),EXACT(H65,'Data Base'!$V$35)),EXACT(K65,'Data Base'!$X$37)),I65*1*1*0.5,IF(AND(EXACT(G65,'Data Base'!$T$36),EXACT(H65,'Data Base'!$V$37),EXACT(K65,'Data Base'!$X$37)),I65*1*0.5*0.5,IF(AND(EXACT(G65,'Data Base'!$T$36),EXACT(H65,'Data Base'!$V$38),EXACT(K65,'Data Base'!$X$37)),I65*1*1.2*0.5,IF(AND(EXACT(G65,'Data Base'!$T$37),OR(EXACT(H65,'Data Base'!$V$36),EXACT(H65,'Data Base'!$V$35)),EXACT(K65,'Data Base'!$X$35)),I65*1.25*1*1,IF(AND(EXACT(G65,'Data Base'!$T$37),EXACT(H65,'Data Base'!$V$37),EXACT(K65,'Data Base'!$X$35)),I65*1.25*0.5*1,IF(AND(EXACT(G65,'Data Base'!$T$37),EXACT(H65,'Data Base'!$V$38),EXACT(K65,'Data Base'!$X$35)),I65*1.25*1.2*1,IF(AND(EXACT(G65,'Data Base'!$T$37),OR(EXACT(H65,'Data Base'!$V$36),EXACT(H65,'Data Base'!$V$35)),EXACT(K65,'Data Base'!$X$36)),I65*1.25*1*0.75,IF(AND(EXACT(G65,'Data Base'!$T$37),EXACT(H65,'Data Base'!$V$37),EXACT(K65,'Data Base'!$X$36)),I65*1.25*0.5*0.75,IF(AND(EXACT(G65,'Data Base'!$T$37),EXACT(H65,'Data Base'!$V$38),EXACT(K65,'Data Base'!$X$36)),I65*1.25*1.2*0.75,IF(AND(EXACT(G65,'Data Base'!$T$37),OR(EXACT(H65,'Data Base'!$V$36),EXACT(H65,'Data Base'!$V$35)),EXACT(K65,'Data Base'!$X$37)),I65*1.25*1*0.5,IF(AND(EXACT(G65,'Data Base'!$T$37),EXACT(H65,'Data Base'!$V$37),EXACT(K65,'Data Base'!$X$37)),I65*1.25*0.5*0.5,IF(AND(EXACT(G65,'Data Base'!$T$37),EXACT(H65,'Data Base'!$V$38),EXACT(K65,'Data Base'!$X$37)),I65*1.25*1.2*0.5))))))))))))))))))))))))))),"")</f>
        <v/>
      </c>
    </row>
    <row r="66" spans="1:13" ht="21" customHeight="1">
      <c r="A66" s="99">
        <v>14</v>
      </c>
      <c r="B66" s="1349" t="str">
        <f t="shared" si="6"/>
        <v/>
      </c>
      <c r="C66" s="1350"/>
      <c r="D66" s="148" t="str">
        <f t="shared" si="7"/>
        <v/>
      </c>
      <c r="E66" s="1351"/>
      <c r="F66" s="1352"/>
      <c r="G66" s="165"/>
      <c r="H66" s="140"/>
      <c r="I66" s="4"/>
      <c r="J66" s="4"/>
      <c r="K66" s="140"/>
      <c r="L66" s="4" t="s">
        <v>652</v>
      </c>
      <c r="M66" s="166" t="str">
        <f>IF(AND(NOT(EXACT(D66,"")),NOT(EXACT(G66,"")),NOT(EXACT(E66,"")),NOT(EXACT(B66,"")),NOT(EXACT(I66,"")),NOT(EXACT(H66,""))),IF(AND(EXACT(G66,'Data Base'!$T$35),OR(EXACT(H66,'Data Base'!$V$36),EXACT(H66,'Data Base'!$V$35)),EXACT(K66,'Data Base'!$X$35)),I66*0.5*1*1,IF(AND(EXACT(G66,'Data Base'!$T$35),EXACT(H66,'Data Base'!$V$37),EXACT(K66,'Data Base'!$X$35)),I66*0.5*0.5*1,IF(AND(EXACT(G66,'Data Base'!$T$35),EXACT(H66,'Data Base'!$V$38),EXACT(K66,'Data Base'!$X$35)),I66*0.5*1.2*1,IF(AND(EXACT(G66,'Data Base'!$T$35),OR(EXACT(H66,'Data Base'!$V$36),EXACT(H66,'Data Base'!$V$35)),EXACT(K66,'Data Base'!$X$36)),I66*0.5*1*0.75,IF(AND(EXACT(G66,'Data Base'!$T$35),EXACT(H66,'Data Base'!$V$37),EXACT(K66,'Data Base'!$X$36)),I66*0.5*0.5*0.75,IF(AND(EXACT(G66,'Data Base'!$T$35),EXACT(H66,'Data Base'!$V$38),EXACT(K66,'Data Base'!$X$36)),I66*0.5*1.2*0.75,IF(AND(EXACT(G66,'Data Base'!$T$35),OR(EXACT(H66,'Data Base'!$V$36),EXACT(H66,'Data Base'!$V$35)),EXACT(K66,'Data Base'!$X$37)),I66*0.5*1*0.5,IF(AND(EXACT(G66,'Data Base'!$T$35),EXACT(H66,'Data Base'!$V$37),EXACT(K66,'Data Base'!$X$37)),I66*0.5*0.5*0.5,IF(AND(EXACT(G66,'Data Base'!$T$35),EXACT(H66,'Data Base'!$V$38),EXACT(K66,'Data Base'!$X$37)),I66*0.5*1.2*0.5,IF(AND(EXACT(G66,'Data Base'!$T$36),OR(EXACT(H66,'Data Base'!$V$36),EXACT(H66,'Data Base'!$V$35)),EXACT(K66,'Data Base'!$X$35)),I66*1*1*1,IF(AND(EXACT(G66,'Data Base'!$T$36),EXACT(H66,'Data Base'!$V$37),EXACT(K66,'Data Base'!$X$35)),I66*1*0.5*1,IF(AND(EXACT(G66,'Data Base'!$T$36),EXACT(H66,'Data Base'!$V$38),EXACT(K66,'Data Base'!$X$35)),I66*1*1.2*1,IF(AND(EXACT(G66,'Data Base'!$T$36),OR(EXACT(H66,'Data Base'!$V$36),EXACT(H66,'Data Base'!$V$35)),EXACT(K66,'Data Base'!$X$36)),I66*1*1*0.75,IF(AND(EXACT(G66,'Data Base'!$T$36),EXACT(H66,'Data Base'!$V$37),EXACT(K66,'Data Base'!$X$36)),I66*1*0.5*0.75,IF(AND(EXACT(G66,'Data Base'!$T$36),EXACT(H66,'Data Base'!$V$38),EXACT(K66,'Data Base'!$X$36)),I66*1*1.2*0.75,IF(AND(EXACT(G66,'Data Base'!$T$36),OR(EXACT(H66,'Data Base'!$V$36),EXACT(H66,'Data Base'!$V$35)),EXACT(K66,'Data Base'!$X$37)),I66*1*1*0.5,IF(AND(EXACT(G66,'Data Base'!$T$36),EXACT(H66,'Data Base'!$V$37),EXACT(K66,'Data Base'!$X$37)),I66*1*0.5*0.5,IF(AND(EXACT(G66,'Data Base'!$T$36),EXACT(H66,'Data Base'!$V$38),EXACT(K66,'Data Base'!$X$37)),I66*1*1.2*0.5,IF(AND(EXACT(G66,'Data Base'!$T$37),OR(EXACT(H66,'Data Base'!$V$36),EXACT(H66,'Data Base'!$V$35)),EXACT(K66,'Data Base'!$X$35)),I66*1.25*1*1,IF(AND(EXACT(G66,'Data Base'!$T$37),EXACT(H66,'Data Base'!$V$37),EXACT(K66,'Data Base'!$X$35)),I66*1.25*0.5*1,IF(AND(EXACT(G66,'Data Base'!$T$37),EXACT(H66,'Data Base'!$V$38),EXACT(K66,'Data Base'!$X$35)),I66*1.25*1.2*1,IF(AND(EXACT(G66,'Data Base'!$T$37),OR(EXACT(H66,'Data Base'!$V$36),EXACT(H66,'Data Base'!$V$35)),EXACT(K66,'Data Base'!$X$36)),I66*1.25*1*0.75,IF(AND(EXACT(G66,'Data Base'!$T$37),EXACT(H66,'Data Base'!$V$37),EXACT(K66,'Data Base'!$X$36)),I66*1.25*0.5*0.75,IF(AND(EXACT(G66,'Data Base'!$T$37),EXACT(H66,'Data Base'!$V$38),EXACT(K66,'Data Base'!$X$36)),I66*1.25*1.2*0.75,IF(AND(EXACT(G66,'Data Base'!$T$37),OR(EXACT(H66,'Data Base'!$V$36),EXACT(H66,'Data Base'!$V$35)),EXACT(K66,'Data Base'!$X$37)),I66*1.25*1*0.5,IF(AND(EXACT(G66,'Data Base'!$T$37),EXACT(H66,'Data Base'!$V$37),EXACT(K66,'Data Base'!$X$37)),I66*1.25*0.5*0.5,IF(AND(EXACT(G66,'Data Base'!$T$37),EXACT(H66,'Data Base'!$V$38),EXACT(K66,'Data Base'!$X$37)),I66*1.25*1.2*0.5))))))))))))))))))))))))))),"")</f>
        <v/>
      </c>
    </row>
    <row r="67" spans="1:13" ht="21" customHeight="1" thickBot="1">
      <c r="A67" s="106">
        <v>15</v>
      </c>
      <c r="B67" s="1355" t="str">
        <f t="shared" si="6"/>
        <v/>
      </c>
      <c r="C67" s="1356"/>
      <c r="D67" s="107" t="str">
        <f t="shared" si="7"/>
        <v/>
      </c>
      <c r="E67" s="1357"/>
      <c r="F67" s="1358"/>
      <c r="G67" s="167"/>
      <c r="H67" s="108"/>
      <c r="I67" s="105"/>
      <c r="J67" s="105"/>
      <c r="K67" s="108"/>
      <c r="L67" s="105" t="s">
        <v>652</v>
      </c>
      <c r="M67" s="168" t="str">
        <f>IF(AND(NOT(EXACT(D67,"")),NOT(EXACT(G67,"")),NOT(EXACT(E67,"")),NOT(EXACT(B67,"")),NOT(EXACT(I67,"")),NOT(EXACT(H67,""))),IF(AND(EXACT(G67,'Data Base'!$T$35),OR(EXACT(H67,'Data Base'!$V$36),EXACT(H67,'Data Base'!$V$35)),EXACT(K67,'Data Base'!$X$35)),I67*0.5*1*1,IF(AND(EXACT(G67,'Data Base'!$T$35),EXACT(H67,'Data Base'!$V$37),EXACT(K67,'Data Base'!$X$35)),I67*0.5*0.5*1,IF(AND(EXACT(G67,'Data Base'!$T$35),EXACT(H67,'Data Base'!$V$38),EXACT(K67,'Data Base'!$X$35)),I67*0.5*1.2*1,IF(AND(EXACT(G67,'Data Base'!$T$35),OR(EXACT(H67,'Data Base'!$V$36),EXACT(H67,'Data Base'!$V$35)),EXACT(K67,'Data Base'!$X$36)),I67*0.5*1*0.75,IF(AND(EXACT(G67,'Data Base'!$T$35),EXACT(H67,'Data Base'!$V$37),EXACT(K67,'Data Base'!$X$36)),I67*0.5*0.5*0.75,IF(AND(EXACT(G67,'Data Base'!$T$35),EXACT(H67,'Data Base'!$V$38),EXACT(K67,'Data Base'!$X$36)),I67*0.5*1.2*0.75,IF(AND(EXACT(G67,'Data Base'!$T$35),OR(EXACT(H67,'Data Base'!$V$36),EXACT(H67,'Data Base'!$V$35)),EXACT(K67,'Data Base'!$X$37)),I67*0.5*1*0.5,IF(AND(EXACT(G67,'Data Base'!$T$35),EXACT(H67,'Data Base'!$V$37),EXACT(K67,'Data Base'!$X$37)),I67*0.5*0.5*0.5,IF(AND(EXACT(G67,'Data Base'!$T$35),EXACT(H67,'Data Base'!$V$38),EXACT(K67,'Data Base'!$X$37)),I67*0.5*1.2*0.5,IF(AND(EXACT(G67,'Data Base'!$T$36),OR(EXACT(H67,'Data Base'!$V$36),EXACT(H67,'Data Base'!$V$35)),EXACT(K67,'Data Base'!$X$35)),I67*1*1*1,IF(AND(EXACT(G67,'Data Base'!$T$36),EXACT(H67,'Data Base'!$V$37),EXACT(K67,'Data Base'!$X$35)),I67*1*0.5*1,IF(AND(EXACT(G67,'Data Base'!$T$36),EXACT(H67,'Data Base'!$V$38),EXACT(K67,'Data Base'!$X$35)),I67*1*1.2*1,IF(AND(EXACT(G67,'Data Base'!$T$36),OR(EXACT(H67,'Data Base'!$V$36),EXACT(H67,'Data Base'!$V$35)),EXACT(K67,'Data Base'!$X$36)),I67*1*1*0.75,IF(AND(EXACT(G67,'Data Base'!$T$36),EXACT(H67,'Data Base'!$V$37),EXACT(K67,'Data Base'!$X$36)),I67*1*0.5*0.75,IF(AND(EXACT(G67,'Data Base'!$T$36),EXACT(H67,'Data Base'!$V$38),EXACT(K67,'Data Base'!$X$36)),I67*1*1.2*0.75,IF(AND(EXACT(G67,'Data Base'!$T$36),OR(EXACT(H67,'Data Base'!$V$36),EXACT(H67,'Data Base'!$V$35)),EXACT(K67,'Data Base'!$X$37)),I67*1*1*0.5,IF(AND(EXACT(G67,'Data Base'!$T$36),EXACT(H67,'Data Base'!$V$37),EXACT(K67,'Data Base'!$X$37)),I67*1*0.5*0.5,IF(AND(EXACT(G67,'Data Base'!$T$36),EXACT(H67,'Data Base'!$V$38),EXACT(K67,'Data Base'!$X$37)),I67*1*1.2*0.5,IF(AND(EXACT(G67,'Data Base'!$T$37),OR(EXACT(H67,'Data Base'!$V$36),EXACT(H67,'Data Base'!$V$35)),EXACT(K67,'Data Base'!$X$35)),I67*1.25*1*1,IF(AND(EXACT(G67,'Data Base'!$T$37),EXACT(H67,'Data Base'!$V$37),EXACT(K67,'Data Base'!$X$35)),I67*1.25*0.5*1,IF(AND(EXACT(G67,'Data Base'!$T$37),EXACT(H67,'Data Base'!$V$38),EXACT(K67,'Data Base'!$X$35)),I67*1.25*1.2*1,IF(AND(EXACT(G67,'Data Base'!$T$37),OR(EXACT(H67,'Data Base'!$V$36),EXACT(H67,'Data Base'!$V$35)),EXACT(K67,'Data Base'!$X$36)),I67*1.25*1*0.75,IF(AND(EXACT(G67,'Data Base'!$T$37),EXACT(H67,'Data Base'!$V$37),EXACT(K67,'Data Base'!$X$36)),I67*1.25*0.5*0.75,IF(AND(EXACT(G67,'Data Base'!$T$37),EXACT(H67,'Data Base'!$V$38),EXACT(K67,'Data Base'!$X$36)),I67*1.25*1.2*0.75,IF(AND(EXACT(G67,'Data Base'!$T$37),OR(EXACT(H67,'Data Base'!$V$36),EXACT(H67,'Data Base'!$V$35)),EXACT(K67,'Data Base'!$X$37)),I67*1.25*1*0.5,IF(AND(EXACT(G67,'Data Base'!$T$37),EXACT(H67,'Data Base'!$V$37),EXACT(K67,'Data Base'!$X$37)),I67*1.25*0.5*0.5,IF(AND(EXACT(G67,'Data Base'!$T$37),EXACT(H67,'Data Base'!$V$38),EXACT(K67,'Data Base'!$X$37)),I67*1.25*1.2*0.5))))))))))))))))))))))))))),"")</f>
        <v/>
      </c>
    </row>
    <row r="68" spans="1:13" ht="21" customHeight="1" thickBot="1">
      <c r="A68" s="1359" t="s">
        <v>653</v>
      </c>
      <c r="B68" s="1360"/>
      <c r="C68" s="1360"/>
      <c r="D68" s="1360"/>
      <c r="E68" s="1360"/>
      <c r="F68" s="1360"/>
      <c r="G68" s="1360"/>
      <c r="H68" s="1360"/>
      <c r="I68" s="109">
        <f>B53</f>
        <v>0</v>
      </c>
      <c r="J68" s="109">
        <f>D53</f>
        <v>0</v>
      </c>
      <c r="K68" s="1361"/>
      <c r="L68" s="1362"/>
      <c r="M68" s="110">
        <f>IF(SUM(M53:M67)&gt;5,5,SUM(M53:M67))</f>
        <v>0</v>
      </c>
    </row>
    <row r="69" spans="1:13" ht="21" customHeight="1">
      <c r="A69" s="97">
        <v>1</v>
      </c>
      <c r="B69" s="1363"/>
      <c r="C69" s="1364"/>
      <c r="D69" s="104"/>
      <c r="E69" s="1353"/>
      <c r="F69" s="1354"/>
      <c r="G69" s="169"/>
      <c r="H69" s="104"/>
      <c r="I69" s="98"/>
      <c r="J69" s="98"/>
      <c r="K69" s="104"/>
      <c r="L69" s="98" t="s">
        <v>652</v>
      </c>
      <c r="M69" s="166" t="str">
        <f>IF(AND(NOT(EXACT(D69,"")),NOT(EXACT(G69,"")),NOT(EXACT(E69,"")),NOT(EXACT(B69,"")),NOT(EXACT(I69,"")),NOT(EXACT(H69,""))),IF(AND(EXACT(G69,'Data Base'!$T$35),OR(EXACT(H69,'Data Base'!$V$36),EXACT(H69,'Data Base'!$V$35)),EXACT(K69,'Data Base'!$X$35)),I69*0.5*1*1,IF(AND(EXACT(G69,'Data Base'!$T$35),EXACT(H69,'Data Base'!$V$37),EXACT(K69,'Data Base'!$X$35)),I69*0.5*0.5*1,IF(AND(EXACT(G69,'Data Base'!$T$35),EXACT(H69,'Data Base'!$V$38),EXACT(K69,'Data Base'!$X$35)),I69*0.5*1.2*1,IF(AND(EXACT(G69,'Data Base'!$T$35),OR(EXACT(H69,'Data Base'!$V$36),EXACT(H69,'Data Base'!$V$35)),EXACT(K69,'Data Base'!$X$36)),I69*0.5*1*0.75,IF(AND(EXACT(G69,'Data Base'!$T$35),EXACT(H69,'Data Base'!$V$37),EXACT(K69,'Data Base'!$X$36)),I69*0.5*0.5*0.75,IF(AND(EXACT(G69,'Data Base'!$T$35),EXACT(H69,'Data Base'!$V$38),EXACT(K69,'Data Base'!$X$36)),I69*0.5*1.2*0.75,IF(AND(EXACT(G69,'Data Base'!$T$35),OR(EXACT(H69,'Data Base'!$V$36),EXACT(H69,'Data Base'!$V$35)),EXACT(K69,'Data Base'!$X$37)),I69*0.5*1*0.5,IF(AND(EXACT(G69,'Data Base'!$T$35),EXACT(H69,'Data Base'!$V$37),EXACT(K69,'Data Base'!$X$37)),I69*0.5*0.5*0.5,IF(AND(EXACT(G69,'Data Base'!$T$35),EXACT(H69,'Data Base'!$V$38),EXACT(K69,'Data Base'!$X$37)),I69*0.5*1.2*0.5,IF(AND(EXACT(G69,'Data Base'!$T$36),OR(EXACT(H69,'Data Base'!$V$36),EXACT(H69,'Data Base'!$V$35)),EXACT(K69,'Data Base'!$X$35)),I69*1*1*1,IF(AND(EXACT(G69,'Data Base'!$T$36),EXACT(H69,'Data Base'!$V$37),EXACT(K69,'Data Base'!$X$35)),I69*1*0.5*1,IF(AND(EXACT(G69,'Data Base'!$T$36),EXACT(H69,'Data Base'!$V$38),EXACT(K69,'Data Base'!$X$35)),I69*1*1.2*1,IF(AND(EXACT(G69,'Data Base'!$T$36),OR(EXACT(H69,'Data Base'!$V$36),EXACT(H69,'Data Base'!$V$35)),EXACT(K69,'Data Base'!$X$36)),I69*1*1*0.75,IF(AND(EXACT(G69,'Data Base'!$T$36),EXACT(H69,'Data Base'!$V$37),EXACT(K69,'Data Base'!$X$36)),I69*1*0.5*0.75,IF(AND(EXACT(G69,'Data Base'!$T$36),EXACT(H69,'Data Base'!$V$38),EXACT(K69,'Data Base'!$X$36)),I69*1*1.2*0.75,IF(AND(EXACT(G69,'Data Base'!$T$36),OR(EXACT(H69,'Data Base'!$V$36),EXACT(H69,'Data Base'!$V$35)),EXACT(K69,'Data Base'!$X$37)),I69*1*1*0.5,IF(AND(EXACT(G69,'Data Base'!$T$36),EXACT(H69,'Data Base'!$V$37),EXACT(K69,'Data Base'!$X$37)),I69*1*0.5*0.5,IF(AND(EXACT(G69,'Data Base'!$T$36),EXACT(H69,'Data Base'!$V$38),EXACT(K69,'Data Base'!$X$37)),I69*1*1.2*0.5,IF(AND(EXACT(G69,'Data Base'!$T$37),OR(EXACT(H69,'Data Base'!$V$36),EXACT(H69,'Data Base'!$V$35)),EXACT(K69,'Data Base'!$X$35)),I69*1.25*1*1,IF(AND(EXACT(G69,'Data Base'!$T$37),EXACT(H69,'Data Base'!$V$37),EXACT(K69,'Data Base'!$X$35)),I69*1.25*0.5*1,IF(AND(EXACT(G69,'Data Base'!$T$37),EXACT(H69,'Data Base'!$V$38),EXACT(K69,'Data Base'!$X$35)),I69*1.25*1.2*1,IF(AND(EXACT(G69,'Data Base'!$T$37),OR(EXACT(H69,'Data Base'!$V$36),EXACT(H69,'Data Base'!$V$35)),EXACT(K69,'Data Base'!$X$36)),I69*1.25*1*0.75,IF(AND(EXACT(G69,'Data Base'!$T$37),EXACT(H69,'Data Base'!$V$37),EXACT(K69,'Data Base'!$X$36)),I69*1.25*0.5*0.75,IF(AND(EXACT(G69,'Data Base'!$T$37),EXACT(H69,'Data Base'!$V$38),EXACT(K69,'Data Base'!$X$36)),I69*1.25*1.2*0.75,IF(AND(EXACT(G69,'Data Base'!$T$37),OR(EXACT(H69,'Data Base'!$V$36),EXACT(H69,'Data Base'!$V$35)),EXACT(K69,'Data Base'!$X$37)),I69*1.25*1*0.5,IF(AND(EXACT(G69,'Data Base'!$T$37),EXACT(H69,'Data Base'!$V$37),EXACT(K69,'Data Base'!$X$37)),I69*1.25*0.5*0.5,IF(AND(EXACT(G69,'Data Base'!$T$37),EXACT(H69,'Data Base'!$V$38),EXACT(K69,'Data Base'!$X$37)),I69*1.25*1.2*0.5))))))))))))))))))))))))))),"")</f>
        <v/>
      </c>
    </row>
    <row r="70" spans="1:13" ht="21" customHeight="1">
      <c r="A70" s="99">
        <v>2</v>
      </c>
      <c r="B70" s="1349" t="str">
        <f t="shared" ref="B70:B83" si="8">IF(NOT(EXACT(D70,"")),B69,"")</f>
        <v/>
      </c>
      <c r="C70" s="1350"/>
      <c r="D70" s="148" t="str">
        <f t="shared" ref="D70:D83" si="9">IF(NOT(EXACT(E70,"")),D69,"")</f>
        <v/>
      </c>
      <c r="E70" s="1365"/>
      <c r="F70" s="1365"/>
      <c r="G70" s="165"/>
      <c r="H70" s="140"/>
      <c r="I70" s="4"/>
      <c r="J70" s="4"/>
      <c r="K70" s="140"/>
      <c r="L70" s="4" t="s">
        <v>652</v>
      </c>
      <c r="M70" s="166" t="str">
        <f>IF(AND(NOT(EXACT(D70,"")),NOT(EXACT(G70,"")),NOT(EXACT(E70,"")),NOT(EXACT(B70,"")),NOT(EXACT(I70,"")),NOT(EXACT(H70,""))),IF(AND(EXACT(G70,'Data Base'!$T$35),OR(EXACT(H70,'Data Base'!$V$36),EXACT(H70,'Data Base'!$V$35)),EXACT(K70,'Data Base'!$X$35)),I70*0.5*1*1,IF(AND(EXACT(G70,'Data Base'!$T$35),EXACT(H70,'Data Base'!$V$37),EXACT(K70,'Data Base'!$X$35)),I70*0.5*0.5*1,IF(AND(EXACT(G70,'Data Base'!$T$35),EXACT(H70,'Data Base'!$V$38),EXACT(K70,'Data Base'!$X$35)),I70*0.5*1.2*1,IF(AND(EXACT(G70,'Data Base'!$T$35),OR(EXACT(H70,'Data Base'!$V$36),EXACT(H70,'Data Base'!$V$35)),EXACT(K70,'Data Base'!$X$36)),I70*0.5*1*0.75,IF(AND(EXACT(G70,'Data Base'!$T$35),EXACT(H70,'Data Base'!$V$37),EXACT(K70,'Data Base'!$X$36)),I70*0.5*0.5*0.75,IF(AND(EXACT(G70,'Data Base'!$T$35),EXACT(H70,'Data Base'!$V$38),EXACT(K70,'Data Base'!$X$36)),I70*0.5*1.2*0.75,IF(AND(EXACT(G70,'Data Base'!$T$35),OR(EXACT(H70,'Data Base'!$V$36),EXACT(H70,'Data Base'!$V$35)),EXACT(K70,'Data Base'!$X$37)),I70*0.5*1*0.5,IF(AND(EXACT(G70,'Data Base'!$T$35),EXACT(H70,'Data Base'!$V$37),EXACT(K70,'Data Base'!$X$37)),I70*0.5*0.5*0.5,IF(AND(EXACT(G70,'Data Base'!$T$35),EXACT(H70,'Data Base'!$V$38),EXACT(K70,'Data Base'!$X$37)),I70*0.5*1.2*0.5,IF(AND(EXACT(G70,'Data Base'!$T$36),OR(EXACT(H70,'Data Base'!$V$36),EXACT(H70,'Data Base'!$V$35)),EXACT(K70,'Data Base'!$X$35)),I70*1*1*1,IF(AND(EXACT(G70,'Data Base'!$T$36),EXACT(H70,'Data Base'!$V$37),EXACT(K70,'Data Base'!$X$35)),I70*1*0.5*1,IF(AND(EXACT(G70,'Data Base'!$T$36),EXACT(H70,'Data Base'!$V$38),EXACT(K70,'Data Base'!$X$35)),I70*1*1.2*1,IF(AND(EXACT(G70,'Data Base'!$T$36),OR(EXACT(H70,'Data Base'!$V$36),EXACT(H70,'Data Base'!$V$35)),EXACT(K70,'Data Base'!$X$36)),I70*1*1*0.75,IF(AND(EXACT(G70,'Data Base'!$T$36),EXACT(H70,'Data Base'!$V$37),EXACT(K70,'Data Base'!$X$36)),I70*1*0.5*0.75,IF(AND(EXACT(G70,'Data Base'!$T$36),EXACT(H70,'Data Base'!$V$38),EXACT(K70,'Data Base'!$X$36)),I70*1*1.2*0.75,IF(AND(EXACT(G70,'Data Base'!$T$36),OR(EXACT(H70,'Data Base'!$V$36),EXACT(H70,'Data Base'!$V$35)),EXACT(K70,'Data Base'!$X$37)),I70*1*1*0.5,IF(AND(EXACT(G70,'Data Base'!$T$36),EXACT(H70,'Data Base'!$V$37),EXACT(K70,'Data Base'!$X$37)),I70*1*0.5*0.5,IF(AND(EXACT(G70,'Data Base'!$T$36),EXACT(H70,'Data Base'!$V$38),EXACT(K70,'Data Base'!$X$37)),I70*1*1.2*0.5,IF(AND(EXACT(G70,'Data Base'!$T$37),OR(EXACT(H70,'Data Base'!$V$36),EXACT(H70,'Data Base'!$V$35)),EXACT(K70,'Data Base'!$X$35)),I70*1.25*1*1,IF(AND(EXACT(G70,'Data Base'!$T$37),EXACT(H70,'Data Base'!$V$37),EXACT(K70,'Data Base'!$X$35)),I70*1.25*0.5*1,IF(AND(EXACT(G70,'Data Base'!$T$37),EXACT(H70,'Data Base'!$V$38),EXACT(K70,'Data Base'!$X$35)),I70*1.25*1.2*1,IF(AND(EXACT(G70,'Data Base'!$T$37),OR(EXACT(H70,'Data Base'!$V$36),EXACT(H70,'Data Base'!$V$35)),EXACT(K70,'Data Base'!$X$36)),I70*1.25*1*0.75,IF(AND(EXACT(G70,'Data Base'!$T$37),EXACT(H70,'Data Base'!$V$37),EXACT(K70,'Data Base'!$X$36)),I70*1.25*0.5*0.75,IF(AND(EXACT(G70,'Data Base'!$T$37),EXACT(H70,'Data Base'!$V$38),EXACT(K70,'Data Base'!$X$36)),I70*1.25*1.2*0.75,IF(AND(EXACT(G70,'Data Base'!$T$37),OR(EXACT(H70,'Data Base'!$V$36),EXACT(H70,'Data Base'!$V$35)),EXACT(K70,'Data Base'!$X$37)),I70*1.25*1*0.5,IF(AND(EXACT(G70,'Data Base'!$T$37),EXACT(H70,'Data Base'!$V$37),EXACT(K70,'Data Base'!$X$37)),I70*1.25*0.5*0.5,IF(AND(EXACT(G70,'Data Base'!$T$37),EXACT(H70,'Data Base'!$V$38),EXACT(K70,'Data Base'!$X$37)),I70*1.25*1.2*0.5))))))))))))))))))))))))))),"")</f>
        <v/>
      </c>
    </row>
    <row r="71" spans="1:13" ht="21" customHeight="1">
      <c r="A71" s="99">
        <v>3</v>
      </c>
      <c r="B71" s="1349" t="str">
        <f t="shared" si="8"/>
        <v/>
      </c>
      <c r="C71" s="1350"/>
      <c r="D71" s="148" t="str">
        <f t="shared" si="9"/>
        <v/>
      </c>
      <c r="E71" s="1351"/>
      <c r="F71" s="1352"/>
      <c r="G71" s="165"/>
      <c r="H71" s="140"/>
      <c r="I71" s="4"/>
      <c r="J71" s="4"/>
      <c r="K71" s="140"/>
      <c r="L71" s="4" t="s">
        <v>652</v>
      </c>
      <c r="M71" s="166" t="str">
        <f>IF(AND(NOT(EXACT(D71,"")),NOT(EXACT(G71,"")),NOT(EXACT(E71,"")),NOT(EXACT(B71,"")),NOT(EXACT(I71,"")),NOT(EXACT(H71,""))),IF(AND(EXACT(G71,'Data Base'!$T$35),OR(EXACT(H71,'Data Base'!$V$36),EXACT(H71,'Data Base'!$V$35)),EXACT(K71,'Data Base'!$X$35)),I71*0.5*1*1,IF(AND(EXACT(G71,'Data Base'!$T$35),EXACT(H71,'Data Base'!$V$37),EXACT(K71,'Data Base'!$X$35)),I71*0.5*0.5*1,IF(AND(EXACT(G71,'Data Base'!$T$35),EXACT(H71,'Data Base'!$V$38),EXACT(K71,'Data Base'!$X$35)),I71*0.5*1.2*1,IF(AND(EXACT(G71,'Data Base'!$T$35),OR(EXACT(H71,'Data Base'!$V$36),EXACT(H71,'Data Base'!$V$35)),EXACT(K71,'Data Base'!$X$36)),I71*0.5*1*0.75,IF(AND(EXACT(G71,'Data Base'!$T$35),EXACT(H71,'Data Base'!$V$37),EXACT(K71,'Data Base'!$X$36)),I71*0.5*0.5*0.75,IF(AND(EXACT(G71,'Data Base'!$T$35),EXACT(H71,'Data Base'!$V$38),EXACT(K71,'Data Base'!$X$36)),I71*0.5*1.2*0.75,IF(AND(EXACT(G71,'Data Base'!$T$35),OR(EXACT(H71,'Data Base'!$V$36),EXACT(H71,'Data Base'!$V$35)),EXACT(K71,'Data Base'!$X$37)),I71*0.5*1*0.5,IF(AND(EXACT(G71,'Data Base'!$T$35),EXACT(H71,'Data Base'!$V$37),EXACT(K71,'Data Base'!$X$37)),I71*0.5*0.5*0.5,IF(AND(EXACT(G71,'Data Base'!$T$35),EXACT(H71,'Data Base'!$V$38),EXACT(K71,'Data Base'!$X$37)),I71*0.5*1.2*0.5,IF(AND(EXACT(G71,'Data Base'!$T$36),OR(EXACT(H71,'Data Base'!$V$36),EXACT(H71,'Data Base'!$V$35)),EXACT(K71,'Data Base'!$X$35)),I71*1*1*1,IF(AND(EXACT(G71,'Data Base'!$T$36),EXACT(H71,'Data Base'!$V$37),EXACT(K71,'Data Base'!$X$35)),I71*1*0.5*1,IF(AND(EXACT(G71,'Data Base'!$T$36),EXACT(H71,'Data Base'!$V$38),EXACT(K71,'Data Base'!$X$35)),I71*1*1.2*1,IF(AND(EXACT(G71,'Data Base'!$T$36),OR(EXACT(H71,'Data Base'!$V$36),EXACT(H71,'Data Base'!$V$35)),EXACT(K71,'Data Base'!$X$36)),I71*1*1*0.75,IF(AND(EXACT(G71,'Data Base'!$T$36),EXACT(H71,'Data Base'!$V$37),EXACT(K71,'Data Base'!$X$36)),I71*1*0.5*0.75,IF(AND(EXACT(G71,'Data Base'!$T$36),EXACT(H71,'Data Base'!$V$38),EXACT(K71,'Data Base'!$X$36)),I71*1*1.2*0.75,IF(AND(EXACT(G71,'Data Base'!$T$36),OR(EXACT(H71,'Data Base'!$V$36),EXACT(H71,'Data Base'!$V$35)),EXACT(K71,'Data Base'!$X$37)),I71*1*1*0.5,IF(AND(EXACT(G71,'Data Base'!$T$36),EXACT(H71,'Data Base'!$V$37),EXACT(K71,'Data Base'!$X$37)),I71*1*0.5*0.5,IF(AND(EXACT(G71,'Data Base'!$T$36),EXACT(H71,'Data Base'!$V$38),EXACT(K71,'Data Base'!$X$37)),I71*1*1.2*0.5,IF(AND(EXACT(G71,'Data Base'!$T$37),OR(EXACT(H71,'Data Base'!$V$36),EXACT(H71,'Data Base'!$V$35)),EXACT(K71,'Data Base'!$X$35)),I71*1.25*1*1,IF(AND(EXACT(G71,'Data Base'!$T$37),EXACT(H71,'Data Base'!$V$37),EXACT(K71,'Data Base'!$X$35)),I71*1.25*0.5*1,IF(AND(EXACT(G71,'Data Base'!$T$37),EXACT(H71,'Data Base'!$V$38),EXACT(K71,'Data Base'!$X$35)),I71*1.25*1.2*1,IF(AND(EXACT(G71,'Data Base'!$T$37),OR(EXACT(H71,'Data Base'!$V$36),EXACT(H71,'Data Base'!$V$35)),EXACT(K71,'Data Base'!$X$36)),I71*1.25*1*0.75,IF(AND(EXACT(G71,'Data Base'!$T$37),EXACT(H71,'Data Base'!$V$37),EXACT(K71,'Data Base'!$X$36)),I71*1.25*0.5*0.75,IF(AND(EXACT(G71,'Data Base'!$T$37),EXACT(H71,'Data Base'!$V$38),EXACT(K71,'Data Base'!$X$36)),I71*1.25*1.2*0.75,IF(AND(EXACT(G71,'Data Base'!$T$37),OR(EXACT(H71,'Data Base'!$V$36),EXACT(H71,'Data Base'!$V$35)),EXACT(K71,'Data Base'!$X$37)),I71*1.25*1*0.5,IF(AND(EXACT(G71,'Data Base'!$T$37),EXACT(H71,'Data Base'!$V$37),EXACT(K71,'Data Base'!$X$37)),I71*1.25*0.5*0.5,IF(AND(EXACT(G71,'Data Base'!$T$37),EXACT(H71,'Data Base'!$V$38),EXACT(K71,'Data Base'!$X$37)),I71*1.25*1.2*0.5))))))))))))))))))))))))))),"")</f>
        <v/>
      </c>
    </row>
    <row r="72" spans="1:13" ht="21" customHeight="1">
      <c r="A72" s="97">
        <v>4</v>
      </c>
      <c r="B72" s="1349" t="str">
        <f t="shared" si="8"/>
        <v/>
      </c>
      <c r="C72" s="1350"/>
      <c r="D72" s="148" t="str">
        <f t="shared" si="9"/>
        <v/>
      </c>
      <c r="E72" s="1351"/>
      <c r="F72" s="1352"/>
      <c r="G72" s="165"/>
      <c r="H72" s="140"/>
      <c r="I72" s="4"/>
      <c r="J72" s="4"/>
      <c r="K72" s="140"/>
      <c r="L72" s="4" t="s">
        <v>652</v>
      </c>
      <c r="M72" s="166" t="str">
        <f>IF(AND(NOT(EXACT(D72,"")),NOT(EXACT(G72,"")),NOT(EXACT(E72,"")),NOT(EXACT(B72,"")),NOT(EXACT(I72,"")),NOT(EXACT(H72,""))),IF(AND(EXACT(G72,'Data Base'!$T$35),OR(EXACT(H72,'Data Base'!$V$36),EXACT(H72,'Data Base'!$V$35)),EXACT(K72,'Data Base'!$X$35)),I72*0.5*1*1,IF(AND(EXACT(G72,'Data Base'!$T$35),EXACT(H72,'Data Base'!$V$37),EXACT(K72,'Data Base'!$X$35)),I72*0.5*0.5*1,IF(AND(EXACT(G72,'Data Base'!$T$35),EXACT(H72,'Data Base'!$V$38),EXACT(K72,'Data Base'!$X$35)),I72*0.5*1.2*1,IF(AND(EXACT(G72,'Data Base'!$T$35),OR(EXACT(H72,'Data Base'!$V$36),EXACT(H72,'Data Base'!$V$35)),EXACT(K72,'Data Base'!$X$36)),I72*0.5*1*0.75,IF(AND(EXACT(G72,'Data Base'!$T$35),EXACT(H72,'Data Base'!$V$37),EXACT(K72,'Data Base'!$X$36)),I72*0.5*0.5*0.75,IF(AND(EXACT(G72,'Data Base'!$T$35),EXACT(H72,'Data Base'!$V$38),EXACT(K72,'Data Base'!$X$36)),I72*0.5*1.2*0.75,IF(AND(EXACT(G72,'Data Base'!$T$35),OR(EXACT(H72,'Data Base'!$V$36),EXACT(H72,'Data Base'!$V$35)),EXACT(K72,'Data Base'!$X$37)),I72*0.5*1*0.5,IF(AND(EXACT(G72,'Data Base'!$T$35),EXACT(H72,'Data Base'!$V$37),EXACT(K72,'Data Base'!$X$37)),I72*0.5*0.5*0.5,IF(AND(EXACT(G72,'Data Base'!$T$35),EXACT(H72,'Data Base'!$V$38),EXACT(K72,'Data Base'!$X$37)),I72*0.5*1.2*0.5,IF(AND(EXACT(G72,'Data Base'!$T$36),OR(EXACT(H72,'Data Base'!$V$36),EXACT(H72,'Data Base'!$V$35)),EXACT(K72,'Data Base'!$X$35)),I72*1*1*1,IF(AND(EXACT(G72,'Data Base'!$T$36),EXACT(H72,'Data Base'!$V$37),EXACT(K72,'Data Base'!$X$35)),I72*1*0.5*1,IF(AND(EXACT(G72,'Data Base'!$T$36),EXACT(H72,'Data Base'!$V$38),EXACT(K72,'Data Base'!$X$35)),I72*1*1.2*1,IF(AND(EXACT(G72,'Data Base'!$T$36),OR(EXACT(H72,'Data Base'!$V$36),EXACT(H72,'Data Base'!$V$35)),EXACT(K72,'Data Base'!$X$36)),I72*1*1*0.75,IF(AND(EXACT(G72,'Data Base'!$T$36),EXACT(H72,'Data Base'!$V$37),EXACT(K72,'Data Base'!$X$36)),I72*1*0.5*0.75,IF(AND(EXACT(G72,'Data Base'!$T$36),EXACT(H72,'Data Base'!$V$38),EXACT(K72,'Data Base'!$X$36)),I72*1*1.2*0.75,IF(AND(EXACT(G72,'Data Base'!$T$36),OR(EXACT(H72,'Data Base'!$V$36),EXACT(H72,'Data Base'!$V$35)),EXACT(K72,'Data Base'!$X$37)),I72*1*1*0.5,IF(AND(EXACT(G72,'Data Base'!$T$36),EXACT(H72,'Data Base'!$V$37),EXACT(K72,'Data Base'!$X$37)),I72*1*0.5*0.5,IF(AND(EXACT(G72,'Data Base'!$T$36),EXACT(H72,'Data Base'!$V$38),EXACT(K72,'Data Base'!$X$37)),I72*1*1.2*0.5,IF(AND(EXACT(G72,'Data Base'!$T$37),OR(EXACT(H72,'Data Base'!$V$36),EXACT(H72,'Data Base'!$V$35)),EXACT(K72,'Data Base'!$X$35)),I72*1.25*1*1,IF(AND(EXACT(G72,'Data Base'!$T$37),EXACT(H72,'Data Base'!$V$37),EXACT(K72,'Data Base'!$X$35)),I72*1.25*0.5*1,IF(AND(EXACT(G72,'Data Base'!$T$37),EXACT(H72,'Data Base'!$V$38),EXACT(K72,'Data Base'!$X$35)),I72*1.25*1.2*1,IF(AND(EXACT(G72,'Data Base'!$T$37),OR(EXACT(H72,'Data Base'!$V$36),EXACT(H72,'Data Base'!$V$35)),EXACT(K72,'Data Base'!$X$36)),I72*1.25*1*0.75,IF(AND(EXACT(G72,'Data Base'!$T$37),EXACT(H72,'Data Base'!$V$37),EXACT(K72,'Data Base'!$X$36)),I72*1.25*0.5*0.75,IF(AND(EXACT(G72,'Data Base'!$T$37),EXACT(H72,'Data Base'!$V$38),EXACT(K72,'Data Base'!$X$36)),I72*1.25*1.2*0.75,IF(AND(EXACT(G72,'Data Base'!$T$37),OR(EXACT(H72,'Data Base'!$V$36),EXACT(H72,'Data Base'!$V$35)),EXACT(K72,'Data Base'!$X$37)),I72*1.25*1*0.5,IF(AND(EXACT(G72,'Data Base'!$T$37),EXACT(H72,'Data Base'!$V$37),EXACT(K72,'Data Base'!$X$37)),I72*1.25*0.5*0.5,IF(AND(EXACT(G72,'Data Base'!$T$37),EXACT(H72,'Data Base'!$V$38),EXACT(K72,'Data Base'!$X$37)),I72*1.25*1.2*0.5))))))))))))))))))))))))))),"")</f>
        <v/>
      </c>
    </row>
    <row r="73" spans="1:13" ht="21" customHeight="1">
      <c r="A73" s="99">
        <v>5</v>
      </c>
      <c r="B73" s="1349" t="str">
        <f t="shared" si="8"/>
        <v/>
      </c>
      <c r="C73" s="1350"/>
      <c r="D73" s="148" t="str">
        <f t="shared" si="9"/>
        <v/>
      </c>
      <c r="E73" s="1351"/>
      <c r="F73" s="1352"/>
      <c r="G73" s="165"/>
      <c r="H73" s="140"/>
      <c r="I73" s="4"/>
      <c r="J73" s="4"/>
      <c r="K73" s="140"/>
      <c r="L73" s="4" t="s">
        <v>652</v>
      </c>
      <c r="M73" s="166" t="str">
        <f>IF(AND(NOT(EXACT(D73,"")),NOT(EXACT(G73,"")),NOT(EXACT(E73,"")),NOT(EXACT(B73,"")),NOT(EXACT(I73,"")),NOT(EXACT(H73,""))),IF(AND(EXACT(G73,'Data Base'!$T$35),OR(EXACT(H73,'Data Base'!$V$36),EXACT(H73,'Data Base'!$V$35)),EXACT(K73,'Data Base'!$X$35)),I73*0.5*1*1,IF(AND(EXACT(G73,'Data Base'!$T$35),EXACT(H73,'Data Base'!$V$37),EXACT(K73,'Data Base'!$X$35)),I73*0.5*0.5*1,IF(AND(EXACT(G73,'Data Base'!$T$35),EXACT(H73,'Data Base'!$V$38),EXACT(K73,'Data Base'!$X$35)),I73*0.5*1.2*1,IF(AND(EXACT(G73,'Data Base'!$T$35),OR(EXACT(H73,'Data Base'!$V$36),EXACT(H73,'Data Base'!$V$35)),EXACT(K73,'Data Base'!$X$36)),I73*0.5*1*0.75,IF(AND(EXACT(G73,'Data Base'!$T$35),EXACT(H73,'Data Base'!$V$37),EXACT(K73,'Data Base'!$X$36)),I73*0.5*0.5*0.75,IF(AND(EXACT(G73,'Data Base'!$T$35),EXACT(H73,'Data Base'!$V$38),EXACT(K73,'Data Base'!$X$36)),I73*0.5*1.2*0.75,IF(AND(EXACT(G73,'Data Base'!$T$35),OR(EXACT(H73,'Data Base'!$V$36),EXACT(H73,'Data Base'!$V$35)),EXACT(K73,'Data Base'!$X$37)),I73*0.5*1*0.5,IF(AND(EXACT(G73,'Data Base'!$T$35),EXACT(H73,'Data Base'!$V$37),EXACT(K73,'Data Base'!$X$37)),I73*0.5*0.5*0.5,IF(AND(EXACT(G73,'Data Base'!$T$35),EXACT(H73,'Data Base'!$V$38),EXACT(K73,'Data Base'!$X$37)),I73*0.5*1.2*0.5,IF(AND(EXACT(G73,'Data Base'!$T$36),OR(EXACT(H73,'Data Base'!$V$36),EXACT(H73,'Data Base'!$V$35)),EXACT(K73,'Data Base'!$X$35)),I73*1*1*1,IF(AND(EXACT(G73,'Data Base'!$T$36),EXACT(H73,'Data Base'!$V$37),EXACT(K73,'Data Base'!$X$35)),I73*1*0.5*1,IF(AND(EXACT(G73,'Data Base'!$T$36),EXACT(H73,'Data Base'!$V$38),EXACT(K73,'Data Base'!$X$35)),I73*1*1.2*1,IF(AND(EXACT(G73,'Data Base'!$T$36),OR(EXACT(H73,'Data Base'!$V$36),EXACT(H73,'Data Base'!$V$35)),EXACT(K73,'Data Base'!$X$36)),I73*1*1*0.75,IF(AND(EXACT(G73,'Data Base'!$T$36),EXACT(H73,'Data Base'!$V$37),EXACT(K73,'Data Base'!$X$36)),I73*1*0.5*0.75,IF(AND(EXACT(G73,'Data Base'!$T$36),EXACT(H73,'Data Base'!$V$38),EXACT(K73,'Data Base'!$X$36)),I73*1*1.2*0.75,IF(AND(EXACT(G73,'Data Base'!$T$36),OR(EXACT(H73,'Data Base'!$V$36),EXACT(H73,'Data Base'!$V$35)),EXACT(K73,'Data Base'!$X$37)),I73*1*1*0.5,IF(AND(EXACT(G73,'Data Base'!$T$36),EXACT(H73,'Data Base'!$V$37),EXACT(K73,'Data Base'!$X$37)),I73*1*0.5*0.5,IF(AND(EXACT(G73,'Data Base'!$T$36),EXACT(H73,'Data Base'!$V$38),EXACT(K73,'Data Base'!$X$37)),I73*1*1.2*0.5,IF(AND(EXACT(G73,'Data Base'!$T$37),OR(EXACT(H73,'Data Base'!$V$36),EXACT(H73,'Data Base'!$V$35)),EXACT(K73,'Data Base'!$X$35)),I73*1.25*1*1,IF(AND(EXACT(G73,'Data Base'!$T$37),EXACT(H73,'Data Base'!$V$37),EXACT(K73,'Data Base'!$X$35)),I73*1.25*0.5*1,IF(AND(EXACT(G73,'Data Base'!$T$37),EXACT(H73,'Data Base'!$V$38),EXACT(K73,'Data Base'!$X$35)),I73*1.25*1.2*1,IF(AND(EXACT(G73,'Data Base'!$T$37),OR(EXACT(H73,'Data Base'!$V$36),EXACT(H73,'Data Base'!$V$35)),EXACT(K73,'Data Base'!$X$36)),I73*1.25*1*0.75,IF(AND(EXACT(G73,'Data Base'!$T$37),EXACT(H73,'Data Base'!$V$37),EXACT(K73,'Data Base'!$X$36)),I73*1.25*0.5*0.75,IF(AND(EXACT(G73,'Data Base'!$T$37),EXACT(H73,'Data Base'!$V$38),EXACT(K73,'Data Base'!$X$36)),I73*1.25*1.2*0.75,IF(AND(EXACT(G73,'Data Base'!$T$37),OR(EXACT(H73,'Data Base'!$V$36),EXACT(H73,'Data Base'!$V$35)),EXACT(K73,'Data Base'!$X$37)),I73*1.25*1*0.5,IF(AND(EXACT(G73,'Data Base'!$T$37),EXACT(H73,'Data Base'!$V$37),EXACT(K73,'Data Base'!$X$37)),I73*1.25*0.5*0.5,IF(AND(EXACT(G73,'Data Base'!$T$37),EXACT(H73,'Data Base'!$V$38),EXACT(K73,'Data Base'!$X$37)),I73*1.25*1.2*0.5))))))))))))))))))))))))))),"")</f>
        <v/>
      </c>
    </row>
    <row r="74" spans="1:13" ht="21" customHeight="1">
      <c r="A74" s="99">
        <v>6</v>
      </c>
      <c r="B74" s="1349" t="str">
        <f t="shared" si="8"/>
        <v/>
      </c>
      <c r="C74" s="1350"/>
      <c r="D74" s="148" t="str">
        <f t="shared" si="9"/>
        <v/>
      </c>
      <c r="E74" s="1351"/>
      <c r="F74" s="1352"/>
      <c r="G74" s="165"/>
      <c r="H74" s="140"/>
      <c r="I74" s="4"/>
      <c r="J74" s="4"/>
      <c r="K74" s="140"/>
      <c r="L74" s="4" t="s">
        <v>652</v>
      </c>
      <c r="M74" s="166" t="str">
        <f>IF(AND(NOT(EXACT(D74,"")),NOT(EXACT(G74,"")),NOT(EXACT(E74,"")),NOT(EXACT(B74,"")),NOT(EXACT(I74,"")),NOT(EXACT(H74,""))),IF(AND(EXACT(G74,'Data Base'!$T$35),OR(EXACT(H74,'Data Base'!$V$36),EXACT(H74,'Data Base'!$V$35)),EXACT(K74,'Data Base'!$X$35)),I74*0.5*1*1,IF(AND(EXACT(G74,'Data Base'!$T$35),EXACT(H74,'Data Base'!$V$37),EXACT(K74,'Data Base'!$X$35)),I74*0.5*0.5*1,IF(AND(EXACT(G74,'Data Base'!$T$35),EXACT(H74,'Data Base'!$V$38),EXACT(K74,'Data Base'!$X$35)),I74*0.5*1.2*1,IF(AND(EXACT(G74,'Data Base'!$T$35),OR(EXACT(H74,'Data Base'!$V$36),EXACT(H74,'Data Base'!$V$35)),EXACT(K74,'Data Base'!$X$36)),I74*0.5*1*0.75,IF(AND(EXACT(G74,'Data Base'!$T$35),EXACT(H74,'Data Base'!$V$37),EXACT(K74,'Data Base'!$X$36)),I74*0.5*0.5*0.75,IF(AND(EXACT(G74,'Data Base'!$T$35),EXACT(H74,'Data Base'!$V$38),EXACT(K74,'Data Base'!$X$36)),I74*0.5*1.2*0.75,IF(AND(EXACT(G74,'Data Base'!$T$35),OR(EXACT(H74,'Data Base'!$V$36),EXACT(H74,'Data Base'!$V$35)),EXACT(K74,'Data Base'!$X$37)),I74*0.5*1*0.5,IF(AND(EXACT(G74,'Data Base'!$T$35),EXACT(H74,'Data Base'!$V$37),EXACT(K74,'Data Base'!$X$37)),I74*0.5*0.5*0.5,IF(AND(EXACT(G74,'Data Base'!$T$35),EXACT(H74,'Data Base'!$V$38),EXACT(K74,'Data Base'!$X$37)),I74*0.5*1.2*0.5,IF(AND(EXACT(G74,'Data Base'!$T$36),OR(EXACT(H74,'Data Base'!$V$36),EXACT(H74,'Data Base'!$V$35)),EXACT(K74,'Data Base'!$X$35)),I74*1*1*1,IF(AND(EXACT(G74,'Data Base'!$T$36),EXACT(H74,'Data Base'!$V$37),EXACT(K74,'Data Base'!$X$35)),I74*1*0.5*1,IF(AND(EXACT(G74,'Data Base'!$T$36),EXACT(H74,'Data Base'!$V$38),EXACT(K74,'Data Base'!$X$35)),I74*1*1.2*1,IF(AND(EXACT(G74,'Data Base'!$T$36),OR(EXACT(H74,'Data Base'!$V$36),EXACT(H74,'Data Base'!$V$35)),EXACT(K74,'Data Base'!$X$36)),I74*1*1*0.75,IF(AND(EXACT(G74,'Data Base'!$T$36),EXACT(H74,'Data Base'!$V$37),EXACT(K74,'Data Base'!$X$36)),I74*1*0.5*0.75,IF(AND(EXACT(G74,'Data Base'!$T$36),EXACT(H74,'Data Base'!$V$38),EXACT(K74,'Data Base'!$X$36)),I74*1*1.2*0.75,IF(AND(EXACT(G74,'Data Base'!$T$36),OR(EXACT(H74,'Data Base'!$V$36),EXACT(H74,'Data Base'!$V$35)),EXACT(K74,'Data Base'!$X$37)),I74*1*1*0.5,IF(AND(EXACT(G74,'Data Base'!$T$36),EXACT(H74,'Data Base'!$V$37),EXACT(K74,'Data Base'!$X$37)),I74*1*0.5*0.5,IF(AND(EXACT(G74,'Data Base'!$T$36),EXACT(H74,'Data Base'!$V$38),EXACT(K74,'Data Base'!$X$37)),I74*1*1.2*0.5,IF(AND(EXACT(G74,'Data Base'!$T$37),OR(EXACT(H74,'Data Base'!$V$36),EXACT(H74,'Data Base'!$V$35)),EXACT(K74,'Data Base'!$X$35)),I74*1.25*1*1,IF(AND(EXACT(G74,'Data Base'!$T$37),EXACT(H74,'Data Base'!$V$37),EXACT(K74,'Data Base'!$X$35)),I74*1.25*0.5*1,IF(AND(EXACT(G74,'Data Base'!$T$37),EXACT(H74,'Data Base'!$V$38),EXACT(K74,'Data Base'!$X$35)),I74*1.25*1.2*1,IF(AND(EXACT(G74,'Data Base'!$T$37),OR(EXACT(H74,'Data Base'!$V$36),EXACT(H74,'Data Base'!$V$35)),EXACT(K74,'Data Base'!$X$36)),I74*1.25*1*0.75,IF(AND(EXACT(G74,'Data Base'!$T$37),EXACT(H74,'Data Base'!$V$37),EXACT(K74,'Data Base'!$X$36)),I74*1.25*0.5*0.75,IF(AND(EXACT(G74,'Data Base'!$T$37),EXACT(H74,'Data Base'!$V$38),EXACT(K74,'Data Base'!$X$36)),I74*1.25*1.2*0.75,IF(AND(EXACT(G74,'Data Base'!$T$37),OR(EXACT(H74,'Data Base'!$V$36),EXACT(H74,'Data Base'!$V$35)),EXACT(K74,'Data Base'!$X$37)),I74*1.25*1*0.5,IF(AND(EXACT(G74,'Data Base'!$T$37),EXACT(H74,'Data Base'!$V$37),EXACT(K74,'Data Base'!$X$37)),I74*1.25*0.5*0.5,IF(AND(EXACT(G74,'Data Base'!$T$37),EXACT(H74,'Data Base'!$V$38),EXACT(K74,'Data Base'!$X$37)),I74*1.25*1.2*0.5))))))))))))))))))))))))))),"")</f>
        <v/>
      </c>
    </row>
    <row r="75" spans="1:13" ht="21" customHeight="1">
      <c r="A75" s="97">
        <v>7</v>
      </c>
      <c r="B75" s="1349" t="str">
        <f t="shared" si="8"/>
        <v/>
      </c>
      <c r="C75" s="1350"/>
      <c r="D75" s="148" t="str">
        <f t="shared" si="9"/>
        <v/>
      </c>
      <c r="E75" s="1351"/>
      <c r="F75" s="1352"/>
      <c r="G75" s="165"/>
      <c r="H75" s="140"/>
      <c r="I75" s="4"/>
      <c r="J75" s="4"/>
      <c r="K75" s="140"/>
      <c r="L75" s="4" t="s">
        <v>652</v>
      </c>
      <c r="M75" s="166" t="str">
        <f>IF(AND(NOT(EXACT(D75,"")),NOT(EXACT(G75,"")),NOT(EXACT(E75,"")),NOT(EXACT(B75,"")),NOT(EXACT(I75,"")),NOT(EXACT(H75,""))),IF(AND(EXACT(G75,'Data Base'!$T$35),OR(EXACT(H75,'Data Base'!$V$36),EXACT(H75,'Data Base'!$V$35)),EXACT(K75,'Data Base'!$X$35)),I75*0.5*1*1,IF(AND(EXACT(G75,'Data Base'!$T$35),EXACT(H75,'Data Base'!$V$37),EXACT(K75,'Data Base'!$X$35)),I75*0.5*0.5*1,IF(AND(EXACT(G75,'Data Base'!$T$35),EXACT(H75,'Data Base'!$V$38),EXACT(K75,'Data Base'!$X$35)),I75*0.5*1.2*1,IF(AND(EXACT(G75,'Data Base'!$T$35),OR(EXACT(H75,'Data Base'!$V$36),EXACT(H75,'Data Base'!$V$35)),EXACT(K75,'Data Base'!$X$36)),I75*0.5*1*0.75,IF(AND(EXACT(G75,'Data Base'!$T$35),EXACT(H75,'Data Base'!$V$37),EXACT(K75,'Data Base'!$X$36)),I75*0.5*0.5*0.75,IF(AND(EXACT(G75,'Data Base'!$T$35),EXACT(H75,'Data Base'!$V$38),EXACT(K75,'Data Base'!$X$36)),I75*0.5*1.2*0.75,IF(AND(EXACT(G75,'Data Base'!$T$35),OR(EXACT(H75,'Data Base'!$V$36),EXACT(H75,'Data Base'!$V$35)),EXACT(K75,'Data Base'!$X$37)),I75*0.5*1*0.5,IF(AND(EXACT(G75,'Data Base'!$T$35),EXACT(H75,'Data Base'!$V$37),EXACT(K75,'Data Base'!$X$37)),I75*0.5*0.5*0.5,IF(AND(EXACT(G75,'Data Base'!$T$35),EXACT(H75,'Data Base'!$V$38),EXACT(K75,'Data Base'!$X$37)),I75*0.5*1.2*0.5,IF(AND(EXACT(G75,'Data Base'!$T$36),OR(EXACT(H75,'Data Base'!$V$36),EXACT(H75,'Data Base'!$V$35)),EXACT(K75,'Data Base'!$X$35)),I75*1*1*1,IF(AND(EXACT(G75,'Data Base'!$T$36),EXACT(H75,'Data Base'!$V$37),EXACT(K75,'Data Base'!$X$35)),I75*1*0.5*1,IF(AND(EXACT(G75,'Data Base'!$T$36),EXACT(H75,'Data Base'!$V$38),EXACT(K75,'Data Base'!$X$35)),I75*1*1.2*1,IF(AND(EXACT(G75,'Data Base'!$T$36),OR(EXACT(H75,'Data Base'!$V$36),EXACT(H75,'Data Base'!$V$35)),EXACT(K75,'Data Base'!$X$36)),I75*1*1*0.75,IF(AND(EXACT(G75,'Data Base'!$T$36),EXACT(H75,'Data Base'!$V$37),EXACT(K75,'Data Base'!$X$36)),I75*1*0.5*0.75,IF(AND(EXACT(G75,'Data Base'!$T$36),EXACT(H75,'Data Base'!$V$38),EXACT(K75,'Data Base'!$X$36)),I75*1*1.2*0.75,IF(AND(EXACT(G75,'Data Base'!$T$36),OR(EXACT(H75,'Data Base'!$V$36),EXACT(H75,'Data Base'!$V$35)),EXACT(K75,'Data Base'!$X$37)),I75*1*1*0.5,IF(AND(EXACT(G75,'Data Base'!$T$36),EXACT(H75,'Data Base'!$V$37),EXACT(K75,'Data Base'!$X$37)),I75*1*0.5*0.5,IF(AND(EXACT(G75,'Data Base'!$T$36),EXACT(H75,'Data Base'!$V$38),EXACT(K75,'Data Base'!$X$37)),I75*1*1.2*0.5,IF(AND(EXACT(G75,'Data Base'!$T$37),OR(EXACT(H75,'Data Base'!$V$36),EXACT(H75,'Data Base'!$V$35)),EXACT(K75,'Data Base'!$X$35)),I75*1.25*1*1,IF(AND(EXACT(G75,'Data Base'!$T$37),EXACT(H75,'Data Base'!$V$37),EXACT(K75,'Data Base'!$X$35)),I75*1.25*0.5*1,IF(AND(EXACT(G75,'Data Base'!$T$37),EXACT(H75,'Data Base'!$V$38),EXACT(K75,'Data Base'!$X$35)),I75*1.25*1.2*1,IF(AND(EXACT(G75,'Data Base'!$T$37),OR(EXACT(H75,'Data Base'!$V$36),EXACT(H75,'Data Base'!$V$35)),EXACT(K75,'Data Base'!$X$36)),I75*1.25*1*0.75,IF(AND(EXACT(G75,'Data Base'!$T$37),EXACT(H75,'Data Base'!$V$37),EXACT(K75,'Data Base'!$X$36)),I75*1.25*0.5*0.75,IF(AND(EXACT(G75,'Data Base'!$T$37),EXACT(H75,'Data Base'!$V$38),EXACT(K75,'Data Base'!$X$36)),I75*1.25*1.2*0.75,IF(AND(EXACT(G75,'Data Base'!$T$37),OR(EXACT(H75,'Data Base'!$V$36),EXACT(H75,'Data Base'!$V$35)),EXACT(K75,'Data Base'!$X$37)),I75*1.25*1*0.5,IF(AND(EXACT(G75,'Data Base'!$T$37),EXACT(H75,'Data Base'!$V$37),EXACT(K75,'Data Base'!$X$37)),I75*1.25*0.5*0.5,IF(AND(EXACT(G75,'Data Base'!$T$37),EXACT(H75,'Data Base'!$V$38),EXACT(K75,'Data Base'!$X$37)),I75*1.25*1.2*0.5))))))))))))))))))))))))))),"")</f>
        <v/>
      </c>
    </row>
    <row r="76" spans="1:13" ht="21" customHeight="1">
      <c r="A76" s="99">
        <v>8</v>
      </c>
      <c r="B76" s="1349" t="str">
        <f t="shared" si="8"/>
        <v/>
      </c>
      <c r="C76" s="1350"/>
      <c r="D76" s="148" t="str">
        <f t="shared" si="9"/>
        <v/>
      </c>
      <c r="E76" s="1351"/>
      <c r="F76" s="1352"/>
      <c r="G76" s="165"/>
      <c r="H76" s="140"/>
      <c r="I76" s="4"/>
      <c r="J76" s="4"/>
      <c r="K76" s="140"/>
      <c r="L76" s="4" t="s">
        <v>652</v>
      </c>
      <c r="M76" s="166" t="str">
        <f>IF(AND(NOT(EXACT(D76,"")),NOT(EXACT(G76,"")),NOT(EXACT(E76,"")),NOT(EXACT(B76,"")),NOT(EXACT(I76,"")),NOT(EXACT(H76,""))),IF(AND(EXACT(G76,'Data Base'!$T$35),OR(EXACT(H76,'Data Base'!$V$36),EXACT(H76,'Data Base'!$V$35)),EXACT(K76,'Data Base'!$X$35)),I76*0.5*1*1,IF(AND(EXACT(G76,'Data Base'!$T$35),EXACT(H76,'Data Base'!$V$37),EXACT(K76,'Data Base'!$X$35)),I76*0.5*0.5*1,IF(AND(EXACT(G76,'Data Base'!$T$35),EXACT(H76,'Data Base'!$V$38),EXACT(K76,'Data Base'!$X$35)),I76*0.5*1.2*1,IF(AND(EXACT(G76,'Data Base'!$T$35),OR(EXACT(H76,'Data Base'!$V$36),EXACT(H76,'Data Base'!$V$35)),EXACT(K76,'Data Base'!$X$36)),I76*0.5*1*0.75,IF(AND(EXACT(G76,'Data Base'!$T$35),EXACT(H76,'Data Base'!$V$37),EXACT(K76,'Data Base'!$X$36)),I76*0.5*0.5*0.75,IF(AND(EXACT(G76,'Data Base'!$T$35),EXACT(H76,'Data Base'!$V$38),EXACT(K76,'Data Base'!$X$36)),I76*0.5*1.2*0.75,IF(AND(EXACT(G76,'Data Base'!$T$35),OR(EXACT(H76,'Data Base'!$V$36),EXACT(H76,'Data Base'!$V$35)),EXACT(K76,'Data Base'!$X$37)),I76*0.5*1*0.5,IF(AND(EXACT(G76,'Data Base'!$T$35),EXACT(H76,'Data Base'!$V$37),EXACT(K76,'Data Base'!$X$37)),I76*0.5*0.5*0.5,IF(AND(EXACT(G76,'Data Base'!$T$35),EXACT(H76,'Data Base'!$V$38),EXACT(K76,'Data Base'!$X$37)),I76*0.5*1.2*0.5,IF(AND(EXACT(G76,'Data Base'!$T$36),OR(EXACT(H76,'Data Base'!$V$36),EXACT(H76,'Data Base'!$V$35)),EXACT(K76,'Data Base'!$X$35)),I76*1*1*1,IF(AND(EXACT(G76,'Data Base'!$T$36),EXACT(H76,'Data Base'!$V$37),EXACT(K76,'Data Base'!$X$35)),I76*1*0.5*1,IF(AND(EXACT(G76,'Data Base'!$T$36),EXACT(H76,'Data Base'!$V$38),EXACT(K76,'Data Base'!$X$35)),I76*1*1.2*1,IF(AND(EXACT(G76,'Data Base'!$T$36),OR(EXACT(H76,'Data Base'!$V$36),EXACT(H76,'Data Base'!$V$35)),EXACT(K76,'Data Base'!$X$36)),I76*1*1*0.75,IF(AND(EXACT(G76,'Data Base'!$T$36),EXACT(H76,'Data Base'!$V$37),EXACT(K76,'Data Base'!$X$36)),I76*1*0.5*0.75,IF(AND(EXACT(G76,'Data Base'!$T$36),EXACT(H76,'Data Base'!$V$38),EXACT(K76,'Data Base'!$X$36)),I76*1*1.2*0.75,IF(AND(EXACT(G76,'Data Base'!$T$36),OR(EXACT(H76,'Data Base'!$V$36),EXACT(H76,'Data Base'!$V$35)),EXACT(K76,'Data Base'!$X$37)),I76*1*1*0.5,IF(AND(EXACT(G76,'Data Base'!$T$36),EXACT(H76,'Data Base'!$V$37),EXACT(K76,'Data Base'!$X$37)),I76*1*0.5*0.5,IF(AND(EXACT(G76,'Data Base'!$T$36),EXACT(H76,'Data Base'!$V$38),EXACT(K76,'Data Base'!$X$37)),I76*1*1.2*0.5,IF(AND(EXACT(G76,'Data Base'!$T$37),OR(EXACT(H76,'Data Base'!$V$36),EXACT(H76,'Data Base'!$V$35)),EXACT(K76,'Data Base'!$X$35)),I76*1.25*1*1,IF(AND(EXACT(G76,'Data Base'!$T$37),EXACT(H76,'Data Base'!$V$37),EXACT(K76,'Data Base'!$X$35)),I76*1.25*0.5*1,IF(AND(EXACT(G76,'Data Base'!$T$37),EXACT(H76,'Data Base'!$V$38),EXACT(K76,'Data Base'!$X$35)),I76*1.25*1.2*1,IF(AND(EXACT(G76,'Data Base'!$T$37),OR(EXACT(H76,'Data Base'!$V$36),EXACT(H76,'Data Base'!$V$35)),EXACT(K76,'Data Base'!$X$36)),I76*1.25*1*0.75,IF(AND(EXACT(G76,'Data Base'!$T$37),EXACT(H76,'Data Base'!$V$37),EXACT(K76,'Data Base'!$X$36)),I76*1.25*0.5*0.75,IF(AND(EXACT(G76,'Data Base'!$T$37),EXACT(H76,'Data Base'!$V$38),EXACT(K76,'Data Base'!$X$36)),I76*1.25*1.2*0.75,IF(AND(EXACT(G76,'Data Base'!$T$37),OR(EXACT(H76,'Data Base'!$V$36),EXACT(H76,'Data Base'!$V$35)),EXACT(K76,'Data Base'!$X$37)),I76*1.25*1*0.5,IF(AND(EXACT(G76,'Data Base'!$T$37),EXACT(H76,'Data Base'!$V$37),EXACT(K76,'Data Base'!$X$37)),I76*1.25*0.5*0.5,IF(AND(EXACT(G76,'Data Base'!$T$37),EXACT(H76,'Data Base'!$V$38),EXACT(K76,'Data Base'!$X$37)),I76*1.25*1.2*0.5))))))))))))))))))))))))))),"")</f>
        <v/>
      </c>
    </row>
    <row r="77" spans="1:13" ht="21" customHeight="1">
      <c r="A77" s="99">
        <v>9</v>
      </c>
      <c r="B77" s="1349" t="str">
        <f t="shared" si="8"/>
        <v/>
      </c>
      <c r="C77" s="1350"/>
      <c r="D77" s="148" t="str">
        <f t="shared" si="9"/>
        <v/>
      </c>
      <c r="E77" s="1351"/>
      <c r="F77" s="1352"/>
      <c r="G77" s="165"/>
      <c r="H77" s="140"/>
      <c r="I77" s="4"/>
      <c r="J77" s="4"/>
      <c r="K77" s="140"/>
      <c r="L77" s="4" t="s">
        <v>652</v>
      </c>
      <c r="M77" s="166" t="str">
        <f>IF(AND(NOT(EXACT(D77,"")),NOT(EXACT(G77,"")),NOT(EXACT(E77,"")),NOT(EXACT(B77,"")),NOT(EXACT(I77,"")),NOT(EXACT(H77,""))),IF(AND(EXACT(G77,'Data Base'!$T$35),OR(EXACT(H77,'Data Base'!$V$36),EXACT(H77,'Data Base'!$V$35)),EXACT(K77,'Data Base'!$X$35)),I77*0.5*1*1,IF(AND(EXACT(G77,'Data Base'!$T$35),EXACT(H77,'Data Base'!$V$37),EXACT(K77,'Data Base'!$X$35)),I77*0.5*0.5*1,IF(AND(EXACT(G77,'Data Base'!$T$35),EXACT(H77,'Data Base'!$V$38),EXACT(K77,'Data Base'!$X$35)),I77*0.5*1.2*1,IF(AND(EXACT(G77,'Data Base'!$T$35),OR(EXACT(H77,'Data Base'!$V$36),EXACT(H77,'Data Base'!$V$35)),EXACT(K77,'Data Base'!$X$36)),I77*0.5*1*0.75,IF(AND(EXACT(G77,'Data Base'!$T$35),EXACT(H77,'Data Base'!$V$37),EXACT(K77,'Data Base'!$X$36)),I77*0.5*0.5*0.75,IF(AND(EXACT(G77,'Data Base'!$T$35),EXACT(H77,'Data Base'!$V$38),EXACT(K77,'Data Base'!$X$36)),I77*0.5*1.2*0.75,IF(AND(EXACT(G77,'Data Base'!$T$35),OR(EXACT(H77,'Data Base'!$V$36),EXACT(H77,'Data Base'!$V$35)),EXACT(K77,'Data Base'!$X$37)),I77*0.5*1*0.5,IF(AND(EXACT(G77,'Data Base'!$T$35),EXACT(H77,'Data Base'!$V$37),EXACT(K77,'Data Base'!$X$37)),I77*0.5*0.5*0.5,IF(AND(EXACT(G77,'Data Base'!$T$35),EXACT(H77,'Data Base'!$V$38),EXACT(K77,'Data Base'!$X$37)),I77*0.5*1.2*0.5,IF(AND(EXACT(G77,'Data Base'!$T$36),OR(EXACT(H77,'Data Base'!$V$36),EXACT(H77,'Data Base'!$V$35)),EXACT(K77,'Data Base'!$X$35)),I77*1*1*1,IF(AND(EXACT(G77,'Data Base'!$T$36),EXACT(H77,'Data Base'!$V$37),EXACT(K77,'Data Base'!$X$35)),I77*1*0.5*1,IF(AND(EXACT(G77,'Data Base'!$T$36),EXACT(H77,'Data Base'!$V$38),EXACT(K77,'Data Base'!$X$35)),I77*1*1.2*1,IF(AND(EXACT(G77,'Data Base'!$T$36),OR(EXACT(H77,'Data Base'!$V$36),EXACT(H77,'Data Base'!$V$35)),EXACT(K77,'Data Base'!$X$36)),I77*1*1*0.75,IF(AND(EXACT(G77,'Data Base'!$T$36),EXACT(H77,'Data Base'!$V$37),EXACT(K77,'Data Base'!$X$36)),I77*1*0.5*0.75,IF(AND(EXACT(G77,'Data Base'!$T$36),EXACT(H77,'Data Base'!$V$38),EXACT(K77,'Data Base'!$X$36)),I77*1*1.2*0.75,IF(AND(EXACT(G77,'Data Base'!$T$36),OR(EXACT(H77,'Data Base'!$V$36),EXACT(H77,'Data Base'!$V$35)),EXACT(K77,'Data Base'!$X$37)),I77*1*1*0.5,IF(AND(EXACT(G77,'Data Base'!$T$36),EXACT(H77,'Data Base'!$V$37),EXACT(K77,'Data Base'!$X$37)),I77*1*0.5*0.5,IF(AND(EXACT(G77,'Data Base'!$T$36),EXACT(H77,'Data Base'!$V$38),EXACT(K77,'Data Base'!$X$37)),I77*1*1.2*0.5,IF(AND(EXACT(G77,'Data Base'!$T$37),OR(EXACT(H77,'Data Base'!$V$36),EXACT(H77,'Data Base'!$V$35)),EXACT(K77,'Data Base'!$X$35)),I77*1.25*1*1,IF(AND(EXACT(G77,'Data Base'!$T$37),EXACT(H77,'Data Base'!$V$37),EXACT(K77,'Data Base'!$X$35)),I77*1.25*0.5*1,IF(AND(EXACT(G77,'Data Base'!$T$37),EXACT(H77,'Data Base'!$V$38),EXACT(K77,'Data Base'!$X$35)),I77*1.25*1.2*1,IF(AND(EXACT(G77,'Data Base'!$T$37),OR(EXACT(H77,'Data Base'!$V$36),EXACT(H77,'Data Base'!$V$35)),EXACT(K77,'Data Base'!$X$36)),I77*1.25*1*0.75,IF(AND(EXACT(G77,'Data Base'!$T$37),EXACT(H77,'Data Base'!$V$37),EXACT(K77,'Data Base'!$X$36)),I77*1.25*0.5*0.75,IF(AND(EXACT(G77,'Data Base'!$T$37),EXACT(H77,'Data Base'!$V$38),EXACT(K77,'Data Base'!$X$36)),I77*1.25*1.2*0.75,IF(AND(EXACT(G77,'Data Base'!$T$37),OR(EXACT(H77,'Data Base'!$V$36),EXACT(H77,'Data Base'!$V$35)),EXACT(K77,'Data Base'!$X$37)),I77*1.25*1*0.5,IF(AND(EXACT(G77,'Data Base'!$T$37),EXACT(H77,'Data Base'!$V$37),EXACT(K77,'Data Base'!$X$37)),I77*1.25*0.5*0.5,IF(AND(EXACT(G77,'Data Base'!$T$37),EXACT(H77,'Data Base'!$V$38),EXACT(K77,'Data Base'!$X$37)),I77*1.25*1.2*0.5))))))))))))))))))))))))))),"")</f>
        <v/>
      </c>
    </row>
    <row r="78" spans="1:13" ht="21" customHeight="1">
      <c r="A78" s="97">
        <v>10</v>
      </c>
      <c r="B78" s="1349" t="str">
        <f t="shared" si="8"/>
        <v/>
      </c>
      <c r="C78" s="1350"/>
      <c r="D78" s="148" t="str">
        <f t="shared" si="9"/>
        <v/>
      </c>
      <c r="E78" s="1351"/>
      <c r="F78" s="1352"/>
      <c r="G78" s="165"/>
      <c r="H78" s="140"/>
      <c r="I78" s="4"/>
      <c r="J78" s="4"/>
      <c r="K78" s="140"/>
      <c r="L78" s="4" t="s">
        <v>652</v>
      </c>
      <c r="M78" s="166" t="str">
        <f>IF(AND(NOT(EXACT(D78,"")),NOT(EXACT(G78,"")),NOT(EXACT(E78,"")),NOT(EXACT(B78,"")),NOT(EXACT(I78,"")),NOT(EXACT(H78,""))),IF(AND(EXACT(G78,'Data Base'!$T$35),OR(EXACT(H78,'Data Base'!$V$36),EXACT(H78,'Data Base'!$V$35)),EXACT(K78,'Data Base'!$X$35)),I78*0.5*1*1,IF(AND(EXACT(G78,'Data Base'!$T$35),EXACT(H78,'Data Base'!$V$37),EXACT(K78,'Data Base'!$X$35)),I78*0.5*0.5*1,IF(AND(EXACT(G78,'Data Base'!$T$35),EXACT(H78,'Data Base'!$V$38),EXACT(K78,'Data Base'!$X$35)),I78*0.5*1.2*1,IF(AND(EXACT(G78,'Data Base'!$T$35),OR(EXACT(H78,'Data Base'!$V$36),EXACT(H78,'Data Base'!$V$35)),EXACT(K78,'Data Base'!$X$36)),I78*0.5*1*0.75,IF(AND(EXACT(G78,'Data Base'!$T$35),EXACT(H78,'Data Base'!$V$37),EXACT(K78,'Data Base'!$X$36)),I78*0.5*0.5*0.75,IF(AND(EXACT(G78,'Data Base'!$T$35),EXACT(H78,'Data Base'!$V$38),EXACT(K78,'Data Base'!$X$36)),I78*0.5*1.2*0.75,IF(AND(EXACT(G78,'Data Base'!$T$35),OR(EXACT(H78,'Data Base'!$V$36),EXACT(H78,'Data Base'!$V$35)),EXACT(K78,'Data Base'!$X$37)),I78*0.5*1*0.5,IF(AND(EXACT(G78,'Data Base'!$T$35),EXACT(H78,'Data Base'!$V$37),EXACT(K78,'Data Base'!$X$37)),I78*0.5*0.5*0.5,IF(AND(EXACT(G78,'Data Base'!$T$35),EXACT(H78,'Data Base'!$V$38),EXACT(K78,'Data Base'!$X$37)),I78*0.5*1.2*0.5,IF(AND(EXACT(G78,'Data Base'!$T$36),OR(EXACT(H78,'Data Base'!$V$36),EXACT(H78,'Data Base'!$V$35)),EXACT(K78,'Data Base'!$X$35)),I78*1*1*1,IF(AND(EXACT(G78,'Data Base'!$T$36),EXACT(H78,'Data Base'!$V$37),EXACT(K78,'Data Base'!$X$35)),I78*1*0.5*1,IF(AND(EXACT(G78,'Data Base'!$T$36),EXACT(H78,'Data Base'!$V$38),EXACT(K78,'Data Base'!$X$35)),I78*1*1.2*1,IF(AND(EXACT(G78,'Data Base'!$T$36),OR(EXACT(H78,'Data Base'!$V$36),EXACT(H78,'Data Base'!$V$35)),EXACT(K78,'Data Base'!$X$36)),I78*1*1*0.75,IF(AND(EXACT(G78,'Data Base'!$T$36),EXACT(H78,'Data Base'!$V$37),EXACT(K78,'Data Base'!$X$36)),I78*1*0.5*0.75,IF(AND(EXACT(G78,'Data Base'!$T$36),EXACT(H78,'Data Base'!$V$38),EXACT(K78,'Data Base'!$X$36)),I78*1*1.2*0.75,IF(AND(EXACT(G78,'Data Base'!$T$36),OR(EXACT(H78,'Data Base'!$V$36),EXACT(H78,'Data Base'!$V$35)),EXACT(K78,'Data Base'!$X$37)),I78*1*1*0.5,IF(AND(EXACT(G78,'Data Base'!$T$36),EXACT(H78,'Data Base'!$V$37),EXACT(K78,'Data Base'!$X$37)),I78*1*0.5*0.5,IF(AND(EXACT(G78,'Data Base'!$T$36),EXACT(H78,'Data Base'!$V$38),EXACT(K78,'Data Base'!$X$37)),I78*1*1.2*0.5,IF(AND(EXACT(G78,'Data Base'!$T$37),OR(EXACT(H78,'Data Base'!$V$36),EXACT(H78,'Data Base'!$V$35)),EXACT(K78,'Data Base'!$X$35)),I78*1.25*1*1,IF(AND(EXACT(G78,'Data Base'!$T$37),EXACT(H78,'Data Base'!$V$37),EXACT(K78,'Data Base'!$X$35)),I78*1.25*0.5*1,IF(AND(EXACT(G78,'Data Base'!$T$37),EXACT(H78,'Data Base'!$V$38),EXACT(K78,'Data Base'!$X$35)),I78*1.25*1.2*1,IF(AND(EXACT(G78,'Data Base'!$T$37),OR(EXACT(H78,'Data Base'!$V$36),EXACT(H78,'Data Base'!$V$35)),EXACT(K78,'Data Base'!$X$36)),I78*1.25*1*0.75,IF(AND(EXACT(G78,'Data Base'!$T$37),EXACT(H78,'Data Base'!$V$37),EXACT(K78,'Data Base'!$X$36)),I78*1.25*0.5*0.75,IF(AND(EXACT(G78,'Data Base'!$T$37),EXACT(H78,'Data Base'!$V$38),EXACT(K78,'Data Base'!$X$36)),I78*1.25*1.2*0.75,IF(AND(EXACT(G78,'Data Base'!$T$37),OR(EXACT(H78,'Data Base'!$V$36),EXACT(H78,'Data Base'!$V$35)),EXACT(K78,'Data Base'!$X$37)),I78*1.25*1*0.5,IF(AND(EXACT(G78,'Data Base'!$T$37),EXACT(H78,'Data Base'!$V$37),EXACT(K78,'Data Base'!$X$37)),I78*1.25*0.5*0.5,IF(AND(EXACT(G78,'Data Base'!$T$37),EXACT(H78,'Data Base'!$V$38),EXACT(K78,'Data Base'!$X$37)),I78*1.25*1.2*0.5))))))))))))))))))))))))))),"")</f>
        <v/>
      </c>
    </row>
    <row r="79" spans="1:13" ht="21" customHeight="1">
      <c r="A79" s="99">
        <v>11</v>
      </c>
      <c r="B79" s="1349" t="str">
        <f t="shared" si="8"/>
        <v/>
      </c>
      <c r="C79" s="1350"/>
      <c r="D79" s="148" t="str">
        <f t="shared" si="9"/>
        <v/>
      </c>
      <c r="E79" s="1351"/>
      <c r="F79" s="1352"/>
      <c r="G79" s="165"/>
      <c r="H79" s="140"/>
      <c r="I79" s="4"/>
      <c r="J79" s="4"/>
      <c r="K79" s="140"/>
      <c r="L79" s="4" t="s">
        <v>652</v>
      </c>
      <c r="M79" s="166" t="str">
        <f>IF(AND(NOT(EXACT(D79,"")),NOT(EXACT(G79,"")),NOT(EXACT(E79,"")),NOT(EXACT(B79,"")),NOT(EXACT(I79,"")),NOT(EXACT(H79,""))),IF(AND(EXACT(G79,'Data Base'!$T$35),OR(EXACT(H79,'Data Base'!$V$36),EXACT(H79,'Data Base'!$V$35)),EXACT(K79,'Data Base'!$X$35)),I79*0.5*1*1,IF(AND(EXACT(G79,'Data Base'!$T$35),EXACT(H79,'Data Base'!$V$37),EXACT(K79,'Data Base'!$X$35)),I79*0.5*0.5*1,IF(AND(EXACT(G79,'Data Base'!$T$35),EXACT(H79,'Data Base'!$V$38),EXACT(K79,'Data Base'!$X$35)),I79*0.5*1.2*1,IF(AND(EXACT(G79,'Data Base'!$T$35),OR(EXACT(H79,'Data Base'!$V$36),EXACT(H79,'Data Base'!$V$35)),EXACT(K79,'Data Base'!$X$36)),I79*0.5*1*0.75,IF(AND(EXACT(G79,'Data Base'!$T$35),EXACT(H79,'Data Base'!$V$37),EXACT(K79,'Data Base'!$X$36)),I79*0.5*0.5*0.75,IF(AND(EXACT(G79,'Data Base'!$T$35),EXACT(H79,'Data Base'!$V$38),EXACT(K79,'Data Base'!$X$36)),I79*0.5*1.2*0.75,IF(AND(EXACT(G79,'Data Base'!$T$35),OR(EXACT(H79,'Data Base'!$V$36),EXACT(H79,'Data Base'!$V$35)),EXACT(K79,'Data Base'!$X$37)),I79*0.5*1*0.5,IF(AND(EXACT(G79,'Data Base'!$T$35),EXACT(H79,'Data Base'!$V$37),EXACT(K79,'Data Base'!$X$37)),I79*0.5*0.5*0.5,IF(AND(EXACT(G79,'Data Base'!$T$35),EXACT(H79,'Data Base'!$V$38),EXACT(K79,'Data Base'!$X$37)),I79*0.5*1.2*0.5,IF(AND(EXACT(G79,'Data Base'!$T$36),OR(EXACT(H79,'Data Base'!$V$36),EXACT(H79,'Data Base'!$V$35)),EXACT(K79,'Data Base'!$X$35)),I79*1*1*1,IF(AND(EXACT(G79,'Data Base'!$T$36),EXACT(H79,'Data Base'!$V$37),EXACT(K79,'Data Base'!$X$35)),I79*1*0.5*1,IF(AND(EXACT(G79,'Data Base'!$T$36),EXACT(H79,'Data Base'!$V$38),EXACT(K79,'Data Base'!$X$35)),I79*1*1.2*1,IF(AND(EXACT(G79,'Data Base'!$T$36),OR(EXACT(H79,'Data Base'!$V$36),EXACT(H79,'Data Base'!$V$35)),EXACT(K79,'Data Base'!$X$36)),I79*1*1*0.75,IF(AND(EXACT(G79,'Data Base'!$T$36),EXACT(H79,'Data Base'!$V$37),EXACT(K79,'Data Base'!$X$36)),I79*1*0.5*0.75,IF(AND(EXACT(G79,'Data Base'!$T$36),EXACT(H79,'Data Base'!$V$38),EXACT(K79,'Data Base'!$X$36)),I79*1*1.2*0.75,IF(AND(EXACT(G79,'Data Base'!$T$36),OR(EXACT(H79,'Data Base'!$V$36),EXACT(H79,'Data Base'!$V$35)),EXACT(K79,'Data Base'!$X$37)),I79*1*1*0.5,IF(AND(EXACT(G79,'Data Base'!$T$36),EXACT(H79,'Data Base'!$V$37),EXACT(K79,'Data Base'!$X$37)),I79*1*0.5*0.5,IF(AND(EXACT(G79,'Data Base'!$T$36),EXACT(H79,'Data Base'!$V$38),EXACT(K79,'Data Base'!$X$37)),I79*1*1.2*0.5,IF(AND(EXACT(G79,'Data Base'!$T$37),OR(EXACT(H79,'Data Base'!$V$36),EXACT(H79,'Data Base'!$V$35)),EXACT(K79,'Data Base'!$X$35)),I79*1.25*1*1,IF(AND(EXACT(G79,'Data Base'!$T$37),EXACT(H79,'Data Base'!$V$37),EXACT(K79,'Data Base'!$X$35)),I79*1.25*0.5*1,IF(AND(EXACT(G79,'Data Base'!$T$37),EXACT(H79,'Data Base'!$V$38),EXACT(K79,'Data Base'!$X$35)),I79*1.25*1.2*1,IF(AND(EXACT(G79,'Data Base'!$T$37),OR(EXACT(H79,'Data Base'!$V$36),EXACT(H79,'Data Base'!$V$35)),EXACT(K79,'Data Base'!$X$36)),I79*1.25*1*0.75,IF(AND(EXACT(G79,'Data Base'!$T$37),EXACT(H79,'Data Base'!$V$37),EXACT(K79,'Data Base'!$X$36)),I79*1.25*0.5*0.75,IF(AND(EXACT(G79,'Data Base'!$T$37),EXACT(H79,'Data Base'!$V$38),EXACT(K79,'Data Base'!$X$36)),I79*1.25*1.2*0.75,IF(AND(EXACT(G79,'Data Base'!$T$37),OR(EXACT(H79,'Data Base'!$V$36),EXACT(H79,'Data Base'!$V$35)),EXACT(K79,'Data Base'!$X$37)),I79*1.25*1*0.5,IF(AND(EXACT(G79,'Data Base'!$T$37),EXACT(H79,'Data Base'!$V$37),EXACT(K79,'Data Base'!$X$37)),I79*1.25*0.5*0.5,IF(AND(EXACT(G79,'Data Base'!$T$37),EXACT(H79,'Data Base'!$V$38),EXACT(K79,'Data Base'!$X$37)),I79*1.25*1.2*0.5))))))))))))))))))))))))))),"")</f>
        <v/>
      </c>
    </row>
    <row r="80" spans="1:13" ht="21" customHeight="1">
      <c r="A80" s="99">
        <v>12</v>
      </c>
      <c r="B80" s="1349" t="str">
        <f t="shared" si="8"/>
        <v/>
      </c>
      <c r="C80" s="1350"/>
      <c r="D80" s="148" t="str">
        <f t="shared" si="9"/>
        <v/>
      </c>
      <c r="E80" s="1351"/>
      <c r="F80" s="1352"/>
      <c r="G80" s="165"/>
      <c r="H80" s="140"/>
      <c r="I80" s="4"/>
      <c r="J80" s="4"/>
      <c r="K80" s="140"/>
      <c r="L80" s="4" t="s">
        <v>652</v>
      </c>
      <c r="M80" s="166" t="str">
        <f>IF(AND(NOT(EXACT(D80,"")),NOT(EXACT(G80,"")),NOT(EXACT(E80,"")),NOT(EXACT(B80,"")),NOT(EXACT(I80,"")),NOT(EXACT(H80,""))),IF(AND(EXACT(G80,'Data Base'!$T$35),OR(EXACT(H80,'Data Base'!$V$36),EXACT(H80,'Data Base'!$V$35)),EXACT(K80,'Data Base'!$X$35)),I80*0.5*1*1,IF(AND(EXACT(G80,'Data Base'!$T$35),EXACT(H80,'Data Base'!$V$37),EXACT(K80,'Data Base'!$X$35)),I80*0.5*0.5*1,IF(AND(EXACT(G80,'Data Base'!$T$35),EXACT(H80,'Data Base'!$V$38),EXACT(K80,'Data Base'!$X$35)),I80*0.5*1.2*1,IF(AND(EXACT(G80,'Data Base'!$T$35),OR(EXACT(H80,'Data Base'!$V$36),EXACT(H80,'Data Base'!$V$35)),EXACT(K80,'Data Base'!$X$36)),I80*0.5*1*0.75,IF(AND(EXACT(G80,'Data Base'!$T$35),EXACT(H80,'Data Base'!$V$37),EXACT(K80,'Data Base'!$X$36)),I80*0.5*0.5*0.75,IF(AND(EXACT(G80,'Data Base'!$T$35),EXACT(H80,'Data Base'!$V$38),EXACT(K80,'Data Base'!$X$36)),I80*0.5*1.2*0.75,IF(AND(EXACT(G80,'Data Base'!$T$35),OR(EXACT(H80,'Data Base'!$V$36),EXACT(H80,'Data Base'!$V$35)),EXACT(K80,'Data Base'!$X$37)),I80*0.5*1*0.5,IF(AND(EXACT(G80,'Data Base'!$T$35),EXACT(H80,'Data Base'!$V$37),EXACT(K80,'Data Base'!$X$37)),I80*0.5*0.5*0.5,IF(AND(EXACT(G80,'Data Base'!$T$35),EXACT(H80,'Data Base'!$V$38),EXACT(K80,'Data Base'!$X$37)),I80*0.5*1.2*0.5,IF(AND(EXACT(G80,'Data Base'!$T$36),OR(EXACT(H80,'Data Base'!$V$36),EXACT(H80,'Data Base'!$V$35)),EXACT(K80,'Data Base'!$X$35)),I80*1*1*1,IF(AND(EXACT(G80,'Data Base'!$T$36),EXACT(H80,'Data Base'!$V$37),EXACT(K80,'Data Base'!$X$35)),I80*1*0.5*1,IF(AND(EXACT(G80,'Data Base'!$T$36),EXACT(H80,'Data Base'!$V$38),EXACT(K80,'Data Base'!$X$35)),I80*1*1.2*1,IF(AND(EXACT(G80,'Data Base'!$T$36),OR(EXACT(H80,'Data Base'!$V$36),EXACT(H80,'Data Base'!$V$35)),EXACT(K80,'Data Base'!$X$36)),I80*1*1*0.75,IF(AND(EXACT(G80,'Data Base'!$T$36),EXACT(H80,'Data Base'!$V$37),EXACT(K80,'Data Base'!$X$36)),I80*1*0.5*0.75,IF(AND(EXACT(G80,'Data Base'!$T$36),EXACT(H80,'Data Base'!$V$38),EXACT(K80,'Data Base'!$X$36)),I80*1*1.2*0.75,IF(AND(EXACT(G80,'Data Base'!$T$36),OR(EXACT(H80,'Data Base'!$V$36),EXACT(H80,'Data Base'!$V$35)),EXACT(K80,'Data Base'!$X$37)),I80*1*1*0.5,IF(AND(EXACT(G80,'Data Base'!$T$36),EXACT(H80,'Data Base'!$V$37),EXACT(K80,'Data Base'!$X$37)),I80*1*0.5*0.5,IF(AND(EXACT(G80,'Data Base'!$T$36),EXACT(H80,'Data Base'!$V$38),EXACT(K80,'Data Base'!$X$37)),I80*1*1.2*0.5,IF(AND(EXACT(G80,'Data Base'!$T$37),OR(EXACT(H80,'Data Base'!$V$36),EXACT(H80,'Data Base'!$V$35)),EXACT(K80,'Data Base'!$X$35)),I80*1.25*1*1,IF(AND(EXACT(G80,'Data Base'!$T$37),EXACT(H80,'Data Base'!$V$37),EXACT(K80,'Data Base'!$X$35)),I80*1.25*0.5*1,IF(AND(EXACT(G80,'Data Base'!$T$37),EXACT(H80,'Data Base'!$V$38),EXACT(K80,'Data Base'!$X$35)),I80*1.25*1.2*1,IF(AND(EXACT(G80,'Data Base'!$T$37),OR(EXACT(H80,'Data Base'!$V$36),EXACT(H80,'Data Base'!$V$35)),EXACT(K80,'Data Base'!$X$36)),I80*1.25*1*0.75,IF(AND(EXACT(G80,'Data Base'!$T$37),EXACT(H80,'Data Base'!$V$37),EXACT(K80,'Data Base'!$X$36)),I80*1.25*0.5*0.75,IF(AND(EXACT(G80,'Data Base'!$T$37),EXACT(H80,'Data Base'!$V$38),EXACT(K80,'Data Base'!$X$36)),I80*1.25*1.2*0.75,IF(AND(EXACT(G80,'Data Base'!$T$37),OR(EXACT(H80,'Data Base'!$V$36),EXACT(H80,'Data Base'!$V$35)),EXACT(K80,'Data Base'!$X$37)),I80*1.25*1*0.5,IF(AND(EXACT(G80,'Data Base'!$T$37),EXACT(H80,'Data Base'!$V$37),EXACT(K80,'Data Base'!$X$37)),I80*1.25*0.5*0.5,IF(AND(EXACT(G80,'Data Base'!$T$37),EXACT(H80,'Data Base'!$V$38),EXACT(K80,'Data Base'!$X$37)),I80*1.25*1.2*0.5))))))))))))))))))))))))))),"")</f>
        <v/>
      </c>
    </row>
    <row r="81" spans="1:13" ht="21" customHeight="1">
      <c r="A81" s="97">
        <v>13</v>
      </c>
      <c r="B81" s="1349" t="str">
        <f t="shared" si="8"/>
        <v/>
      </c>
      <c r="C81" s="1350"/>
      <c r="D81" s="148" t="str">
        <f t="shared" si="9"/>
        <v/>
      </c>
      <c r="E81" s="1351"/>
      <c r="F81" s="1352"/>
      <c r="G81" s="165"/>
      <c r="H81" s="140"/>
      <c r="I81" s="4"/>
      <c r="J81" s="4"/>
      <c r="K81" s="140"/>
      <c r="L81" s="4" t="s">
        <v>652</v>
      </c>
      <c r="M81" s="166" t="str">
        <f>IF(AND(NOT(EXACT(D81,"")),NOT(EXACT(G81,"")),NOT(EXACT(E81,"")),NOT(EXACT(B81,"")),NOT(EXACT(I81,"")),NOT(EXACT(H81,""))),IF(AND(EXACT(G81,'Data Base'!$T$35),OR(EXACT(H81,'Data Base'!$V$36),EXACT(H81,'Data Base'!$V$35)),EXACT(K81,'Data Base'!$X$35)),I81*0.5*1*1,IF(AND(EXACT(G81,'Data Base'!$T$35),EXACT(H81,'Data Base'!$V$37),EXACT(K81,'Data Base'!$X$35)),I81*0.5*0.5*1,IF(AND(EXACT(G81,'Data Base'!$T$35),EXACT(H81,'Data Base'!$V$38),EXACT(K81,'Data Base'!$X$35)),I81*0.5*1.2*1,IF(AND(EXACT(G81,'Data Base'!$T$35),OR(EXACT(H81,'Data Base'!$V$36),EXACT(H81,'Data Base'!$V$35)),EXACT(K81,'Data Base'!$X$36)),I81*0.5*1*0.75,IF(AND(EXACT(G81,'Data Base'!$T$35),EXACT(H81,'Data Base'!$V$37),EXACT(K81,'Data Base'!$X$36)),I81*0.5*0.5*0.75,IF(AND(EXACT(G81,'Data Base'!$T$35),EXACT(H81,'Data Base'!$V$38),EXACT(K81,'Data Base'!$X$36)),I81*0.5*1.2*0.75,IF(AND(EXACT(G81,'Data Base'!$T$35),OR(EXACT(H81,'Data Base'!$V$36),EXACT(H81,'Data Base'!$V$35)),EXACT(K81,'Data Base'!$X$37)),I81*0.5*1*0.5,IF(AND(EXACT(G81,'Data Base'!$T$35),EXACT(H81,'Data Base'!$V$37),EXACT(K81,'Data Base'!$X$37)),I81*0.5*0.5*0.5,IF(AND(EXACT(G81,'Data Base'!$T$35),EXACT(H81,'Data Base'!$V$38),EXACT(K81,'Data Base'!$X$37)),I81*0.5*1.2*0.5,IF(AND(EXACT(G81,'Data Base'!$T$36),OR(EXACT(H81,'Data Base'!$V$36),EXACT(H81,'Data Base'!$V$35)),EXACT(K81,'Data Base'!$X$35)),I81*1*1*1,IF(AND(EXACT(G81,'Data Base'!$T$36),EXACT(H81,'Data Base'!$V$37),EXACT(K81,'Data Base'!$X$35)),I81*1*0.5*1,IF(AND(EXACT(G81,'Data Base'!$T$36),EXACT(H81,'Data Base'!$V$38),EXACT(K81,'Data Base'!$X$35)),I81*1*1.2*1,IF(AND(EXACT(G81,'Data Base'!$T$36),OR(EXACT(H81,'Data Base'!$V$36),EXACT(H81,'Data Base'!$V$35)),EXACT(K81,'Data Base'!$X$36)),I81*1*1*0.75,IF(AND(EXACT(G81,'Data Base'!$T$36),EXACT(H81,'Data Base'!$V$37),EXACT(K81,'Data Base'!$X$36)),I81*1*0.5*0.75,IF(AND(EXACT(G81,'Data Base'!$T$36),EXACT(H81,'Data Base'!$V$38),EXACT(K81,'Data Base'!$X$36)),I81*1*1.2*0.75,IF(AND(EXACT(G81,'Data Base'!$T$36),OR(EXACT(H81,'Data Base'!$V$36),EXACT(H81,'Data Base'!$V$35)),EXACT(K81,'Data Base'!$X$37)),I81*1*1*0.5,IF(AND(EXACT(G81,'Data Base'!$T$36),EXACT(H81,'Data Base'!$V$37),EXACT(K81,'Data Base'!$X$37)),I81*1*0.5*0.5,IF(AND(EXACT(G81,'Data Base'!$T$36),EXACT(H81,'Data Base'!$V$38),EXACT(K81,'Data Base'!$X$37)),I81*1*1.2*0.5,IF(AND(EXACT(G81,'Data Base'!$T$37),OR(EXACT(H81,'Data Base'!$V$36),EXACT(H81,'Data Base'!$V$35)),EXACT(K81,'Data Base'!$X$35)),I81*1.25*1*1,IF(AND(EXACT(G81,'Data Base'!$T$37),EXACT(H81,'Data Base'!$V$37),EXACT(K81,'Data Base'!$X$35)),I81*1.25*0.5*1,IF(AND(EXACT(G81,'Data Base'!$T$37),EXACT(H81,'Data Base'!$V$38),EXACT(K81,'Data Base'!$X$35)),I81*1.25*1.2*1,IF(AND(EXACT(G81,'Data Base'!$T$37),OR(EXACT(H81,'Data Base'!$V$36),EXACT(H81,'Data Base'!$V$35)),EXACT(K81,'Data Base'!$X$36)),I81*1.25*1*0.75,IF(AND(EXACT(G81,'Data Base'!$T$37),EXACT(H81,'Data Base'!$V$37),EXACT(K81,'Data Base'!$X$36)),I81*1.25*0.5*0.75,IF(AND(EXACT(G81,'Data Base'!$T$37),EXACT(H81,'Data Base'!$V$38),EXACT(K81,'Data Base'!$X$36)),I81*1.25*1.2*0.75,IF(AND(EXACT(G81,'Data Base'!$T$37),OR(EXACT(H81,'Data Base'!$V$36),EXACT(H81,'Data Base'!$V$35)),EXACT(K81,'Data Base'!$X$37)),I81*1.25*1*0.5,IF(AND(EXACT(G81,'Data Base'!$T$37),EXACT(H81,'Data Base'!$V$37),EXACT(K81,'Data Base'!$X$37)),I81*1.25*0.5*0.5,IF(AND(EXACT(G81,'Data Base'!$T$37),EXACT(H81,'Data Base'!$V$38),EXACT(K81,'Data Base'!$X$37)),I81*1.25*1.2*0.5))))))))))))))))))))))))))),"")</f>
        <v/>
      </c>
    </row>
    <row r="82" spans="1:13" ht="21" customHeight="1">
      <c r="A82" s="99">
        <v>14</v>
      </c>
      <c r="B82" s="1349" t="str">
        <f t="shared" si="8"/>
        <v/>
      </c>
      <c r="C82" s="1350"/>
      <c r="D82" s="148" t="str">
        <f t="shared" si="9"/>
        <v/>
      </c>
      <c r="E82" s="1351"/>
      <c r="F82" s="1352"/>
      <c r="G82" s="165"/>
      <c r="H82" s="140"/>
      <c r="I82" s="4"/>
      <c r="J82" s="4"/>
      <c r="K82" s="140"/>
      <c r="L82" s="4" t="s">
        <v>652</v>
      </c>
      <c r="M82" s="166" t="str">
        <f>IF(AND(NOT(EXACT(D82,"")),NOT(EXACT(G82,"")),NOT(EXACT(E82,"")),NOT(EXACT(B82,"")),NOT(EXACT(I82,"")),NOT(EXACT(H82,""))),IF(AND(EXACT(G82,'Data Base'!$T$35),OR(EXACT(H82,'Data Base'!$V$36),EXACT(H82,'Data Base'!$V$35)),EXACT(K82,'Data Base'!$X$35)),I82*0.5*1*1,IF(AND(EXACT(G82,'Data Base'!$T$35),EXACT(H82,'Data Base'!$V$37),EXACT(K82,'Data Base'!$X$35)),I82*0.5*0.5*1,IF(AND(EXACT(G82,'Data Base'!$T$35),EXACT(H82,'Data Base'!$V$38),EXACT(K82,'Data Base'!$X$35)),I82*0.5*1.2*1,IF(AND(EXACT(G82,'Data Base'!$T$35),OR(EXACT(H82,'Data Base'!$V$36),EXACT(H82,'Data Base'!$V$35)),EXACT(K82,'Data Base'!$X$36)),I82*0.5*1*0.75,IF(AND(EXACT(G82,'Data Base'!$T$35),EXACT(H82,'Data Base'!$V$37),EXACT(K82,'Data Base'!$X$36)),I82*0.5*0.5*0.75,IF(AND(EXACT(G82,'Data Base'!$T$35),EXACT(H82,'Data Base'!$V$38),EXACT(K82,'Data Base'!$X$36)),I82*0.5*1.2*0.75,IF(AND(EXACT(G82,'Data Base'!$T$35),OR(EXACT(H82,'Data Base'!$V$36),EXACT(H82,'Data Base'!$V$35)),EXACT(K82,'Data Base'!$X$37)),I82*0.5*1*0.5,IF(AND(EXACT(G82,'Data Base'!$T$35),EXACT(H82,'Data Base'!$V$37),EXACT(K82,'Data Base'!$X$37)),I82*0.5*0.5*0.5,IF(AND(EXACT(G82,'Data Base'!$T$35),EXACT(H82,'Data Base'!$V$38),EXACT(K82,'Data Base'!$X$37)),I82*0.5*1.2*0.5,IF(AND(EXACT(G82,'Data Base'!$T$36),OR(EXACT(H82,'Data Base'!$V$36),EXACT(H82,'Data Base'!$V$35)),EXACT(K82,'Data Base'!$X$35)),I82*1*1*1,IF(AND(EXACT(G82,'Data Base'!$T$36),EXACT(H82,'Data Base'!$V$37),EXACT(K82,'Data Base'!$X$35)),I82*1*0.5*1,IF(AND(EXACT(G82,'Data Base'!$T$36),EXACT(H82,'Data Base'!$V$38),EXACT(K82,'Data Base'!$X$35)),I82*1*1.2*1,IF(AND(EXACT(G82,'Data Base'!$T$36),OR(EXACT(H82,'Data Base'!$V$36),EXACT(H82,'Data Base'!$V$35)),EXACT(K82,'Data Base'!$X$36)),I82*1*1*0.75,IF(AND(EXACT(G82,'Data Base'!$T$36),EXACT(H82,'Data Base'!$V$37),EXACT(K82,'Data Base'!$X$36)),I82*1*0.5*0.75,IF(AND(EXACT(G82,'Data Base'!$T$36),EXACT(H82,'Data Base'!$V$38),EXACT(K82,'Data Base'!$X$36)),I82*1*1.2*0.75,IF(AND(EXACT(G82,'Data Base'!$T$36),OR(EXACT(H82,'Data Base'!$V$36),EXACT(H82,'Data Base'!$V$35)),EXACT(K82,'Data Base'!$X$37)),I82*1*1*0.5,IF(AND(EXACT(G82,'Data Base'!$T$36),EXACT(H82,'Data Base'!$V$37),EXACT(K82,'Data Base'!$X$37)),I82*1*0.5*0.5,IF(AND(EXACT(G82,'Data Base'!$T$36),EXACT(H82,'Data Base'!$V$38),EXACT(K82,'Data Base'!$X$37)),I82*1*1.2*0.5,IF(AND(EXACT(G82,'Data Base'!$T$37),OR(EXACT(H82,'Data Base'!$V$36),EXACT(H82,'Data Base'!$V$35)),EXACT(K82,'Data Base'!$X$35)),I82*1.25*1*1,IF(AND(EXACT(G82,'Data Base'!$T$37),EXACT(H82,'Data Base'!$V$37),EXACT(K82,'Data Base'!$X$35)),I82*1.25*0.5*1,IF(AND(EXACT(G82,'Data Base'!$T$37),EXACT(H82,'Data Base'!$V$38),EXACT(K82,'Data Base'!$X$35)),I82*1.25*1.2*1,IF(AND(EXACT(G82,'Data Base'!$T$37),OR(EXACT(H82,'Data Base'!$V$36),EXACT(H82,'Data Base'!$V$35)),EXACT(K82,'Data Base'!$X$36)),I82*1.25*1*0.75,IF(AND(EXACT(G82,'Data Base'!$T$37),EXACT(H82,'Data Base'!$V$37),EXACT(K82,'Data Base'!$X$36)),I82*1.25*0.5*0.75,IF(AND(EXACT(G82,'Data Base'!$T$37),EXACT(H82,'Data Base'!$V$38),EXACT(K82,'Data Base'!$X$36)),I82*1.25*1.2*0.75,IF(AND(EXACT(G82,'Data Base'!$T$37),OR(EXACT(H82,'Data Base'!$V$36),EXACT(H82,'Data Base'!$V$35)),EXACT(K82,'Data Base'!$X$37)),I82*1.25*1*0.5,IF(AND(EXACT(G82,'Data Base'!$T$37),EXACT(H82,'Data Base'!$V$37),EXACT(K82,'Data Base'!$X$37)),I82*1.25*0.5*0.5,IF(AND(EXACT(G82,'Data Base'!$T$37),EXACT(H82,'Data Base'!$V$38),EXACT(K82,'Data Base'!$X$37)),I82*1.25*1.2*0.5))))))))))))))))))))))))))),"")</f>
        <v/>
      </c>
    </row>
    <row r="83" spans="1:13" ht="21" customHeight="1" thickBot="1">
      <c r="A83" s="106">
        <v>15</v>
      </c>
      <c r="B83" s="1355" t="str">
        <f t="shared" si="8"/>
        <v/>
      </c>
      <c r="C83" s="1356"/>
      <c r="D83" s="107" t="str">
        <f t="shared" si="9"/>
        <v/>
      </c>
      <c r="E83" s="1357"/>
      <c r="F83" s="1358"/>
      <c r="G83" s="167"/>
      <c r="H83" s="108"/>
      <c r="I83" s="105"/>
      <c r="J83" s="105"/>
      <c r="K83" s="108"/>
      <c r="L83" s="105" t="s">
        <v>652</v>
      </c>
      <c r="M83" s="168" t="str">
        <f>IF(AND(NOT(EXACT(D83,"")),NOT(EXACT(G83,"")),NOT(EXACT(E83,"")),NOT(EXACT(B83,"")),NOT(EXACT(I83,"")),NOT(EXACT(H83,""))),IF(AND(EXACT(G83,'Data Base'!$T$35),OR(EXACT(H83,'Data Base'!$V$36),EXACT(H83,'Data Base'!$V$35)),EXACT(K83,'Data Base'!$X$35)),I83*0.5*1*1,IF(AND(EXACT(G83,'Data Base'!$T$35),EXACT(H83,'Data Base'!$V$37),EXACT(K83,'Data Base'!$X$35)),I83*0.5*0.5*1,IF(AND(EXACT(G83,'Data Base'!$T$35),EXACT(H83,'Data Base'!$V$38),EXACT(K83,'Data Base'!$X$35)),I83*0.5*1.2*1,IF(AND(EXACT(G83,'Data Base'!$T$35),OR(EXACT(H83,'Data Base'!$V$36),EXACT(H83,'Data Base'!$V$35)),EXACT(K83,'Data Base'!$X$36)),I83*0.5*1*0.75,IF(AND(EXACT(G83,'Data Base'!$T$35),EXACT(H83,'Data Base'!$V$37),EXACT(K83,'Data Base'!$X$36)),I83*0.5*0.5*0.75,IF(AND(EXACT(G83,'Data Base'!$T$35),EXACT(H83,'Data Base'!$V$38),EXACT(K83,'Data Base'!$X$36)),I83*0.5*1.2*0.75,IF(AND(EXACT(G83,'Data Base'!$T$35),OR(EXACT(H83,'Data Base'!$V$36),EXACT(H83,'Data Base'!$V$35)),EXACT(K83,'Data Base'!$X$37)),I83*0.5*1*0.5,IF(AND(EXACT(G83,'Data Base'!$T$35),EXACT(H83,'Data Base'!$V$37),EXACT(K83,'Data Base'!$X$37)),I83*0.5*0.5*0.5,IF(AND(EXACT(G83,'Data Base'!$T$35),EXACT(H83,'Data Base'!$V$38),EXACT(K83,'Data Base'!$X$37)),I83*0.5*1.2*0.5,IF(AND(EXACT(G83,'Data Base'!$T$36),OR(EXACT(H83,'Data Base'!$V$36),EXACT(H83,'Data Base'!$V$35)),EXACT(K83,'Data Base'!$X$35)),I83*1*1*1,IF(AND(EXACT(G83,'Data Base'!$T$36),EXACT(H83,'Data Base'!$V$37),EXACT(K83,'Data Base'!$X$35)),I83*1*0.5*1,IF(AND(EXACT(G83,'Data Base'!$T$36),EXACT(H83,'Data Base'!$V$38),EXACT(K83,'Data Base'!$X$35)),I83*1*1.2*1,IF(AND(EXACT(G83,'Data Base'!$T$36),OR(EXACT(H83,'Data Base'!$V$36),EXACT(H83,'Data Base'!$V$35)),EXACT(K83,'Data Base'!$X$36)),I83*1*1*0.75,IF(AND(EXACT(G83,'Data Base'!$T$36),EXACT(H83,'Data Base'!$V$37),EXACT(K83,'Data Base'!$X$36)),I83*1*0.5*0.75,IF(AND(EXACT(G83,'Data Base'!$T$36),EXACT(H83,'Data Base'!$V$38),EXACT(K83,'Data Base'!$X$36)),I83*1*1.2*0.75,IF(AND(EXACT(G83,'Data Base'!$T$36),OR(EXACT(H83,'Data Base'!$V$36),EXACT(H83,'Data Base'!$V$35)),EXACT(K83,'Data Base'!$X$37)),I83*1*1*0.5,IF(AND(EXACT(G83,'Data Base'!$T$36),EXACT(H83,'Data Base'!$V$37),EXACT(K83,'Data Base'!$X$37)),I83*1*0.5*0.5,IF(AND(EXACT(G83,'Data Base'!$T$36),EXACT(H83,'Data Base'!$V$38),EXACT(K83,'Data Base'!$X$37)),I83*1*1.2*0.5,IF(AND(EXACT(G83,'Data Base'!$T$37),OR(EXACT(H83,'Data Base'!$V$36),EXACT(H83,'Data Base'!$V$35)),EXACT(K83,'Data Base'!$X$35)),I83*1.25*1*1,IF(AND(EXACT(G83,'Data Base'!$T$37),EXACT(H83,'Data Base'!$V$37),EXACT(K83,'Data Base'!$X$35)),I83*1.25*0.5*1,IF(AND(EXACT(G83,'Data Base'!$T$37),EXACT(H83,'Data Base'!$V$38),EXACT(K83,'Data Base'!$X$35)),I83*1.25*1.2*1,IF(AND(EXACT(G83,'Data Base'!$T$37),OR(EXACT(H83,'Data Base'!$V$36),EXACT(H83,'Data Base'!$V$35)),EXACT(K83,'Data Base'!$X$36)),I83*1.25*1*0.75,IF(AND(EXACT(G83,'Data Base'!$T$37),EXACT(H83,'Data Base'!$V$37),EXACT(K83,'Data Base'!$X$36)),I83*1.25*0.5*0.75,IF(AND(EXACT(G83,'Data Base'!$T$37),EXACT(H83,'Data Base'!$V$38),EXACT(K83,'Data Base'!$X$36)),I83*1.25*1.2*0.75,IF(AND(EXACT(G83,'Data Base'!$T$37),OR(EXACT(H83,'Data Base'!$V$36),EXACT(H83,'Data Base'!$V$35)),EXACT(K83,'Data Base'!$X$37)),I83*1.25*1*0.5,IF(AND(EXACT(G83,'Data Base'!$T$37),EXACT(H83,'Data Base'!$V$37),EXACT(K83,'Data Base'!$X$37)),I83*1.25*0.5*0.5,IF(AND(EXACT(G83,'Data Base'!$T$37),EXACT(H83,'Data Base'!$V$38),EXACT(K83,'Data Base'!$X$37)),I83*1.25*1.2*0.5))))))))))))))))))))))))))),"")</f>
        <v/>
      </c>
    </row>
    <row r="84" spans="1:13" ht="21" customHeight="1" thickBot="1">
      <c r="A84" s="1359" t="s">
        <v>653</v>
      </c>
      <c r="B84" s="1360"/>
      <c r="C84" s="1360"/>
      <c r="D84" s="1360"/>
      <c r="E84" s="1360"/>
      <c r="F84" s="1360"/>
      <c r="G84" s="1360"/>
      <c r="H84" s="1360"/>
      <c r="I84" s="109">
        <f>B69</f>
        <v>0</v>
      </c>
      <c r="J84" s="109">
        <f>D69</f>
        <v>0</v>
      </c>
      <c r="K84" s="1361"/>
      <c r="L84" s="1362"/>
      <c r="M84" s="110">
        <f>IF(SUM(M69:M83)&gt;5,5,SUM(M69:M83))</f>
        <v>0</v>
      </c>
    </row>
    <row r="85" spans="1:13" ht="21" customHeight="1">
      <c r="A85" s="97">
        <v>1</v>
      </c>
      <c r="B85" s="1363"/>
      <c r="C85" s="1364"/>
      <c r="D85" s="104"/>
      <c r="E85" s="1353"/>
      <c r="F85" s="1354"/>
      <c r="G85" s="169"/>
      <c r="H85" s="104"/>
      <c r="I85" s="98"/>
      <c r="J85" s="98"/>
      <c r="K85" s="104"/>
      <c r="L85" s="98" t="s">
        <v>652</v>
      </c>
      <c r="M85" s="166" t="str">
        <f>IF(AND(NOT(EXACT(D85,"")),NOT(EXACT(G85,"")),NOT(EXACT(E85,"")),NOT(EXACT(B85,"")),NOT(EXACT(I85,"")),NOT(EXACT(H85,""))),IF(AND(EXACT(G85,'Data Base'!$T$35),OR(EXACT(H85,'Data Base'!$V$36),EXACT(H85,'Data Base'!$V$35)),EXACT(K85,'Data Base'!$X$35)),I85*0.5*1*1,IF(AND(EXACT(G85,'Data Base'!$T$35),EXACT(H85,'Data Base'!$V$37),EXACT(K85,'Data Base'!$X$35)),I85*0.5*0.5*1,IF(AND(EXACT(G85,'Data Base'!$T$35),EXACT(H85,'Data Base'!$V$38),EXACT(K85,'Data Base'!$X$35)),I85*0.5*1.2*1,IF(AND(EXACT(G85,'Data Base'!$T$35),OR(EXACT(H85,'Data Base'!$V$36),EXACT(H85,'Data Base'!$V$35)),EXACT(K85,'Data Base'!$X$36)),I85*0.5*1*0.75,IF(AND(EXACT(G85,'Data Base'!$T$35),EXACT(H85,'Data Base'!$V$37),EXACT(K85,'Data Base'!$X$36)),I85*0.5*0.5*0.75,IF(AND(EXACT(G85,'Data Base'!$T$35),EXACT(H85,'Data Base'!$V$38),EXACT(K85,'Data Base'!$X$36)),I85*0.5*1.2*0.75,IF(AND(EXACT(G85,'Data Base'!$T$35),OR(EXACT(H85,'Data Base'!$V$36),EXACT(H85,'Data Base'!$V$35)),EXACT(K85,'Data Base'!$X$37)),I85*0.5*1*0.5,IF(AND(EXACT(G85,'Data Base'!$T$35),EXACT(H85,'Data Base'!$V$37),EXACT(K85,'Data Base'!$X$37)),I85*0.5*0.5*0.5,IF(AND(EXACT(G85,'Data Base'!$T$35),EXACT(H85,'Data Base'!$V$38),EXACT(K85,'Data Base'!$X$37)),I85*0.5*1.2*0.5,IF(AND(EXACT(G85,'Data Base'!$T$36),OR(EXACT(H85,'Data Base'!$V$36),EXACT(H85,'Data Base'!$V$35)),EXACT(K85,'Data Base'!$X$35)),I85*1*1*1,IF(AND(EXACT(G85,'Data Base'!$T$36),EXACT(H85,'Data Base'!$V$37),EXACT(K85,'Data Base'!$X$35)),I85*1*0.5*1,IF(AND(EXACT(G85,'Data Base'!$T$36),EXACT(H85,'Data Base'!$V$38),EXACT(K85,'Data Base'!$X$35)),I85*1*1.2*1,IF(AND(EXACT(G85,'Data Base'!$T$36),OR(EXACT(H85,'Data Base'!$V$36),EXACT(H85,'Data Base'!$V$35)),EXACT(K85,'Data Base'!$X$36)),I85*1*1*0.75,IF(AND(EXACT(G85,'Data Base'!$T$36),EXACT(H85,'Data Base'!$V$37),EXACT(K85,'Data Base'!$X$36)),I85*1*0.5*0.75,IF(AND(EXACT(G85,'Data Base'!$T$36),EXACT(H85,'Data Base'!$V$38),EXACT(K85,'Data Base'!$X$36)),I85*1*1.2*0.75,IF(AND(EXACT(G85,'Data Base'!$T$36),OR(EXACT(H85,'Data Base'!$V$36),EXACT(H85,'Data Base'!$V$35)),EXACT(K85,'Data Base'!$X$37)),I85*1*1*0.5,IF(AND(EXACT(G85,'Data Base'!$T$36),EXACT(H85,'Data Base'!$V$37),EXACT(K85,'Data Base'!$X$37)),I85*1*0.5*0.5,IF(AND(EXACT(G85,'Data Base'!$T$36),EXACT(H85,'Data Base'!$V$38),EXACT(K85,'Data Base'!$X$37)),I85*1*1.2*0.5,IF(AND(EXACT(G85,'Data Base'!$T$37),OR(EXACT(H85,'Data Base'!$V$36),EXACT(H85,'Data Base'!$V$35)),EXACT(K85,'Data Base'!$X$35)),I85*1.25*1*1,IF(AND(EXACT(G85,'Data Base'!$T$37),EXACT(H85,'Data Base'!$V$37),EXACT(K85,'Data Base'!$X$35)),I85*1.25*0.5*1,IF(AND(EXACT(G85,'Data Base'!$T$37),EXACT(H85,'Data Base'!$V$38),EXACT(K85,'Data Base'!$X$35)),I85*1.25*1.2*1,IF(AND(EXACT(G85,'Data Base'!$T$37),OR(EXACT(H85,'Data Base'!$V$36),EXACT(H85,'Data Base'!$V$35)),EXACT(K85,'Data Base'!$X$36)),I85*1.25*1*0.75,IF(AND(EXACT(G85,'Data Base'!$T$37),EXACT(H85,'Data Base'!$V$37),EXACT(K85,'Data Base'!$X$36)),I85*1.25*0.5*0.75,IF(AND(EXACT(G85,'Data Base'!$T$37),EXACT(H85,'Data Base'!$V$38),EXACT(K85,'Data Base'!$X$36)),I85*1.25*1.2*0.75,IF(AND(EXACT(G85,'Data Base'!$T$37),OR(EXACT(H85,'Data Base'!$V$36),EXACT(H85,'Data Base'!$V$35)),EXACT(K85,'Data Base'!$X$37)),I85*1.25*1*0.5,IF(AND(EXACT(G85,'Data Base'!$T$37),EXACT(H85,'Data Base'!$V$37),EXACT(K85,'Data Base'!$X$37)),I85*1.25*0.5*0.5,IF(AND(EXACT(G85,'Data Base'!$T$37),EXACT(H85,'Data Base'!$V$38),EXACT(K85,'Data Base'!$X$37)),I85*1.25*1.2*0.5))))))))))))))))))))))))))),"")</f>
        <v/>
      </c>
    </row>
    <row r="86" spans="1:13" ht="21" customHeight="1">
      <c r="A86" s="99">
        <v>2</v>
      </c>
      <c r="B86" s="1349" t="str">
        <f t="shared" ref="B86:B99" si="10">IF(NOT(EXACT(D86,"")),B85,"")</f>
        <v/>
      </c>
      <c r="C86" s="1350"/>
      <c r="D86" s="148" t="str">
        <f t="shared" ref="D86:D99" si="11">IF(NOT(EXACT(E86,"")),D85,"")</f>
        <v/>
      </c>
      <c r="E86" s="1365"/>
      <c r="F86" s="1365"/>
      <c r="G86" s="165"/>
      <c r="H86" s="140"/>
      <c r="I86" s="4"/>
      <c r="J86" s="4"/>
      <c r="K86" s="140"/>
      <c r="L86" s="4" t="s">
        <v>652</v>
      </c>
      <c r="M86" s="166" t="str">
        <f>IF(AND(NOT(EXACT(D86,"")),NOT(EXACT(G86,"")),NOT(EXACT(E86,"")),NOT(EXACT(B86,"")),NOT(EXACT(I86,"")),NOT(EXACT(H86,""))),IF(AND(EXACT(G86,'Data Base'!$T$35),OR(EXACT(H86,'Data Base'!$V$36),EXACT(H86,'Data Base'!$V$35)),EXACT(K86,'Data Base'!$X$35)),I86*0.5*1*1,IF(AND(EXACT(G86,'Data Base'!$T$35),EXACT(H86,'Data Base'!$V$37),EXACT(K86,'Data Base'!$X$35)),I86*0.5*0.5*1,IF(AND(EXACT(G86,'Data Base'!$T$35),EXACT(H86,'Data Base'!$V$38),EXACT(K86,'Data Base'!$X$35)),I86*0.5*1.2*1,IF(AND(EXACT(G86,'Data Base'!$T$35),OR(EXACT(H86,'Data Base'!$V$36),EXACT(H86,'Data Base'!$V$35)),EXACT(K86,'Data Base'!$X$36)),I86*0.5*1*0.75,IF(AND(EXACT(G86,'Data Base'!$T$35),EXACT(H86,'Data Base'!$V$37),EXACT(K86,'Data Base'!$X$36)),I86*0.5*0.5*0.75,IF(AND(EXACT(G86,'Data Base'!$T$35),EXACT(H86,'Data Base'!$V$38),EXACT(K86,'Data Base'!$X$36)),I86*0.5*1.2*0.75,IF(AND(EXACT(G86,'Data Base'!$T$35),OR(EXACT(H86,'Data Base'!$V$36),EXACT(H86,'Data Base'!$V$35)),EXACT(K86,'Data Base'!$X$37)),I86*0.5*1*0.5,IF(AND(EXACT(G86,'Data Base'!$T$35),EXACT(H86,'Data Base'!$V$37),EXACT(K86,'Data Base'!$X$37)),I86*0.5*0.5*0.5,IF(AND(EXACT(G86,'Data Base'!$T$35),EXACT(H86,'Data Base'!$V$38),EXACT(K86,'Data Base'!$X$37)),I86*0.5*1.2*0.5,IF(AND(EXACT(G86,'Data Base'!$T$36),OR(EXACT(H86,'Data Base'!$V$36),EXACT(H86,'Data Base'!$V$35)),EXACT(K86,'Data Base'!$X$35)),I86*1*1*1,IF(AND(EXACT(G86,'Data Base'!$T$36),EXACT(H86,'Data Base'!$V$37),EXACT(K86,'Data Base'!$X$35)),I86*1*0.5*1,IF(AND(EXACT(G86,'Data Base'!$T$36),EXACT(H86,'Data Base'!$V$38),EXACT(K86,'Data Base'!$X$35)),I86*1*1.2*1,IF(AND(EXACT(G86,'Data Base'!$T$36),OR(EXACT(H86,'Data Base'!$V$36),EXACT(H86,'Data Base'!$V$35)),EXACT(K86,'Data Base'!$X$36)),I86*1*1*0.75,IF(AND(EXACT(G86,'Data Base'!$T$36),EXACT(H86,'Data Base'!$V$37),EXACT(K86,'Data Base'!$X$36)),I86*1*0.5*0.75,IF(AND(EXACT(G86,'Data Base'!$T$36),EXACT(H86,'Data Base'!$V$38),EXACT(K86,'Data Base'!$X$36)),I86*1*1.2*0.75,IF(AND(EXACT(G86,'Data Base'!$T$36),OR(EXACT(H86,'Data Base'!$V$36),EXACT(H86,'Data Base'!$V$35)),EXACT(K86,'Data Base'!$X$37)),I86*1*1*0.5,IF(AND(EXACT(G86,'Data Base'!$T$36),EXACT(H86,'Data Base'!$V$37),EXACT(K86,'Data Base'!$X$37)),I86*1*0.5*0.5,IF(AND(EXACT(G86,'Data Base'!$T$36),EXACT(H86,'Data Base'!$V$38),EXACT(K86,'Data Base'!$X$37)),I86*1*1.2*0.5,IF(AND(EXACT(G86,'Data Base'!$T$37),OR(EXACT(H86,'Data Base'!$V$36),EXACT(H86,'Data Base'!$V$35)),EXACT(K86,'Data Base'!$X$35)),I86*1.25*1*1,IF(AND(EXACT(G86,'Data Base'!$T$37),EXACT(H86,'Data Base'!$V$37),EXACT(K86,'Data Base'!$X$35)),I86*1.25*0.5*1,IF(AND(EXACT(G86,'Data Base'!$T$37),EXACT(H86,'Data Base'!$V$38),EXACT(K86,'Data Base'!$X$35)),I86*1.25*1.2*1,IF(AND(EXACT(G86,'Data Base'!$T$37),OR(EXACT(H86,'Data Base'!$V$36),EXACT(H86,'Data Base'!$V$35)),EXACT(K86,'Data Base'!$X$36)),I86*1.25*1*0.75,IF(AND(EXACT(G86,'Data Base'!$T$37),EXACT(H86,'Data Base'!$V$37),EXACT(K86,'Data Base'!$X$36)),I86*1.25*0.5*0.75,IF(AND(EXACT(G86,'Data Base'!$T$37),EXACT(H86,'Data Base'!$V$38),EXACT(K86,'Data Base'!$X$36)),I86*1.25*1.2*0.75,IF(AND(EXACT(G86,'Data Base'!$T$37),OR(EXACT(H86,'Data Base'!$V$36),EXACT(H86,'Data Base'!$V$35)),EXACT(K86,'Data Base'!$X$37)),I86*1.25*1*0.5,IF(AND(EXACT(G86,'Data Base'!$T$37),EXACT(H86,'Data Base'!$V$37),EXACT(K86,'Data Base'!$X$37)),I86*1.25*0.5*0.5,IF(AND(EXACT(G86,'Data Base'!$T$37),EXACT(H86,'Data Base'!$V$38),EXACT(K86,'Data Base'!$X$37)),I86*1.25*1.2*0.5))))))))))))))))))))))))))),"")</f>
        <v/>
      </c>
    </row>
    <row r="87" spans="1:13" ht="21" customHeight="1">
      <c r="A87" s="99">
        <v>3</v>
      </c>
      <c r="B87" s="1349" t="str">
        <f t="shared" si="10"/>
        <v/>
      </c>
      <c r="C87" s="1350"/>
      <c r="D87" s="148" t="str">
        <f t="shared" si="11"/>
        <v/>
      </c>
      <c r="E87" s="1351"/>
      <c r="F87" s="1352"/>
      <c r="G87" s="165"/>
      <c r="H87" s="140"/>
      <c r="I87" s="4"/>
      <c r="J87" s="4"/>
      <c r="K87" s="140"/>
      <c r="L87" s="4" t="s">
        <v>652</v>
      </c>
      <c r="M87" s="166" t="str">
        <f>IF(AND(NOT(EXACT(D87,"")),NOT(EXACT(G87,"")),NOT(EXACT(E87,"")),NOT(EXACT(B87,"")),NOT(EXACT(I87,"")),NOT(EXACT(H87,""))),IF(AND(EXACT(G87,'Data Base'!$T$35),OR(EXACT(H87,'Data Base'!$V$36),EXACT(H87,'Data Base'!$V$35)),EXACT(K87,'Data Base'!$X$35)),I87*0.5*1*1,IF(AND(EXACT(G87,'Data Base'!$T$35),EXACT(H87,'Data Base'!$V$37),EXACT(K87,'Data Base'!$X$35)),I87*0.5*0.5*1,IF(AND(EXACT(G87,'Data Base'!$T$35),EXACT(H87,'Data Base'!$V$38),EXACT(K87,'Data Base'!$X$35)),I87*0.5*1.2*1,IF(AND(EXACT(G87,'Data Base'!$T$35),OR(EXACT(H87,'Data Base'!$V$36),EXACT(H87,'Data Base'!$V$35)),EXACT(K87,'Data Base'!$X$36)),I87*0.5*1*0.75,IF(AND(EXACT(G87,'Data Base'!$T$35),EXACT(H87,'Data Base'!$V$37),EXACT(K87,'Data Base'!$X$36)),I87*0.5*0.5*0.75,IF(AND(EXACT(G87,'Data Base'!$T$35),EXACT(H87,'Data Base'!$V$38),EXACT(K87,'Data Base'!$X$36)),I87*0.5*1.2*0.75,IF(AND(EXACT(G87,'Data Base'!$T$35),OR(EXACT(H87,'Data Base'!$V$36),EXACT(H87,'Data Base'!$V$35)),EXACT(K87,'Data Base'!$X$37)),I87*0.5*1*0.5,IF(AND(EXACT(G87,'Data Base'!$T$35),EXACT(H87,'Data Base'!$V$37),EXACT(K87,'Data Base'!$X$37)),I87*0.5*0.5*0.5,IF(AND(EXACT(G87,'Data Base'!$T$35),EXACT(H87,'Data Base'!$V$38),EXACT(K87,'Data Base'!$X$37)),I87*0.5*1.2*0.5,IF(AND(EXACT(G87,'Data Base'!$T$36),OR(EXACT(H87,'Data Base'!$V$36),EXACT(H87,'Data Base'!$V$35)),EXACT(K87,'Data Base'!$X$35)),I87*1*1*1,IF(AND(EXACT(G87,'Data Base'!$T$36),EXACT(H87,'Data Base'!$V$37),EXACT(K87,'Data Base'!$X$35)),I87*1*0.5*1,IF(AND(EXACT(G87,'Data Base'!$T$36),EXACT(H87,'Data Base'!$V$38),EXACT(K87,'Data Base'!$X$35)),I87*1*1.2*1,IF(AND(EXACT(G87,'Data Base'!$T$36),OR(EXACT(H87,'Data Base'!$V$36),EXACT(H87,'Data Base'!$V$35)),EXACT(K87,'Data Base'!$X$36)),I87*1*1*0.75,IF(AND(EXACT(G87,'Data Base'!$T$36),EXACT(H87,'Data Base'!$V$37),EXACT(K87,'Data Base'!$X$36)),I87*1*0.5*0.75,IF(AND(EXACT(G87,'Data Base'!$T$36),EXACT(H87,'Data Base'!$V$38),EXACT(K87,'Data Base'!$X$36)),I87*1*1.2*0.75,IF(AND(EXACT(G87,'Data Base'!$T$36),OR(EXACT(H87,'Data Base'!$V$36),EXACT(H87,'Data Base'!$V$35)),EXACT(K87,'Data Base'!$X$37)),I87*1*1*0.5,IF(AND(EXACT(G87,'Data Base'!$T$36),EXACT(H87,'Data Base'!$V$37),EXACT(K87,'Data Base'!$X$37)),I87*1*0.5*0.5,IF(AND(EXACT(G87,'Data Base'!$T$36),EXACT(H87,'Data Base'!$V$38),EXACT(K87,'Data Base'!$X$37)),I87*1*1.2*0.5,IF(AND(EXACT(G87,'Data Base'!$T$37),OR(EXACT(H87,'Data Base'!$V$36),EXACT(H87,'Data Base'!$V$35)),EXACT(K87,'Data Base'!$X$35)),I87*1.25*1*1,IF(AND(EXACT(G87,'Data Base'!$T$37),EXACT(H87,'Data Base'!$V$37),EXACT(K87,'Data Base'!$X$35)),I87*1.25*0.5*1,IF(AND(EXACT(G87,'Data Base'!$T$37),EXACT(H87,'Data Base'!$V$38),EXACT(K87,'Data Base'!$X$35)),I87*1.25*1.2*1,IF(AND(EXACT(G87,'Data Base'!$T$37),OR(EXACT(H87,'Data Base'!$V$36),EXACT(H87,'Data Base'!$V$35)),EXACT(K87,'Data Base'!$X$36)),I87*1.25*1*0.75,IF(AND(EXACT(G87,'Data Base'!$T$37),EXACT(H87,'Data Base'!$V$37),EXACT(K87,'Data Base'!$X$36)),I87*1.25*0.5*0.75,IF(AND(EXACT(G87,'Data Base'!$T$37),EXACT(H87,'Data Base'!$V$38),EXACT(K87,'Data Base'!$X$36)),I87*1.25*1.2*0.75,IF(AND(EXACT(G87,'Data Base'!$T$37),OR(EXACT(H87,'Data Base'!$V$36),EXACT(H87,'Data Base'!$V$35)),EXACT(K87,'Data Base'!$X$37)),I87*1.25*1*0.5,IF(AND(EXACT(G87,'Data Base'!$T$37),EXACT(H87,'Data Base'!$V$37),EXACT(K87,'Data Base'!$X$37)),I87*1.25*0.5*0.5,IF(AND(EXACT(G87,'Data Base'!$T$37),EXACT(H87,'Data Base'!$V$38),EXACT(K87,'Data Base'!$X$37)),I87*1.25*1.2*0.5))))))))))))))))))))))))))),"")</f>
        <v/>
      </c>
    </row>
    <row r="88" spans="1:13" ht="21" customHeight="1">
      <c r="A88" s="97">
        <v>4</v>
      </c>
      <c r="B88" s="1349" t="str">
        <f t="shared" si="10"/>
        <v/>
      </c>
      <c r="C88" s="1350"/>
      <c r="D88" s="148" t="str">
        <f t="shared" si="11"/>
        <v/>
      </c>
      <c r="E88" s="1351"/>
      <c r="F88" s="1352"/>
      <c r="G88" s="165"/>
      <c r="H88" s="140"/>
      <c r="I88" s="4"/>
      <c r="J88" s="4"/>
      <c r="K88" s="140"/>
      <c r="L88" s="4" t="s">
        <v>652</v>
      </c>
      <c r="M88" s="166" t="str">
        <f>IF(AND(NOT(EXACT(D88,"")),NOT(EXACT(G88,"")),NOT(EXACT(E88,"")),NOT(EXACT(B88,"")),NOT(EXACT(I88,"")),NOT(EXACT(H88,""))),IF(AND(EXACT(G88,'Data Base'!$T$35),OR(EXACT(H88,'Data Base'!$V$36),EXACT(H88,'Data Base'!$V$35)),EXACT(K88,'Data Base'!$X$35)),I88*0.5*1*1,IF(AND(EXACT(G88,'Data Base'!$T$35),EXACT(H88,'Data Base'!$V$37),EXACT(K88,'Data Base'!$X$35)),I88*0.5*0.5*1,IF(AND(EXACT(G88,'Data Base'!$T$35),EXACT(H88,'Data Base'!$V$38),EXACT(K88,'Data Base'!$X$35)),I88*0.5*1.2*1,IF(AND(EXACT(G88,'Data Base'!$T$35),OR(EXACT(H88,'Data Base'!$V$36),EXACT(H88,'Data Base'!$V$35)),EXACT(K88,'Data Base'!$X$36)),I88*0.5*1*0.75,IF(AND(EXACT(G88,'Data Base'!$T$35),EXACT(H88,'Data Base'!$V$37),EXACT(K88,'Data Base'!$X$36)),I88*0.5*0.5*0.75,IF(AND(EXACT(G88,'Data Base'!$T$35),EXACT(H88,'Data Base'!$V$38),EXACT(K88,'Data Base'!$X$36)),I88*0.5*1.2*0.75,IF(AND(EXACT(G88,'Data Base'!$T$35),OR(EXACT(H88,'Data Base'!$V$36),EXACT(H88,'Data Base'!$V$35)),EXACT(K88,'Data Base'!$X$37)),I88*0.5*1*0.5,IF(AND(EXACT(G88,'Data Base'!$T$35),EXACT(H88,'Data Base'!$V$37),EXACT(K88,'Data Base'!$X$37)),I88*0.5*0.5*0.5,IF(AND(EXACT(G88,'Data Base'!$T$35),EXACT(H88,'Data Base'!$V$38),EXACT(K88,'Data Base'!$X$37)),I88*0.5*1.2*0.5,IF(AND(EXACT(G88,'Data Base'!$T$36),OR(EXACT(H88,'Data Base'!$V$36),EXACT(H88,'Data Base'!$V$35)),EXACT(K88,'Data Base'!$X$35)),I88*1*1*1,IF(AND(EXACT(G88,'Data Base'!$T$36),EXACT(H88,'Data Base'!$V$37),EXACT(K88,'Data Base'!$X$35)),I88*1*0.5*1,IF(AND(EXACT(G88,'Data Base'!$T$36),EXACT(H88,'Data Base'!$V$38),EXACT(K88,'Data Base'!$X$35)),I88*1*1.2*1,IF(AND(EXACT(G88,'Data Base'!$T$36),OR(EXACT(H88,'Data Base'!$V$36),EXACT(H88,'Data Base'!$V$35)),EXACT(K88,'Data Base'!$X$36)),I88*1*1*0.75,IF(AND(EXACT(G88,'Data Base'!$T$36),EXACT(H88,'Data Base'!$V$37),EXACT(K88,'Data Base'!$X$36)),I88*1*0.5*0.75,IF(AND(EXACT(G88,'Data Base'!$T$36),EXACT(H88,'Data Base'!$V$38),EXACT(K88,'Data Base'!$X$36)),I88*1*1.2*0.75,IF(AND(EXACT(G88,'Data Base'!$T$36),OR(EXACT(H88,'Data Base'!$V$36),EXACT(H88,'Data Base'!$V$35)),EXACT(K88,'Data Base'!$X$37)),I88*1*1*0.5,IF(AND(EXACT(G88,'Data Base'!$T$36),EXACT(H88,'Data Base'!$V$37),EXACT(K88,'Data Base'!$X$37)),I88*1*0.5*0.5,IF(AND(EXACT(G88,'Data Base'!$T$36),EXACT(H88,'Data Base'!$V$38),EXACT(K88,'Data Base'!$X$37)),I88*1*1.2*0.5,IF(AND(EXACT(G88,'Data Base'!$T$37),OR(EXACT(H88,'Data Base'!$V$36),EXACT(H88,'Data Base'!$V$35)),EXACT(K88,'Data Base'!$X$35)),I88*1.25*1*1,IF(AND(EXACT(G88,'Data Base'!$T$37),EXACT(H88,'Data Base'!$V$37),EXACT(K88,'Data Base'!$X$35)),I88*1.25*0.5*1,IF(AND(EXACT(G88,'Data Base'!$T$37),EXACT(H88,'Data Base'!$V$38),EXACT(K88,'Data Base'!$X$35)),I88*1.25*1.2*1,IF(AND(EXACT(G88,'Data Base'!$T$37),OR(EXACT(H88,'Data Base'!$V$36),EXACT(H88,'Data Base'!$V$35)),EXACT(K88,'Data Base'!$X$36)),I88*1.25*1*0.75,IF(AND(EXACT(G88,'Data Base'!$T$37),EXACT(H88,'Data Base'!$V$37),EXACT(K88,'Data Base'!$X$36)),I88*1.25*0.5*0.75,IF(AND(EXACT(G88,'Data Base'!$T$37),EXACT(H88,'Data Base'!$V$38),EXACT(K88,'Data Base'!$X$36)),I88*1.25*1.2*0.75,IF(AND(EXACT(G88,'Data Base'!$T$37),OR(EXACT(H88,'Data Base'!$V$36),EXACT(H88,'Data Base'!$V$35)),EXACT(K88,'Data Base'!$X$37)),I88*1.25*1*0.5,IF(AND(EXACT(G88,'Data Base'!$T$37),EXACT(H88,'Data Base'!$V$37),EXACT(K88,'Data Base'!$X$37)),I88*1.25*0.5*0.5,IF(AND(EXACT(G88,'Data Base'!$T$37),EXACT(H88,'Data Base'!$V$38),EXACT(K88,'Data Base'!$X$37)),I88*1.25*1.2*0.5))))))))))))))))))))))))))),"")</f>
        <v/>
      </c>
    </row>
    <row r="89" spans="1:13" ht="21" customHeight="1">
      <c r="A89" s="99">
        <v>5</v>
      </c>
      <c r="B89" s="1349" t="str">
        <f t="shared" si="10"/>
        <v/>
      </c>
      <c r="C89" s="1350"/>
      <c r="D89" s="148" t="str">
        <f t="shared" si="11"/>
        <v/>
      </c>
      <c r="E89" s="1351"/>
      <c r="F89" s="1352"/>
      <c r="G89" s="165"/>
      <c r="H89" s="140"/>
      <c r="I89" s="4"/>
      <c r="J89" s="4"/>
      <c r="K89" s="140"/>
      <c r="L89" s="4" t="s">
        <v>652</v>
      </c>
      <c r="M89" s="166" t="str">
        <f>IF(AND(NOT(EXACT(D89,"")),NOT(EXACT(G89,"")),NOT(EXACT(E89,"")),NOT(EXACT(B89,"")),NOT(EXACT(I89,"")),NOT(EXACT(H89,""))),IF(AND(EXACT(G89,'Data Base'!$T$35),OR(EXACT(H89,'Data Base'!$V$36),EXACT(H89,'Data Base'!$V$35)),EXACT(K89,'Data Base'!$X$35)),I89*0.5*1*1,IF(AND(EXACT(G89,'Data Base'!$T$35),EXACT(H89,'Data Base'!$V$37),EXACT(K89,'Data Base'!$X$35)),I89*0.5*0.5*1,IF(AND(EXACT(G89,'Data Base'!$T$35),EXACT(H89,'Data Base'!$V$38),EXACT(K89,'Data Base'!$X$35)),I89*0.5*1.2*1,IF(AND(EXACT(G89,'Data Base'!$T$35),OR(EXACT(H89,'Data Base'!$V$36),EXACT(H89,'Data Base'!$V$35)),EXACT(K89,'Data Base'!$X$36)),I89*0.5*1*0.75,IF(AND(EXACT(G89,'Data Base'!$T$35),EXACT(H89,'Data Base'!$V$37),EXACT(K89,'Data Base'!$X$36)),I89*0.5*0.5*0.75,IF(AND(EXACT(G89,'Data Base'!$T$35),EXACT(H89,'Data Base'!$V$38),EXACT(K89,'Data Base'!$X$36)),I89*0.5*1.2*0.75,IF(AND(EXACT(G89,'Data Base'!$T$35),OR(EXACT(H89,'Data Base'!$V$36),EXACT(H89,'Data Base'!$V$35)),EXACT(K89,'Data Base'!$X$37)),I89*0.5*1*0.5,IF(AND(EXACT(G89,'Data Base'!$T$35),EXACT(H89,'Data Base'!$V$37),EXACT(K89,'Data Base'!$X$37)),I89*0.5*0.5*0.5,IF(AND(EXACT(G89,'Data Base'!$T$35),EXACT(H89,'Data Base'!$V$38),EXACT(K89,'Data Base'!$X$37)),I89*0.5*1.2*0.5,IF(AND(EXACT(G89,'Data Base'!$T$36),OR(EXACT(H89,'Data Base'!$V$36),EXACT(H89,'Data Base'!$V$35)),EXACT(K89,'Data Base'!$X$35)),I89*1*1*1,IF(AND(EXACT(G89,'Data Base'!$T$36),EXACT(H89,'Data Base'!$V$37),EXACT(K89,'Data Base'!$X$35)),I89*1*0.5*1,IF(AND(EXACT(G89,'Data Base'!$T$36),EXACT(H89,'Data Base'!$V$38),EXACT(K89,'Data Base'!$X$35)),I89*1*1.2*1,IF(AND(EXACT(G89,'Data Base'!$T$36),OR(EXACT(H89,'Data Base'!$V$36),EXACT(H89,'Data Base'!$V$35)),EXACT(K89,'Data Base'!$X$36)),I89*1*1*0.75,IF(AND(EXACT(G89,'Data Base'!$T$36),EXACT(H89,'Data Base'!$V$37),EXACT(K89,'Data Base'!$X$36)),I89*1*0.5*0.75,IF(AND(EXACT(G89,'Data Base'!$T$36),EXACT(H89,'Data Base'!$V$38),EXACT(K89,'Data Base'!$X$36)),I89*1*1.2*0.75,IF(AND(EXACT(G89,'Data Base'!$T$36),OR(EXACT(H89,'Data Base'!$V$36),EXACT(H89,'Data Base'!$V$35)),EXACT(K89,'Data Base'!$X$37)),I89*1*1*0.5,IF(AND(EXACT(G89,'Data Base'!$T$36),EXACT(H89,'Data Base'!$V$37),EXACT(K89,'Data Base'!$X$37)),I89*1*0.5*0.5,IF(AND(EXACT(G89,'Data Base'!$T$36),EXACT(H89,'Data Base'!$V$38),EXACT(K89,'Data Base'!$X$37)),I89*1*1.2*0.5,IF(AND(EXACT(G89,'Data Base'!$T$37),OR(EXACT(H89,'Data Base'!$V$36),EXACT(H89,'Data Base'!$V$35)),EXACT(K89,'Data Base'!$X$35)),I89*1.25*1*1,IF(AND(EXACT(G89,'Data Base'!$T$37),EXACT(H89,'Data Base'!$V$37),EXACT(K89,'Data Base'!$X$35)),I89*1.25*0.5*1,IF(AND(EXACT(G89,'Data Base'!$T$37),EXACT(H89,'Data Base'!$V$38),EXACT(K89,'Data Base'!$X$35)),I89*1.25*1.2*1,IF(AND(EXACT(G89,'Data Base'!$T$37),OR(EXACT(H89,'Data Base'!$V$36),EXACT(H89,'Data Base'!$V$35)),EXACT(K89,'Data Base'!$X$36)),I89*1.25*1*0.75,IF(AND(EXACT(G89,'Data Base'!$T$37),EXACT(H89,'Data Base'!$V$37),EXACT(K89,'Data Base'!$X$36)),I89*1.25*0.5*0.75,IF(AND(EXACT(G89,'Data Base'!$T$37),EXACT(H89,'Data Base'!$V$38),EXACT(K89,'Data Base'!$X$36)),I89*1.25*1.2*0.75,IF(AND(EXACT(G89,'Data Base'!$T$37),OR(EXACT(H89,'Data Base'!$V$36),EXACT(H89,'Data Base'!$V$35)),EXACT(K89,'Data Base'!$X$37)),I89*1.25*1*0.5,IF(AND(EXACT(G89,'Data Base'!$T$37),EXACT(H89,'Data Base'!$V$37),EXACT(K89,'Data Base'!$X$37)),I89*1.25*0.5*0.5,IF(AND(EXACT(G89,'Data Base'!$T$37),EXACT(H89,'Data Base'!$V$38),EXACT(K89,'Data Base'!$X$37)),I89*1.25*1.2*0.5))))))))))))))))))))))))))),"")</f>
        <v/>
      </c>
    </row>
    <row r="90" spans="1:13" ht="21" customHeight="1">
      <c r="A90" s="99">
        <v>6</v>
      </c>
      <c r="B90" s="1349" t="str">
        <f t="shared" si="10"/>
        <v/>
      </c>
      <c r="C90" s="1350"/>
      <c r="D90" s="148" t="str">
        <f t="shared" si="11"/>
        <v/>
      </c>
      <c r="E90" s="1351"/>
      <c r="F90" s="1352"/>
      <c r="G90" s="165"/>
      <c r="H90" s="140"/>
      <c r="I90" s="4"/>
      <c r="J90" s="4"/>
      <c r="K90" s="140"/>
      <c r="L90" s="4" t="s">
        <v>652</v>
      </c>
      <c r="M90" s="166" t="str">
        <f>IF(AND(NOT(EXACT(D90,"")),NOT(EXACT(G90,"")),NOT(EXACT(E90,"")),NOT(EXACT(B90,"")),NOT(EXACT(I90,"")),NOT(EXACT(H90,""))),IF(AND(EXACT(G90,'Data Base'!$T$35),OR(EXACT(H90,'Data Base'!$V$36),EXACT(H90,'Data Base'!$V$35)),EXACT(K90,'Data Base'!$X$35)),I90*0.5*1*1,IF(AND(EXACT(G90,'Data Base'!$T$35),EXACT(H90,'Data Base'!$V$37),EXACT(K90,'Data Base'!$X$35)),I90*0.5*0.5*1,IF(AND(EXACT(G90,'Data Base'!$T$35),EXACT(H90,'Data Base'!$V$38),EXACT(K90,'Data Base'!$X$35)),I90*0.5*1.2*1,IF(AND(EXACT(G90,'Data Base'!$T$35),OR(EXACT(H90,'Data Base'!$V$36),EXACT(H90,'Data Base'!$V$35)),EXACT(K90,'Data Base'!$X$36)),I90*0.5*1*0.75,IF(AND(EXACT(G90,'Data Base'!$T$35),EXACT(H90,'Data Base'!$V$37),EXACT(K90,'Data Base'!$X$36)),I90*0.5*0.5*0.75,IF(AND(EXACT(G90,'Data Base'!$T$35),EXACT(H90,'Data Base'!$V$38),EXACT(K90,'Data Base'!$X$36)),I90*0.5*1.2*0.75,IF(AND(EXACT(G90,'Data Base'!$T$35),OR(EXACT(H90,'Data Base'!$V$36),EXACT(H90,'Data Base'!$V$35)),EXACT(K90,'Data Base'!$X$37)),I90*0.5*1*0.5,IF(AND(EXACT(G90,'Data Base'!$T$35),EXACT(H90,'Data Base'!$V$37),EXACT(K90,'Data Base'!$X$37)),I90*0.5*0.5*0.5,IF(AND(EXACT(G90,'Data Base'!$T$35),EXACT(H90,'Data Base'!$V$38),EXACT(K90,'Data Base'!$X$37)),I90*0.5*1.2*0.5,IF(AND(EXACT(G90,'Data Base'!$T$36),OR(EXACT(H90,'Data Base'!$V$36),EXACT(H90,'Data Base'!$V$35)),EXACT(K90,'Data Base'!$X$35)),I90*1*1*1,IF(AND(EXACT(G90,'Data Base'!$T$36),EXACT(H90,'Data Base'!$V$37),EXACT(K90,'Data Base'!$X$35)),I90*1*0.5*1,IF(AND(EXACT(G90,'Data Base'!$T$36),EXACT(H90,'Data Base'!$V$38),EXACT(K90,'Data Base'!$X$35)),I90*1*1.2*1,IF(AND(EXACT(G90,'Data Base'!$T$36),OR(EXACT(H90,'Data Base'!$V$36),EXACT(H90,'Data Base'!$V$35)),EXACT(K90,'Data Base'!$X$36)),I90*1*1*0.75,IF(AND(EXACT(G90,'Data Base'!$T$36),EXACT(H90,'Data Base'!$V$37),EXACT(K90,'Data Base'!$X$36)),I90*1*0.5*0.75,IF(AND(EXACT(G90,'Data Base'!$T$36),EXACT(H90,'Data Base'!$V$38),EXACT(K90,'Data Base'!$X$36)),I90*1*1.2*0.75,IF(AND(EXACT(G90,'Data Base'!$T$36),OR(EXACT(H90,'Data Base'!$V$36),EXACT(H90,'Data Base'!$V$35)),EXACT(K90,'Data Base'!$X$37)),I90*1*1*0.5,IF(AND(EXACT(G90,'Data Base'!$T$36),EXACT(H90,'Data Base'!$V$37),EXACT(K90,'Data Base'!$X$37)),I90*1*0.5*0.5,IF(AND(EXACT(G90,'Data Base'!$T$36),EXACT(H90,'Data Base'!$V$38),EXACT(K90,'Data Base'!$X$37)),I90*1*1.2*0.5,IF(AND(EXACT(G90,'Data Base'!$T$37),OR(EXACT(H90,'Data Base'!$V$36),EXACT(H90,'Data Base'!$V$35)),EXACT(K90,'Data Base'!$X$35)),I90*1.25*1*1,IF(AND(EXACT(G90,'Data Base'!$T$37),EXACT(H90,'Data Base'!$V$37),EXACT(K90,'Data Base'!$X$35)),I90*1.25*0.5*1,IF(AND(EXACT(G90,'Data Base'!$T$37),EXACT(H90,'Data Base'!$V$38),EXACT(K90,'Data Base'!$X$35)),I90*1.25*1.2*1,IF(AND(EXACT(G90,'Data Base'!$T$37),OR(EXACT(H90,'Data Base'!$V$36),EXACT(H90,'Data Base'!$V$35)),EXACT(K90,'Data Base'!$X$36)),I90*1.25*1*0.75,IF(AND(EXACT(G90,'Data Base'!$T$37),EXACT(H90,'Data Base'!$V$37),EXACT(K90,'Data Base'!$X$36)),I90*1.25*0.5*0.75,IF(AND(EXACT(G90,'Data Base'!$T$37),EXACT(H90,'Data Base'!$V$38),EXACT(K90,'Data Base'!$X$36)),I90*1.25*1.2*0.75,IF(AND(EXACT(G90,'Data Base'!$T$37),OR(EXACT(H90,'Data Base'!$V$36),EXACT(H90,'Data Base'!$V$35)),EXACT(K90,'Data Base'!$X$37)),I90*1.25*1*0.5,IF(AND(EXACT(G90,'Data Base'!$T$37),EXACT(H90,'Data Base'!$V$37),EXACT(K90,'Data Base'!$X$37)),I90*1.25*0.5*0.5,IF(AND(EXACT(G90,'Data Base'!$T$37),EXACT(H90,'Data Base'!$V$38),EXACT(K90,'Data Base'!$X$37)),I90*1.25*1.2*0.5))))))))))))))))))))))))))),"")</f>
        <v/>
      </c>
    </row>
    <row r="91" spans="1:13" ht="21" customHeight="1">
      <c r="A91" s="97">
        <v>7</v>
      </c>
      <c r="B91" s="1349" t="str">
        <f t="shared" si="10"/>
        <v/>
      </c>
      <c r="C91" s="1350"/>
      <c r="D91" s="148" t="str">
        <f t="shared" si="11"/>
        <v/>
      </c>
      <c r="E91" s="1351"/>
      <c r="F91" s="1352"/>
      <c r="G91" s="165"/>
      <c r="H91" s="140"/>
      <c r="I91" s="4"/>
      <c r="J91" s="4"/>
      <c r="K91" s="140"/>
      <c r="L91" s="4" t="s">
        <v>652</v>
      </c>
      <c r="M91" s="166" t="str">
        <f>IF(AND(NOT(EXACT(D91,"")),NOT(EXACT(G91,"")),NOT(EXACT(E91,"")),NOT(EXACT(B91,"")),NOT(EXACT(I91,"")),NOT(EXACT(H91,""))),IF(AND(EXACT(G91,'Data Base'!$T$35),OR(EXACT(H91,'Data Base'!$V$36),EXACT(H91,'Data Base'!$V$35)),EXACT(K91,'Data Base'!$X$35)),I91*0.5*1*1,IF(AND(EXACT(G91,'Data Base'!$T$35),EXACT(H91,'Data Base'!$V$37),EXACT(K91,'Data Base'!$X$35)),I91*0.5*0.5*1,IF(AND(EXACT(G91,'Data Base'!$T$35),EXACT(H91,'Data Base'!$V$38),EXACT(K91,'Data Base'!$X$35)),I91*0.5*1.2*1,IF(AND(EXACT(G91,'Data Base'!$T$35),OR(EXACT(H91,'Data Base'!$V$36),EXACT(H91,'Data Base'!$V$35)),EXACT(K91,'Data Base'!$X$36)),I91*0.5*1*0.75,IF(AND(EXACT(G91,'Data Base'!$T$35),EXACT(H91,'Data Base'!$V$37),EXACT(K91,'Data Base'!$X$36)),I91*0.5*0.5*0.75,IF(AND(EXACT(G91,'Data Base'!$T$35),EXACT(H91,'Data Base'!$V$38),EXACT(K91,'Data Base'!$X$36)),I91*0.5*1.2*0.75,IF(AND(EXACT(G91,'Data Base'!$T$35),OR(EXACT(H91,'Data Base'!$V$36),EXACT(H91,'Data Base'!$V$35)),EXACT(K91,'Data Base'!$X$37)),I91*0.5*1*0.5,IF(AND(EXACT(G91,'Data Base'!$T$35),EXACT(H91,'Data Base'!$V$37),EXACT(K91,'Data Base'!$X$37)),I91*0.5*0.5*0.5,IF(AND(EXACT(G91,'Data Base'!$T$35),EXACT(H91,'Data Base'!$V$38),EXACT(K91,'Data Base'!$X$37)),I91*0.5*1.2*0.5,IF(AND(EXACT(G91,'Data Base'!$T$36),OR(EXACT(H91,'Data Base'!$V$36),EXACT(H91,'Data Base'!$V$35)),EXACT(K91,'Data Base'!$X$35)),I91*1*1*1,IF(AND(EXACT(G91,'Data Base'!$T$36),EXACT(H91,'Data Base'!$V$37),EXACT(K91,'Data Base'!$X$35)),I91*1*0.5*1,IF(AND(EXACT(G91,'Data Base'!$T$36),EXACT(H91,'Data Base'!$V$38),EXACT(K91,'Data Base'!$X$35)),I91*1*1.2*1,IF(AND(EXACT(G91,'Data Base'!$T$36),OR(EXACT(H91,'Data Base'!$V$36),EXACT(H91,'Data Base'!$V$35)),EXACT(K91,'Data Base'!$X$36)),I91*1*1*0.75,IF(AND(EXACT(G91,'Data Base'!$T$36),EXACT(H91,'Data Base'!$V$37),EXACT(K91,'Data Base'!$X$36)),I91*1*0.5*0.75,IF(AND(EXACT(G91,'Data Base'!$T$36),EXACT(H91,'Data Base'!$V$38),EXACT(K91,'Data Base'!$X$36)),I91*1*1.2*0.75,IF(AND(EXACT(G91,'Data Base'!$T$36),OR(EXACT(H91,'Data Base'!$V$36),EXACT(H91,'Data Base'!$V$35)),EXACT(K91,'Data Base'!$X$37)),I91*1*1*0.5,IF(AND(EXACT(G91,'Data Base'!$T$36),EXACT(H91,'Data Base'!$V$37),EXACT(K91,'Data Base'!$X$37)),I91*1*0.5*0.5,IF(AND(EXACT(G91,'Data Base'!$T$36),EXACT(H91,'Data Base'!$V$38),EXACT(K91,'Data Base'!$X$37)),I91*1*1.2*0.5,IF(AND(EXACT(G91,'Data Base'!$T$37),OR(EXACT(H91,'Data Base'!$V$36),EXACT(H91,'Data Base'!$V$35)),EXACT(K91,'Data Base'!$X$35)),I91*1.25*1*1,IF(AND(EXACT(G91,'Data Base'!$T$37),EXACT(H91,'Data Base'!$V$37),EXACT(K91,'Data Base'!$X$35)),I91*1.25*0.5*1,IF(AND(EXACT(G91,'Data Base'!$T$37),EXACT(H91,'Data Base'!$V$38),EXACT(K91,'Data Base'!$X$35)),I91*1.25*1.2*1,IF(AND(EXACT(G91,'Data Base'!$T$37),OR(EXACT(H91,'Data Base'!$V$36),EXACT(H91,'Data Base'!$V$35)),EXACT(K91,'Data Base'!$X$36)),I91*1.25*1*0.75,IF(AND(EXACT(G91,'Data Base'!$T$37),EXACT(H91,'Data Base'!$V$37),EXACT(K91,'Data Base'!$X$36)),I91*1.25*0.5*0.75,IF(AND(EXACT(G91,'Data Base'!$T$37),EXACT(H91,'Data Base'!$V$38),EXACT(K91,'Data Base'!$X$36)),I91*1.25*1.2*0.75,IF(AND(EXACT(G91,'Data Base'!$T$37),OR(EXACT(H91,'Data Base'!$V$36),EXACT(H91,'Data Base'!$V$35)),EXACT(K91,'Data Base'!$X$37)),I91*1.25*1*0.5,IF(AND(EXACT(G91,'Data Base'!$T$37),EXACT(H91,'Data Base'!$V$37),EXACT(K91,'Data Base'!$X$37)),I91*1.25*0.5*0.5,IF(AND(EXACT(G91,'Data Base'!$T$37),EXACT(H91,'Data Base'!$V$38),EXACT(K91,'Data Base'!$X$37)),I91*1.25*1.2*0.5))))))))))))))))))))))))))),"")</f>
        <v/>
      </c>
    </row>
    <row r="92" spans="1:13" ht="21" customHeight="1">
      <c r="A92" s="99">
        <v>8</v>
      </c>
      <c r="B92" s="1349" t="str">
        <f t="shared" si="10"/>
        <v/>
      </c>
      <c r="C92" s="1350"/>
      <c r="D92" s="148" t="str">
        <f t="shared" si="11"/>
        <v/>
      </c>
      <c r="E92" s="1351"/>
      <c r="F92" s="1352"/>
      <c r="G92" s="165"/>
      <c r="H92" s="140"/>
      <c r="I92" s="4"/>
      <c r="J92" s="4"/>
      <c r="K92" s="140"/>
      <c r="L92" s="4" t="s">
        <v>652</v>
      </c>
      <c r="M92" s="166" t="str">
        <f>IF(AND(NOT(EXACT(D92,"")),NOT(EXACT(G92,"")),NOT(EXACT(E92,"")),NOT(EXACT(B92,"")),NOT(EXACT(I92,"")),NOT(EXACT(H92,""))),IF(AND(EXACT(G92,'Data Base'!$T$35),OR(EXACT(H92,'Data Base'!$V$36),EXACT(H92,'Data Base'!$V$35)),EXACT(K92,'Data Base'!$X$35)),I92*0.5*1*1,IF(AND(EXACT(G92,'Data Base'!$T$35),EXACT(H92,'Data Base'!$V$37),EXACT(K92,'Data Base'!$X$35)),I92*0.5*0.5*1,IF(AND(EXACT(G92,'Data Base'!$T$35),EXACT(H92,'Data Base'!$V$38),EXACT(K92,'Data Base'!$X$35)),I92*0.5*1.2*1,IF(AND(EXACT(G92,'Data Base'!$T$35),OR(EXACT(H92,'Data Base'!$V$36),EXACT(H92,'Data Base'!$V$35)),EXACT(K92,'Data Base'!$X$36)),I92*0.5*1*0.75,IF(AND(EXACT(G92,'Data Base'!$T$35),EXACT(H92,'Data Base'!$V$37),EXACT(K92,'Data Base'!$X$36)),I92*0.5*0.5*0.75,IF(AND(EXACT(G92,'Data Base'!$T$35),EXACT(H92,'Data Base'!$V$38),EXACT(K92,'Data Base'!$X$36)),I92*0.5*1.2*0.75,IF(AND(EXACT(G92,'Data Base'!$T$35),OR(EXACT(H92,'Data Base'!$V$36),EXACT(H92,'Data Base'!$V$35)),EXACT(K92,'Data Base'!$X$37)),I92*0.5*1*0.5,IF(AND(EXACT(G92,'Data Base'!$T$35),EXACT(H92,'Data Base'!$V$37),EXACT(K92,'Data Base'!$X$37)),I92*0.5*0.5*0.5,IF(AND(EXACT(G92,'Data Base'!$T$35),EXACT(H92,'Data Base'!$V$38),EXACT(K92,'Data Base'!$X$37)),I92*0.5*1.2*0.5,IF(AND(EXACT(G92,'Data Base'!$T$36),OR(EXACT(H92,'Data Base'!$V$36),EXACT(H92,'Data Base'!$V$35)),EXACT(K92,'Data Base'!$X$35)),I92*1*1*1,IF(AND(EXACT(G92,'Data Base'!$T$36),EXACT(H92,'Data Base'!$V$37),EXACT(K92,'Data Base'!$X$35)),I92*1*0.5*1,IF(AND(EXACT(G92,'Data Base'!$T$36),EXACT(H92,'Data Base'!$V$38),EXACT(K92,'Data Base'!$X$35)),I92*1*1.2*1,IF(AND(EXACT(G92,'Data Base'!$T$36),OR(EXACT(H92,'Data Base'!$V$36),EXACT(H92,'Data Base'!$V$35)),EXACT(K92,'Data Base'!$X$36)),I92*1*1*0.75,IF(AND(EXACT(G92,'Data Base'!$T$36),EXACT(H92,'Data Base'!$V$37),EXACT(K92,'Data Base'!$X$36)),I92*1*0.5*0.75,IF(AND(EXACT(G92,'Data Base'!$T$36),EXACT(H92,'Data Base'!$V$38),EXACT(K92,'Data Base'!$X$36)),I92*1*1.2*0.75,IF(AND(EXACT(G92,'Data Base'!$T$36),OR(EXACT(H92,'Data Base'!$V$36),EXACT(H92,'Data Base'!$V$35)),EXACT(K92,'Data Base'!$X$37)),I92*1*1*0.5,IF(AND(EXACT(G92,'Data Base'!$T$36),EXACT(H92,'Data Base'!$V$37),EXACT(K92,'Data Base'!$X$37)),I92*1*0.5*0.5,IF(AND(EXACT(G92,'Data Base'!$T$36),EXACT(H92,'Data Base'!$V$38),EXACT(K92,'Data Base'!$X$37)),I92*1*1.2*0.5,IF(AND(EXACT(G92,'Data Base'!$T$37),OR(EXACT(H92,'Data Base'!$V$36),EXACT(H92,'Data Base'!$V$35)),EXACT(K92,'Data Base'!$X$35)),I92*1.25*1*1,IF(AND(EXACT(G92,'Data Base'!$T$37),EXACT(H92,'Data Base'!$V$37),EXACT(K92,'Data Base'!$X$35)),I92*1.25*0.5*1,IF(AND(EXACT(G92,'Data Base'!$T$37),EXACT(H92,'Data Base'!$V$38),EXACT(K92,'Data Base'!$X$35)),I92*1.25*1.2*1,IF(AND(EXACT(G92,'Data Base'!$T$37),OR(EXACT(H92,'Data Base'!$V$36),EXACT(H92,'Data Base'!$V$35)),EXACT(K92,'Data Base'!$X$36)),I92*1.25*1*0.75,IF(AND(EXACT(G92,'Data Base'!$T$37),EXACT(H92,'Data Base'!$V$37),EXACT(K92,'Data Base'!$X$36)),I92*1.25*0.5*0.75,IF(AND(EXACT(G92,'Data Base'!$T$37),EXACT(H92,'Data Base'!$V$38),EXACT(K92,'Data Base'!$X$36)),I92*1.25*1.2*0.75,IF(AND(EXACT(G92,'Data Base'!$T$37),OR(EXACT(H92,'Data Base'!$V$36),EXACT(H92,'Data Base'!$V$35)),EXACT(K92,'Data Base'!$X$37)),I92*1.25*1*0.5,IF(AND(EXACT(G92,'Data Base'!$T$37),EXACT(H92,'Data Base'!$V$37),EXACT(K92,'Data Base'!$X$37)),I92*1.25*0.5*0.5,IF(AND(EXACT(G92,'Data Base'!$T$37),EXACT(H92,'Data Base'!$V$38),EXACT(K92,'Data Base'!$X$37)),I92*1.25*1.2*0.5))))))))))))))))))))))))))),"")</f>
        <v/>
      </c>
    </row>
    <row r="93" spans="1:13" ht="21" customHeight="1">
      <c r="A93" s="99">
        <v>9</v>
      </c>
      <c r="B93" s="1349" t="str">
        <f t="shared" si="10"/>
        <v/>
      </c>
      <c r="C93" s="1350"/>
      <c r="D93" s="148" t="str">
        <f t="shared" si="11"/>
        <v/>
      </c>
      <c r="E93" s="1351"/>
      <c r="F93" s="1352"/>
      <c r="G93" s="165"/>
      <c r="H93" s="140"/>
      <c r="I93" s="4"/>
      <c r="J93" s="4"/>
      <c r="K93" s="140"/>
      <c r="L93" s="4" t="s">
        <v>652</v>
      </c>
      <c r="M93" s="166" t="str">
        <f>IF(AND(NOT(EXACT(D93,"")),NOT(EXACT(G93,"")),NOT(EXACT(E93,"")),NOT(EXACT(B93,"")),NOT(EXACT(I93,"")),NOT(EXACT(H93,""))),IF(AND(EXACT(G93,'Data Base'!$T$35),OR(EXACT(H93,'Data Base'!$V$36),EXACT(H93,'Data Base'!$V$35)),EXACT(K93,'Data Base'!$X$35)),I93*0.5*1*1,IF(AND(EXACT(G93,'Data Base'!$T$35),EXACT(H93,'Data Base'!$V$37),EXACT(K93,'Data Base'!$X$35)),I93*0.5*0.5*1,IF(AND(EXACT(G93,'Data Base'!$T$35),EXACT(H93,'Data Base'!$V$38),EXACT(K93,'Data Base'!$X$35)),I93*0.5*1.2*1,IF(AND(EXACT(G93,'Data Base'!$T$35),OR(EXACT(H93,'Data Base'!$V$36),EXACT(H93,'Data Base'!$V$35)),EXACT(K93,'Data Base'!$X$36)),I93*0.5*1*0.75,IF(AND(EXACT(G93,'Data Base'!$T$35),EXACT(H93,'Data Base'!$V$37),EXACT(K93,'Data Base'!$X$36)),I93*0.5*0.5*0.75,IF(AND(EXACT(G93,'Data Base'!$T$35),EXACT(H93,'Data Base'!$V$38),EXACT(K93,'Data Base'!$X$36)),I93*0.5*1.2*0.75,IF(AND(EXACT(G93,'Data Base'!$T$35),OR(EXACT(H93,'Data Base'!$V$36),EXACT(H93,'Data Base'!$V$35)),EXACT(K93,'Data Base'!$X$37)),I93*0.5*1*0.5,IF(AND(EXACT(G93,'Data Base'!$T$35),EXACT(H93,'Data Base'!$V$37),EXACT(K93,'Data Base'!$X$37)),I93*0.5*0.5*0.5,IF(AND(EXACT(G93,'Data Base'!$T$35),EXACT(H93,'Data Base'!$V$38),EXACT(K93,'Data Base'!$X$37)),I93*0.5*1.2*0.5,IF(AND(EXACT(G93,'Data Base'!$T$36),OR(EXACT(H93,'Data Base'!$V$36),EXACT(H93,'Data Base'!$V$35)),EXACT(K93,'Data Base'!$X$35)),I93*1*1*1,IF(AND(EXACT(G93,'Data Base'!$T$36),EXACT(H93,'Data Base'!$V$37),EXACT(K93,'Data Base'!$X$35)),I93*1*0.5*1,IF(AND(EXACT(G93,'Data Base'!$T$36),EXACT(H93,'Data Base'!$V$38),EXACT(K93,'Data Base'!$X$35)),I93*1*1.2*1,IF(AND(EXACT(G93,'Data Base'!$T$36),OR(EXACT(H93,'Data Base'!$V$36),EXACT(H93,'Data Base'!$V$35)),EXACT(K93,'Data Base'!$X$36)),I93*1*1*0.75,IF(AND(EXACT(G93,'Data Base'!$T$36),EXACT(H93,'Data Base'!$V$37),EXACT(K93,'Data Base'!$X$36)),I93*1*0.5*0.75,IF(AND(EXACT(G93,'Data Base'!$T$36),EXACT(H93,'Data Base'!$V$38),EXACT(K93,'Data Base'!$X$36)),I93*1*1.2*0.75,IF(AND(EXACT(G93,'Data Base'!$T$36),OR(EXACT(H93,'Data Base'!$V$36),EXACT(H93,'Data Base'!$V$35)),EXACT(K93,'Data Base'!$X$37)),I93*1*1*0.5,IF(AND(EXACT(G93,'Data Base'!$T$36),EXACT(H93,'Data Base'!$V$37),EXACT(K93,'Data Base'!$X$37)),I93*1*0.5*0.5,IF(AND(EXACT(G93,'Data Base'!$T$36),EXACT(H93,'Data Base'!$V$38),EXACT(K93,'Data Base'!$X$37)),I93*1*1.2*0.5,IF(AND(EXACT(G93,'Data Base'!$T$37),OR(EXACT(H93,'Data Base'!$V$36),EXACT(H93,'Data Base'!$V$35)),EXACT(K93,'Data Base'!$X$35)),I93*1.25*1*1,IF(AND(EXACT(G93,'Data Base'!$T$37),EXACT(H93,'Data Base'!$V$37),EXACT(K93,'Data Base'!$X$35)),I93*1.25*0.5*1,IF(AND(EXACT(G93,'Data Base'!$T$37),EXACT(H93,'Data Base'!$V$38),EXACT(K93,'Data Base'!$X$35)),I93*1.25*1.2*1,IF(AND(EXACT(G93,'Data Base'!$T$37),OR(EXACT(H93,'Data Base'!$V$36),EXACT(H93,'Data Base'!$V$35)),EXACT(K93,'Data Base'!$X$36)),I93*1.25*1*0.75,IF(AND(EXACT(G93,'Data Base'!$T$37),EXACT(H93,'Data Base'!$V$37),EXACT(K93,'Data Base'!$X$36)),I93*1.25*0.5*0.75,IF(AND(EXACT(G93,'Data Base'!$T$37),EXACT(H93,'Data Base'!$V$38),EXACT(K93,'Data Base'!$X$36)),I93*1.25*1.2*0.75,IF(AND(EXACT(G93,'Data Base'!$T$37),OR(EXACT(H93,'Data Base'!$V$36),EXACT(H93,'Data Base'!$V$35)),EXACT(K93,'Data Base'!$X$37)),I93*1.25*1*0.5,IF(AND(EXACT(G93,'Data Base'!$T$37),EXACT(H93,'Data Base'!$V$37),EXACT(K93,'Data Base'!$X$37)),I93*1.25*0.5*0.5,IF(AND(EXACT(G93,'Data Base'!$T$37),EXACT(H93,'Data Base'!$V$38),EXACT(K93,'Data Base'!$X$37)),I93*1.25*1.2*0.5))))))))))))))))))))))))))),"")</f>
        <v/>
      </c>
    </row>
    <row r="94" spans="1:13" ht="21" customHeight="1">
      <c r="A94" s="97">
        <v>10</v>
      </c>
      <c r="B94" s="1349" t="str">
        <f t="shared" si="10"/>
        <v/>
      </c>
      <c r="C94" s="1350"/>
      <c r="D94" s="148" t="str">
        <f t="shared" si="11"/>
        <v/>
      </c>
      <c r="E94" s="1351"/>
      <c r="F94" s="1352"/>
      <c r="G94" s="165"/>
      <c r="H94" s="140"/>
      <c r="I94" s="4"/>
      <c r="J94" s="4"/>
      <c r="K94" s="140"/>
      <c r="L94" s="4" t="s">
        <v>652</v>
      </c>
      <c r="M94" s="166" t="str">
        <f>IF(AND(NOT(EXACT(D94,"")),NOT(EXACT(G94,"")),NOT(EXACT(E94,"")),NOT(EXACT(B94,"")),NOT(EXACT(I94,"")),NOT(EXACT(H94,""))),IF(AND(EXACT(G94,'Data Base'!$T$35),OR(EXACT(H94,'Data Base'!$V$36),EXACT(H94,'Data Base'!$V$35)),EXACT(K94,'Data Base'!$X$35)),I94*0.5*1*1,IF(AND(EXACT(G94,'Data Base'!$T$35),EXACT(H94,'Data Base'!$V$37),EXACT(K94,'Data Base'!$X$35)),I94*0.5*0.5*1,IF(AND(EXACT(G94,'Data Base'!$T$35),EXACT(H94,'Data Base'!$V$38),EXACT(K94,'Data Base'!$X$35)),I94*0.5*1.2*1,IF(AND(EXACT(G94,'Data Base'!$T$35),OR(EXACT(H94,'Data Base'!$V$36),EXACT(H94,'Data Base'!$V$35)),EXACT(K94,'Data Base'!$X$36)),I94*0.5*1*0.75,IF(AND(EXACT(G94,'Data Base'!$T$35),EXACT(H94,'Data Base'!$V$37),EXACT(K94,'Data Base'!$X$36)),I94*0.5*0.5*0.75,IF(AND(EXACT(G94,'Data Base'!$T$35),EXACT(H94,'Data Base'!$V$38),EXACT(K94,'Data Base'!$X$36)),I94*0.5*1.2*0.75,IF(AND(EXACT(G94,'Data Base'!$T$35),OR(EXACT(H94,'Data Base'!$V$36),EXACT(H94,'Data Base'!$V$35)),EXACT(K94,'Data Base'!$X$37)),I94*0.5*1*0.5,IF(AND(EXACT(G94,'Data Base'!$T$35),EXACT(H94,'Data Base'!$V$37),EXACT(K94,'Data Base'!$X$37)),I94*0.5*0.5*0.5,IF(AND(EXACT(G94,'Data Base'!$T$35),EXACT(H94,'Data Base'!$V$38),EXACT(K94,'Data Base'!$X$37)),I94*0.5*1.2*0.5,IF(AND(EXACT(G94,'Data Base'!$T$36),OR(EXACT(H94,'Data Base'!$V$36),EXACT(H94,'Data Base'!$V$35)),EXACT(K94,'Data Base'!$X$35)),I94*1*1*1,IF(AND(EXACT(G94,'Data Base'!$T$36),EXACT(H94,'Data Base'!$V$37),EXACT(K94,'Data Base'!$X$35)),I94*1*0.5*1,IF(AND(EXACT(G94,'Data Base'!$T$36),EXACT(H94,'Data Base'!$V$38),EXACT(K94,'Data Base'!$X$35)),I94*1*1.2*1,IF(AND(EXACT(G94,'Data Base'!$T$36),OR(EXACT(H94,'Data Base'!$V$36),EXACT(H94,'Data Base'!$V$35)),EXACT(K94,'Data Base'!$X$36)),I94*1*1*0.75,IF(AND(EXACT(G94,'Data Base'!$T$36),EXACT(H94,'Data Base'!$V$37),EXACT(K94,'Data Base'!$X$36)),I94*1*0.5*0.75,IF(AND(EXACT(G94,'Data Base'!$T$36),EXACT(H94,'Data Base'!$V$38),EXACT(K94,'Data Base'!$X$36)),I94*1*1.2*0.75,IF(AND(EXACT(G94,'Data Base'!$T$36),OR(EXACT(H94,'Data Base'!$V$36),EXACT(H94,'Data Base'!$V$35)),EXACT(K94,'Data Base'!$X$37)),I94*1*1*0.5,IF(AND(EXACT(G94,'Data Base'!$T$36),EXACT(H94,'Data Base'!$V$37),EXACT(K94,'Data Base'!$X$37)),I94*1*0.5*0.5,IF(AND(EXACT(G94,'Data Base'!$T$36),EXACT(H94,'Data Base'!$V$38),EXACT(K94,'Data Base'!$X$37)),I94*1*1.2*0.5,IF(AND(EXACT(G94,'Data Base'!$T$37),OR(EXACT(H94,'Data Base'!$V$36),EXACT(H94,'Data Base'!$V$35)),EXACT(K94,'Data Base'!$X$35)),I94*1.25*1*1,IF(AND(EXACT(G94,'Data Base'!$T$37),EXACT(H94,'Data Base'!$V$37),EXACT(K94,'Data Base'!$X$35)),I94*1.25*0.5*1,IF(AND(EXACT(G94,'Data Base'!$T$37),EXACT(H94,'Data Base'!$V$38),EXACT(K94,'Data Base'!$X$35)),I94*1.25*1.2*1,IF(AND(EXACT(G94,'Data Base'!$T$37),OR(EXACT(H94,'Data Base'!$V$36),EXACT(H94,'Data Base'!$V$35)),EXACT(K94,'Data Base'!$X$36)),I94*1.25*1*0.75,IF(AND(EXACT(G94,'Data Base'!$T$37),EXACT(H94,'Data Base'!$V$37),EXACT(K94,'Data Base'!$X$36)),I94*1.25*0.5*0.75,IF(AND(EXACT(G94,'Data Base'!$T$37),EXACT(H94,'Data Base'!$V$38),EXACT(K94,'Data Base'!$X$36)),I94*1.25*1.2*0.75,IF(AND(EXACT(G94,'Data Base'!$T$37),OR(EXACT(H94,'Data Base'!$V$36),EXACT(H94,'Data Base'!$V$35)),EXACT(K94,'Data Base'!$X$37)),I94*1.25*1*0.5,IF(AND(EXACT(G94,'Data Base'!$T$37),EXACT(H94,'Data Base'!$V$37),EXACT(K94,'Data Base'!$X$37)),I94*1.25*0.5*0.5,IF(AND(EXACT(G94,'Data Base'!$T$37),EXACT(H94,'Data Base'!$V$38),EXACT(K94,'Data Base'!$X$37)),I94*1.25*1.2*0.5))))))))))))))))))))))))))),"")</f>
        <v/>
      </c>
    </row>
    <row r="95" spans="1:13" ht="21" customHeight="1">
      <c r="A95" s="99">
        <v>11</v>
      </c>
      <c r="B95" s="1349" t="str">
        <f t="shared" si="10"/>
        <v/>
      </c>
      <c r="C95" s="1350"/>
      <c r="D95" s="148" t="str">
        <f t="shared" si="11"/>
        <v/>
      </c>
      <c r="E95" s="1351"/>
      <c r="F95" s="1352"/>
      <c r="G95" s="165"/>
      <c r="H95" s="140"/>
      <c r="I95" s="4"/>
      <c r="J95" s="4"/>
      <c r="K95" s="140"/>
      <c r="L95" s="4" t="s">
        <v>652</v>
      </c>
      <c r="M95" s="166" t="str">
        <f>IF(AND(NOT(EXACT(D95,"")),NOT(EXACT(G95,"")),NOT(EXACT(E95,"")),NOT(EXACT(B95,"")),NOT(EXACT(I95,"")),NOT(EXACT(H95,""))),IF(AND(EXACT(G95,'Data Base'!$T$35),OR(EXACT(H95,'Data Base'!$V$36),EXACT(H95,'Data Base'!$V$35)),EXACT(K95,'Data Base'!$X$35)),I95*0.5*1*1,IF(AND(EXACT(G95,'Data Base'!$T$35),EXACT(H95,'Data Base'!$V$37),EXACT(K95,'Data Base'!$X$35)),I95*0.5*0.5*1,IF(AND(EXACT(G95,'Data Base'!$T$35),EXACT(H95,'Data Base'!$V$38),EXACT(K95,'Data Base'!$X$35)),I95*0.5*1.2*1,IF(AND(EXACT(G95,'Data Base'!$T$35),OR(EXACT(H95,'Data Base'!$V$36),EXACT(H95,'Data Base'!$V$35)),EXACT(K95,'Data Base'!$X$36)),I95*0.5*1*0.75,IF(AND(EXACT(G95,'Data Base'!$T$35),EXACT(H95,'Data Base'!$V$37),EXACT(K95,'Data Base'!$X$36)),I95*0.5*0.5*0.75,IF(AND(EXACT(G95,'Data Base'!$T$35),EXACT(H95,'Data Base'!$V$38),EXACT(K95,'Data Base'!$X$36)),I95*0.5*1.2*0.75,IF(AND(EXACT(G95,'Data Base'!$T$35),OR(EXACT(H95,'Data Base'!$V$36),EXACT(H95,'Data Base'!$V$35)),EXACT(K95,'Data Base'!$X$37)),I95*0.5*1*0.5,IF(AND(EXACT(G95,'Data Base'!$T$35),EXACT(H95,'Data Base'!$V$37),EXACT(K95,'Data Base'!$X$37)),I95*0.5*0.5*0.5,IF(AND(EXACT(G95,'Data Base'!$T$35),EXACT(H95,'Data Base'!$V$38),EXACT(K95,'Data Base'!$X$37)),I95*0.5*1.2*0.5,IF(AND(EXACT(G95,'Data Base'!$T$36),OR(EXACT(H95,'Data Base'!$V$36),EXACT(H95,'Data Base'!$V$35)),EXACT(K95,'Data Base'!$X$35)),I95*1*1*1,IF(AND(EXACT(G95,'Data Base'!$T$36),EXACT(H95,'Data Base'!$V$37),EXACT(K95,'Data Base'!$X$35)),I95*1*0.5*1,IF(AND(EXACT(G95,'Data Base'!$T$36),EXACT(H95,'Data Base'!$V$38),EXACT(K95,'Data Base'!$X$35)),I95*1*1.2*1,IF(AND(EXACT(G95,'Data Base'!$T$36),OR(EXACT(H95,'Data Base'!$V$36),EXACT(H95,'Data Base'!$V$35)),EXACT(K95,'Data Base'!$X$36)),I95*1*1*0.75,IF(AND(EXACT(G95,'Data Base'!$T$36),EXACT(H95,'Data Base'!$V$37),EXACT(K95,'Data Base'!$X$36)),I95*1*0.5*0.75,IF(AND(EXACT(G95,'Data Base'!$T$36),EXACT(H95,'Data Base'!$V$38),EXACT(K95,'Data Base'!$X$36)),I95*1*1.2*0.75,IF(AND(EXACT(G95,'Data Base'!$T$36),OR(EXACT(H95,'Data Base'!$V$36),EXACT(H95,'Data Base'!$V$35)),EXACT(K95,'Data Base'!$X$37)),I95*1*1*0.5,IF(AND(EXACT(G95,'Data Base'!$T$36),EXACT(H95,'Data Base'!$V$37),EXACT(K95,'Data Base'!$X$37)),I95*1*0.5*0.5,IF(AND(EXACT(G95,'Data Base'!$T$36),EXACT(H95,'Data Base'!$V$38),EXACT(K95,'Data Base'!$X$37)),I95*1*1.2*0.5,IF(AND(EXACT(G95,'Data Base'!$T$37),OR(EXACT(H95,'Data Base'!$V$36),EXACT(H95,'Data Base'!$V$35)),EXACT(K95,'Data Base'!$X$35)),I95*1.25*1*1,IF(AND(EXACT(G95,'Data Base'!$T$37),EXACT(H95,'Data Base'!$V$37),EXACT(K95,'Data Base'!$X$35)),I95*1.25*0.5*1,IF(AND(EXACT(G95,'Data Base'!$T$37),EXACT(H95,'Data Base'!$V$38),EXACT(K95,'Data Base'!$X$35)),I95*1.25*1.2*1,IF(AND(EXACT(G95,'Data Base'!$T$37),OR(EXACT(H95,'Data Base'!$V$36),EXACT(H95,'Data Base'!$V$35)),EXACT(K95,'Data Base'!$X$36)),I95*1.25*1*0.75,IF(AND(EXACT(G95,'Data Base'!$T$37),EXACT(H95,'Data Base'!$V$37),EXACT(K95,'Data Base'!$X$36)),I95*1.25*0.5*0.75,IF(AND(EXACT(G95,'Data Base'!$T$37),EXACT(H95,'Data Base'!$V$38),EXACT(K95,'Data Base'!$X$36)),I95*1.25*1.2*0.75,IF(AND(EXACT(G95,'Data Base'!$T$37),OR(EXACT(H95,'Data Base'!$V$36),EXACT(H95,'Data Base'!$V$35)),EXACT(K95,'Data Base'!$X$37)),I95*1.25*1*0.5,IF(AND(EXACT(G95,'Data Base'!$T$37),EXACT(H95,'Data Base'!$V$37),EXACT(K95,'Data Base'!$X$37)),I95*1.25*0.5*0.5,IF(AND(EXACT(G95,'Data Base'!$T$37),EXACT(H95,'Data Base'!$V$38),EXACT(K95,'Data Base'!$X$37)),I95*1.25*1.2*0.5))))))))))))))))))))))))))),"")</f>
        <v/>
      </c>
    </row>
    <row r="96" spans="1:13" ht="21" customHeight="1">
      <c r="A96" s="99">
        <v>12</v>
      </c>
      <c r="B96" s="1349" t="str">
        <f t="shared" si="10"/>
        <v/>
      </c>
      <c r="C96" s="1350"/>
      <c r="D96" s="148" t="str">
        <f t="shared" si="11"/>
        <v/>
      </c>
      <c r="E96" s="1351"/>
      <c r="F96" s="1352"/>
      <c r="G96" s="165"/>
      <c r="H96" s="140"/>
      <c r="I96" s="4"/>
      <c r="J96" s="4"/>
      <c r="K96" s="140"/>
      <c r="L96" s="4" t="s">
        <v>652</v>
      </c>
      <c r="M96" s="166" t="str">
        <f>IF(AND(NOT(EXACT(D96,"")),NOT(EXACT(G96,"")),NOT(EXACT(E96,"")),NOT(EXACT(B96,"")),NOT(EXACT(I96,"")),NOT(EXACT(H96,""))),IF(AND(EXACT(G96,'Data Base'!$T$35),OR(EXACT(H96,'Data Base'!$V$36),EXACT(H96,'Data Base'!$V$35)),EXACT(K96,'Data Base'!$X$35)),I96*0.5*1*1,IF(AND(EXACT(G96,'Data Base'!$T$35),EXACT(H96,'Data Base'!$V$37),EXACT(K96,'Data Base'!$X$35)),I96*0.5*0.5*1,IF(AND(EXACT(G96,'Data Base'!$T$35),EXACT(H96,'Data Base'!$V$38),EXACT(K96,'Data Base'!$X$35)),I96*0.5*1.2*1,IF(AND(EXACT(G96,'Data Base'!$T$35),OR(EXACT(H96,'Data Base'!$V$36),EXACT(H96,'Data Base'!$V$35)),EXACT(K96,'Data Base'!$X$36)),I96*0.5*1*0.75,IF(AND(EXACT(G96,'Data Base'!$T$35),EXACT(H96,'Data Base'!$V$37),EXACT(K96,'Data Base'!$X$36)),I96*0.5*0.5*0.75,IF(AND(EXACT(G96,'Data Base'!$T$35),EXACT(H96,'Data Base'!$V$38),EXACT(K96,'Data Base'!$X$36)),I96*0.5*1.2*0.75,IF(AND(EXACT(G96,'Data Base'!$T$35),OR(EXACT(H96,'Data Base'!$V$36),EXACT(H96,'Data Base'!$V$35)),EXACT(K96,'Data Base'!$X$37)),I96*0.5*1*0.5,IF(AND(EXACT(G96,'Data Base'!$T$35),EXACT(H96,'Data Base'!$V$37),EXACT(K96,'Data Base'!$X$37)),I96*0.5*0.5*0.5,IF(AND(EXACT(G96,'Data Base'!$T$35),EXACT(H96,'Data Base'!$V$38),EXACT(K96,'Data Base'!$X$37)),I96*0.5*1.2*0.5,IF(AND(EXACT(G96,'Data Base'!$T$36),OR(EXACT(H96,'Data Base'!$V$36),EXACT(H96,'Data Base'!$V$35)),EXACT(K96,'Data Base'!$X$35)),I96*1*1*1,IF(AND(EXACT(G96,'Data Base'!$T$36),EXACT(H96,'Data Base'!$V$37),EXACT(K96,'Data Base'!$X$35)),I96*1*0.5*1,IF(AND(EXACT(G96,'Data Base'!$T$36),EXACT(H96,'Data Base'!$V$38),EXACT(K96,'Data Base'!$X$35)),I96*1*1.2*1,IF(AND(EXACT(G96,'Data Base'!$T$36),OR(EXACT(H96,'Data Base'!$V$36),EXACT(H96,'Data Base'!$V$35)),EXACT(K96,'Data Base'!$X$36)),I96*1*1*0.75,IF(AND(EXACT(G96,'Data Base'!$T$36),EXACT(H96,'Data Base'!$V$37),EXACT(K96,'Data Base'!$X$36)),I96*1*0.5*0.75,IF(AND(EXACT(G96,'Data Base'!$T$36),EXACT(H96,'Data Base'!$V$38),EXACT(K96,'Data Base'!$X$36)),I96*1*1.2*0.75,IF(AND(EXACT(G96,'Data Base'!$T$36),OR(EXACT(H96,'Data Base'!$V$36),EXACT(H96,'Data Base'!$V$35)),EXACT(K96,'Data Base'!$X$37)),I96*1*1*0.5,IF(AND(EXACT(G96,'Data Base'!$T$36),EXACT(H96,'Data Base'!$V$37),EXACT(K96,'Data Base'!$X$37)),I96*1*0.5*0.5,IF(AND(EXACT(G96,'Data Base'!$T$36),EXACT(H96,'Data Base'!$V$38),EXACT(K96,'Data Base'!$X$37)),I96*1*1.2*0.5,IF(AND(EXACT(G96,'Data Base'!$T$37),OR(EXACT(H96,'Data Base'!$V$36),EXACT(H96,'Data Base'!$V$35)),EXACT(K96,'Data Base'!$X$35)),I96*1.25*1*1,IF(AND(EXACT(G96,'Data Base'!$T$37),EXACT(H96,'Data Base'!$V$37),EXACT(K96,'Data Base'!$X$35)),I96*1.25*0.5*1,IF(AND(EXACT(G96,'Data Base'!$T$37),EXACT(H96,'Data Base'!$V$38),EXACT(K96,'Data Base'!$X$35)),I96*1.25*1.2*1,IF(AND(EXACT(G96,'Data Base'!$T$37),OR(EXACT(H96,'Data Base'!$V$36),EXACT(H96,'Data Base'!$V$35)),EXACT(K96,'Data Base'!$X$36)),I96*1.25*1*0.75,IF(AND(EXACT(G96,'Data Base'!$T$37),EXACT(H96,'Data Base'!$V$37),EXACT(K96,'Data Base'!$X$36)),I96*1.25*0.5*0.75,IF(AND(EXACT(G96,'Data Base'!$T$37),EXACT(H96,'Data Base'!$V$38),EXACT(K96,'Data Base'!$X$36)),I96*1.25*1.2*0.75,IF(AND(EXACT(G96,'Data Base'!$T$37),OR(EXACT(H96,'Data Base'!$V$36),EXACT(H96,'Data Base'!$V$35)),EXACT(K96,'Data Base'!$X$37)),I96*1.25*1*0.5,IF(AND(EXACT(G96,'Data Base'!$T$37),EXACT(H96,'Data Base'!$V$37),EXACT(K96,'Data Base'!$X$37)),I96*1.25*0.5*0.5,IF(AND(EXACT(G96,'Data Base'!$T$37),EXACT(H96,'Data Base'!$V$38),EXACT(K96,'Data Base'!$X$37)),I96*1.25*1.2*0.5))))))))))))))))))))))))))),"")</f>
        <v/>
      </c>
    </row>
    <row r="97" spans="1:13" ht="21" customHeight="1">
      <c r="A97" s="97">
        <v>13</v>
      </c>
      <c r="B97" s="1349" t="str">
        <f t="shared" si="10"/>
        <v/>
      </c>
      <c r="C97" s="1350"/>
      <c r="D97" s="148" t="str">
        <f t="shared" si="11"/>
        <v/>
      </c>
      <c r="E97" s="1351"/>
      <c r="F97" s="1352"/>
      <c r="G97" s="165"/>
      <c r="H97" s="140"/>
      <c r="I97" s="4"/>
      <c r="J97" s="4"/>
      <c r="K97" s="140"/>
      <c r="L97" s="4" t="s">
        <v>652</v>
      </c>
      <c r="M97" s="166" t="str">
        <f>IF(AND(NOT(EXACT(D97,"")),NOT(EXACT(G97,"")),NOT(EXACT(E97,"")),NOT(EXACT(B97,"")),NOT(EXACT(I97,"")),NOT(EXACT(H97,""))),IF(AND(EXACT(G97,'Data Base'!$T$35),OR(EXACT(H97,'Data Base'!$V$36),EXACT(H97,'Data Base'!$V$35)),EXACT(K97,'Data Base'!$X$35)),I97*0.5*1*1,IF(AND(EXACT(G97,'Data Base'!$T$35),EXACT(H97,'Data Base'!$V$37),EXACT(K97,'Data Base'!$X$35)),I97*0.5*0.5*1,IF(AND(EXACT(G97,'Data Base'!$T$35),EXACT(H97,'Data Base'!$V$38),EXACT(K97,'Data Base'!$X$35)),I97*0.5*1.2*1,IF(AND(EXACT(G97,'Data Base'!$T$35),OR(EXACT(H97,'Data Base'!$V$36),EXACT(H97,'Data Base'!$V$35)),EXACT(K97,'Data Base'!$X$36)),I97*0.5*1*0.75,IF(AND(EXACT(G97,'Data Base'!$T$35),EXACT(H97,'Data Base'!$V$37),EXACT(K97,'Data Base'!$X$36)),I97*0.5*0.5*0.75,IF(AND(EXACT(G97,'Data Base'!$T$35),EXACT(H97,'Data Base'!$V$38),EXACT(K97,'Data Base'!$X$36)),I97*0.5*1.2*0.75,IF(AND(EXACT(G97,'Data Base'!$T$35),OR(EXACT(H97,'Data Base'!$V$36),EXACT(H97,'Data Base'!$V$35)),EXACT(K97,'Data Base'!$X$37)),I97*0.5*1*0.5,IF(AND(EXACT(G97,'Data Base'!$T$35),EXACT(H97,'Data Base'!$V$37),EXACT(K97,'Data Base'!$X$37)),I97*0.5*0.5*0.5,IF(AND(EXACT(G97,'Data Base'!$T$35),EXACT(H97,'Data Base'!$V$38),EXACT(K97,'Data Base'!$X$37)),I97*0.5*1.2*0.5,IF(AND(EXACT(G97,'Data Base'!$T$36),OR(EXACT(H97,'Data Base'!$V$36),EXACT(H97,'Data Base'!$V$35)),EXACT(K97,'Data Base'!$X$35)),I97*1*1*1,IF(AND(EXACT(G97,'Data Base'!$T$36),EXACT(H97,'Data Base'!$V$37),EXACT(K97,'Data Base'!$X$35)),I97*1*0.5*1,IF(AND(EXACT(G97,'Data Base'!$T$36),EXACT(H97,'Data Base'!$V$38),EXACT(K97,'Data Base'!$X$35)),I97*1*1.2*1,IF(AND(EXACT(G97,'Data Base'!$T$36),OR(EXACT(H97,'Data Base'!$V$36),EXACT(H97,'Data Base'!$V$35)),EXACT(K97,'Data Base'!$X$36)),I97*1*1*0.75,IF(AND(EXACT(G97,'Data Base'!$T$36),EXACT(H97,'Data Base'!$V$37),EXACT(K97,'Data Base'!$X$36)),I97*1*0.5*0.75,IF(AND(EXACT(G97,'Data Base'!$T$36),EXACT(H97,'Data Base'!$V$38),EXACT(K97,'Data Base'!$X$36)),I97*1*1.2*0.75,IF(AND(EXACT(G97,'Data Base'!$T$36),OR(EXACT(H97,'Data Base'!$V$36),EXACT(H97,'Data Base'!$V$35)),EXACT(K97,'Data Base'!$X$37)),I97*1*1*0.5,IF(AND(EXACT(G97,'Data Base'!$T$36),EXACT(H97,'Data Base'!$V$37),EXACT(K97,'Data Base'!$X$37)),I97*1*0.5*0.5,IF(AND(EXACT(G97,'Data Base'!$T$36),EXACT(H97,'Data Base'!$V$38),EXACT(K97,'Data Base'!$X$37)),I97*1*1.2*0.5,IF(AND(EXACT(G97,'Data Base'!$T$37),OR(EXACT(H97,'Data Base'!$V$36),EXACT(H97,'Data Base'!$V$35)),EXACT(K97,'Data Base'!$X$35)),I97*1.25*1*1,IF(AND(EXACT(G97,'Data Base'!$T$37),EXACT(H97,'Data Base'!$V$37),EXACT(K97,'Data Base'!$X$35)),I97*1.25*0.5*1,IF(AND(EXACT(G97,'Data Base'!$T$37),EXACT(H97,'Data Base'!$V$38),EXACT(K97,'Data Base'!$X$35)),I97*1.25*1.2*1,IF(AND(EXACT(G97,'Data Base'!$T$37),OR(EXACT(H97,'Data Base'!$V$36),EXACT(H97,'Data Base'!$V$35)),EXACT(K97,'Data Base'!$X$36)),I97*1.25*1*0.75,IF(AND(EXACT(G97,'Data Base'!$T$37),EXACT(H97,'Data Base'!$V$37),EXACT(K97,'Data Base'!$X$36)),I97*1.25*0.5*0.75,IF(AND(EXACT(G97,'Data Base'!$T$37),EXACT(H97,'Data Base'!$V$38),EXACT(K97,'Data Base'!$X$36)),I97*1.25*1.2*0.75,IF(AND(EXACT(G97,'Data Base'!$T$37),OR(EXACT(H97,'Data Base'!$V$36),EXACT(H97,'Data Base'!$V$35)),EXACT(K97,'Data Base'!$X$37)),I97*1.25*1*0.5,IF(AND(EXACT(G97,'Data Base'!$T$37),EXACT(H97,'Data Base'!$V$37),EXACT(K97,'Data Base'!$X$37)),I97*1.25*0.5*0.5,IF(AND(EXACT(G97,'Data Base'!$T$37),EXACT(H97,'Data Base'!$V$38),EXACT(K97,'Data Base'!$X$37)),I97*1.25*1.2*0.5))))))))))))))))))))))))))),"")</f>
        <v/>
      </c>
    </row>
    <row r="98" spans="1:13" ht="21" customHeight="1">
      <c r="A98" s="99">
        <v>14</v>
      </c>
      <c r="B98" s="1349" t="str">
        <f t="shared" si="10"/>
        <v/>
      </c>
      <c r="C98" s="1350"/>
      <c r="D98" s="148" t="str">
        <f t="shared" si="11"/>
        <v/>
      </c>
      <c r="E98" s="1351"/>
      <c r="F98" s="1352"/>
      <c r="G98" s="165"/>
      <c r="H98" s="140"/>
      <c r="I98" s="4"/>
      <c r="J98" s="4"/>
      <c r="K98" s="140"/>
      <c r="L98" s="4" t="s">
        <v>652</v>
      </c>
      <c r="M98" s="166" t="str">
        <f>IF(AND(NOT(EXACT(D98,"")),NOT(EXACT(G98,"")),NOT(EXACT(E98,"")),NOT(EXACT(B98,"")),NOT(EXACT(I98,"")),NOT(EXACT(H98,""))),IF(AND(EXACT(G98,'Data Base'!$T$35),OR(EXACT(H98,'Data Base'!$V$36),EXACT(H98,'Data Base'!$V$35)),EXACT(K98,'Data Base'!$X$35)),I98*0.5*1*1,IF(AND(EXACT(G98,'Data Base'!$T$35),EXACT(H98,'Data Base'!$V$37),EXACT(K98,'Data Base'!$X$35)),I98*0.5*0.5*1,IF(AND(EXACT(G98,'Data Base'!$T$35),EXACT(H98,'Data Base'!$V$38),EXACT(K98,'Data Base'!$X$35)),I98*0.5*1.2*1,IF(AND(EXACT(G98,'Data Base'!$T$35),OR(EXACT(H98,'Data Base'!$V$36),EXACT(H98,'Data Base'!$V$35)),EXACT(K98,'Data Base'!$X$36)),I98*0.5*1*0.75,IF(AND(EXACT(G98,'Data Base'!$T$35),EXACT(H98,'Data Base'!$V$37),EXACT(K98,'Data Base'!$X$36)),I98*0.5*0.5*0.75,IF(AND(EXACT(G98,'Data Base'!$T$35),EXACT(H98,'Data Base'!$V$38),EXACT(K98,'Data Base'!$X$36)),I98*0.5*1.2*0.75,IF(AND(EXACT(G98,'Data Base'!$T$35),OR(EXACT(H98,'Data Base'!$V$36),EXACT(H98,'Data Base'!$V$35)),EXACT(K98,'Data Base'!$X$37)),I98*0.5*1*0.5,IF(AND(EXACT(G98,'Data Base'!$T$35),EXACT(H98,'Data Base'!$V$37),EXACT(K98,'Data Base'!$X$37)),I98*0.5*0.5*0.5,IF(AND(EXACT(G98,'Data Base'!$T$35),EXACT(H98,'Data Base'!$V$38),EXACT(K98,'Data Base'!$X$37)),I98*0.5*1.2*0.5,IF(AND(EXACT(G98,'Data Base'!$T$36),OR(EXACT(H98,'Data Base'!$V$36),EXACT(H98,'Data Base'!$V$35)),EXACT(K98,'Data Base'!$X$35)),I98*1*1*1,IF(AND(EXACT(G98,'Data Base'!$T$36),EXACT(H98,'Data Base'!$V$37),EXACT(K98,'Data Base'!$X$35)),I98*1*0.5*1,IF(AND(EXACT(G98,'Data Base'!$T$36),EXACT(H98,'Data Base'!$V$38),EXACT(K98,'Data Base'!$X$35)),I98*1*1.2*1,IF(AND(EXACT(G98,'Data Base'!$T$36),OR(EXACT(H98,'Data Base'!$V$36),EXACT(H98,'Data Base'!$V$35)),EXACT(K98,'Data Base'!$X$36)),I98*1*1*0.75,IF(AND(EXACT(G98,'Data Base'!$T$36),EXACT(H98,'Data Base'!$V$37),EXACT(K98,'Data Base'!$X$36)),I98*1*0.5*0.75,IF(AND(EXACT(G98,'Data Base'!$T$36),EXACT(H98,'Data Base'!$V$38),EXACT(K98,'Data Base'!$X$36)),I98*1*1.2*0.75,IF(AND(EXACT(G98,'Data Base'!$T$36),OR(EXACT(H98,'Data Base'!$V$36),EXACT(H98,'Data Base'!$V$35)),EXACT(K98,'Data Base'!$X$37)),I98*1*1*0.5,IF(AND(EXACT(G98,'Data Base'!$T$36),EXACT(H98,'Data Base'!$V$37),EXACT(K98,'Data Base'!$X$37)),I98*1*0.5*0.5,IF(AND(EXACT(G98,'Data Base'!$T$36),EXACT(H98,'Data Base'!$V$38),EXACT(K98,'Data Base'!$X$37)),I98*1*1.2*0.5,IF(AND(EXACT(G98,'Data Base'!$T$37),OR(EXACT(H98,'Data Base'!$V$36),EXACT(H98,'Data Base'!$V$35)),EXACT(K98,'Data Base'!$X$35)),I98*1.25*1*1,IF(AND(EXACT(G98,'Data Base'!$T$37),EXACT(H98,'Data Base'!$V$37),EXACT(K98,'Data Base'!$X$35)),I98*1.25*0.5*1,IF(AND(EXACT(G98,'Data Base'!$T$37),EXACT(H98,'Data Base'!$V$38),EXACT(K98,'Data Base'!$X$35)),I98*1.25*1.2*1,IF(AND(EXACT(G98,'Data Base'!$T$37),OR(EXACT(H98,'Data Base'!$V$36),EXACT(H98,'Data Base'!$V$35)),EXACT(K98,'Data Base'!$X$36)),I98*1.25*1*0.75,IF(AND(EXACT(G98,'Data Base'!$T$37),EXACT(H98,'Data Base'!$V$37),EXACT(K98,'Data Base'!$X$36)),I98*1.25*0.5*0.75,IF(AND(EXACT(G98,'Data Base'!$T$37),EXACT(H98,'Data Base'!$V$38),EXACT(K98,'Data Base'!$X$36)),I98*1.25*1.2*0.75,IF(AND(EXACT(G98,'Data Base'!$T$37),OR(EXACT(H98,'Data Base'!$V$36),EXACT(H98,'Data Base'!$V$35)),EXACT(K98,'Data Base'!$X$37)),I98*1.25*1*0.5,IF(AND(EXACT(G98,'Data Base'!$T$37),EXACT(H98,'Data Base'!$V$37),EXACT(K98,'Data Base'!$X$37)),I98*1.25*0.5*0.5,IF(AND(EXACT(G98,'Data Base'!$T$37),EXACT(H98,'Data Base'!$V$38),EXACT(K98,'Data Base'!$X$37)),I98*1.25*1.2*0.5))))))))))))))))))))))))))),"")</f>
        <v/>
      </c>
    </row>
    <row r="99" spans="1:13" ht="21" customHeight="1" thickBot="1">
      <c r="A99" s="106">
        <v>15</v>
      </c>
      <c r="B99" s="1355" t="str">
        <f t="shared" si="10"/>
        <v/>
      </c>
      <c r="C99" s="1356"/>
      <c r="D99" s="107" t="str">
        <f t="shared" si="11"/>
        <v/>
      </c>
      <c r="E99" s="1357"/>
      <c r="F99" s="1358"/>
      <c r="G99" s="167"/>
      <c r="H99" s="108"/>
      <c r="I99" s="105"/>
      <c r="J99" s="105"/>
      <c r="K99" s="108"/>
      <c r="L99" s="105" t="s">
        <v>652</v>
      </c>
      <c r="M99" s="168" t="str">
        <f>IF(AND(NOT(EXACT(D99,"")),NOT(EXACT(G99,"")),NOT(EXACT(E99,"")),NOT(EXACT(B99,"")),NOT(EXACT(I99,"")),NOT(EXACT(H99,""))),IF(AND(EXACT(G99,'Data Base'!$T$35),OR(EXACT(H99,'Data Base'!$V$36),EXACT(H99,'Data Base'!$V$35)),EXACT(K99,'Data Base'!$X$35)),I99*0.5*1*1,IF(AND(EXACT(G99,'Data Base'!$T$35),EXACT(H99,'Data Base'!$V$37),EXACT(K99,'Data Base'!$X$35)),I99*0.5*0.5*1,IF(AND(EXACT(G99,'Data Base'!$T$35),EXACT(H99,'Data Base'!$V$38),EXACT(K99,'Data Base'!$X$35)),I99*0.5*1.2*1,IF(AND(EXACT(G99,'Data Base'!$T$35),OR(EXACT(H99,'Data Base'!$V$36),EXACT(H99,'Data Base'!$V$35)),EXACT(K99,'Data Base'!$X$36)),I99*0.5*1*0.75,IF(AND(EXACT(G99,'Data Base'!$T$35),EXACT(H99,'Data Base'!$V$37),EXACT(K99,'Data Base'!$X$36)),I99*0.5*0.5*0.75,IF(AND(EXACT(G99,'Data Base'!$T$35),EXACT(H99,'Data Base'!$V$38),EXACT(K99,'Data Base'!$X$36)),I99*0.5*1.2*0.75,IF(AND(EXACT(G99,'Data Base'!$T$35),OR(EXACT(H99,'Data Base'!$V$36),EXACT(H99,'Data Base'!$V$35)),EXACT(K99,'Data Base'!$X$37)),I99*0.5*1*0.5,IF(AND(EXACT(G99,'Data Base'!$T$35),EXACT(H99,'Data Base'!$V$37),EXACT(K99,'Data Base'!$X$37)),I99*0.5*0.5*0.5,IF(AND(EXACT(G99,'Data Base'!$T$35),EXACT(H99,'Data Base'!$V$38),EXACT(K99,'Data Base'!$X$37)),I99*0.5*1.2*0.5,IF(AND(EXACT(G99,'Data Base'!$T$36),OR(EXACT(H99,'Data Base'!$V$36),EXACT(H99,'Data Base'!$V$35)),EXACT(K99,'Data Base'!$X$35)),I99*1*1*1,IF(AND(EXACT(G99,'Data Base'!$T$36),EXACT(H99,'Data Base'!$V$37),EXACT(K99,'Data Base'!$X$35)),I99*1*0.5*1,IF(AND(EXACT(G99,'Data Base'!$T$36),EXACT(H99,'Data Base'!$V$38),EXACT(K99,'Data Base'!$X$35)),I99*1*1.2*1,IF(AND(EXACT(G99,'Data Base'!$T$36),OR(EXACT(H99,'Data Base'!$V$36),EXACT(H99,'Data Base'!$V$35)),EXACT(K99,'Data Base'!$X$36)),I99*1*1*0.75,IF(AND(EXACT(G99,'Data Base'!$T$36),EXACT(H99,'Data Base'!$V$37),EXACT(K99,'Data Base'!$X$36)),I99*1*0.5*0.75,IF(AND(EXACT(G99,'Data Base'!$T$36),EXACT(H99,'Data Base'!$V$38),EXACT(K99,'Data Base'!$X$36)),I99*1*1.2*0.75,IF(AND(EXACT(G99,'Data Base'!$T$36),OR(EXACT(H99,'Data Base'!$V$36),EXACT(H99,'Data Base'!$V$35)),EXACT(K99,'Data Base'!$X$37)),I99*1*1*0.5,IF(AND(EXACT(G99,'Data Base'!$T$36),EXACT(H99,'Data Base'!$V$37),EXACT(K99,'Data Base'!$X$37)),I99*1*0.5*0.5,IF(AND(EXACT(G99,'Data Base'!$T$36),EXACT(H99,'Data Base'!$V$38),EXACT(K99,'Data Base'!$X$37)),I99*1*1.2*0.5,IF(AND(EXACT(G99,'Data Base'!$T$37),OR(EXACT(H99,'Data Base'!$V$36),EXACT(H99,'Data Base'!$V$35)),EXACT(K99,'Data Base'!$X$35)),I99*1.25*1*1,IF(AND(EXACT(G99,'Data Base'!$T$37),EXACT(H99,'Data Base'!$V$37),EXACT(K99,'Data Base'!$X$35)),I99*1.25*0.5*1,IF(AND(EXACT(G99,'Data Base'!$T$37),EXACT(H99,'Data Base'!$V$38),EXACT(K99,'Data Base'!$X$35)),I99*1.25*1.2*1,IF(AND(EXACT(G99,'Data Base'!$T$37),OR(EXACT(H99,'Data Base'!$V$36),EXACT(H99,'Data Base'!$V$35)),EXACT(K99,'Data Base'!$X$36)),I99*1.25*1*0.75,IF(AND(EXACT(G99,'Data Base'!$T$37),EXACT(H99,'Data Base'!$V$37),EXACT(K99,'Data Base'!$X$36)),I99*1.25*0.5*0.75,IF(AND(EXACT(G99,'Data Base'!$T$37),EXACT(H99,'Data Base'!$V$38),EXACT(K99,'Data Base'!$X$36)),I99*1.25*1.2*0.75,IF(AND(EXACT(G99,'Data Base'!$T$37),OR(EXACT(H99,'Data Base'!$V$36),EXACT(H99,'Data Base'!$V$35)),EXACT(K99,'Data Base'!$X$37)),I99*1.25*1*0.5,IF(AND(EXACT(G99,'Data Base'!$T$37),EXACT(H99,'Data Base'!$V$37),EXACT(K99,'Data Base'!$X$37)),I99*1.25*0.5*0.5,IF(AND(EXACT(G99,'Data Base'!$T$37),EXACT(H99,'Data Base'!$V$38),EXACT(K99,'Data Base'!$X$37)),I99*1.25*1.2*0.5))))))))))))))))))))))))))),"")</f>
        <v/>
      </c>
    </row>
    <row r="100" spans="1:13" ht="21" customHeight="1" thickBot="1">
      <c r="A100" s="1359" t="s">
        <v>653</v>
      </c>
      <c r="B100" s="1360"/>
      <c r="C100" s="1360"/>
      <c r="D100" s="1360"/>
      <c r="E100" s="1360"/>
      <c r="F100" s="1360"/>
      <c r="G100" s="1360"/>
      <c r="H100" s="1360"/>
      <c r="I100" s="109">
        <f>B85</f>
        <v>0</v>
      </c>
      <c r="J100" s="109">
        <f>D85</f>
        <v>0</v>
      </c>
      <c r="K100" s="1361"/>
      <c r="L100" s="1362"/>
      <c r="M100" s="110">
        <f>IF(SUM(M85:M99)&gt;5,5,SUM(M85:M99))</f>
        <v>0</v>
      </c>
    </row>
    <row r="101" spans="1:13" ht="21" customHeight="1">
      <c r="A101" s="97">
        <v>1</v>
      </c>
      <c r="B101" s="1363"/>
      <c r="C101" s="1364"/>
      <c r="D101" s="104"/>
      <c r="E101" s="1353"/>
      <c r="F101" s="1354"/>
      <c r="G101" s="169"/>
      <c r="H101" s="104"/>
      <c r="I101" s="98"/>
      <c r="J101" s="98"/>
      <c r="K101" s="104"/>
      <c r="L101" s="98" t="s">
        <v>652</v>
      </c>
      <c r="M101" s="166" t="str">
        <f>IF(AND(NOT(EXACT(D101,"")),NOT(EXACT(G101,"")),NOT(EXACT(E101,"")),NOT(EXACT(B101,"")),NOT(EXACT(I101,"")),NOT(EXACT(H101,""))),IF(AND(EXACT(G101,'Data Base'!$T$35),OR(EXACT(H101,'Data Base'!$V$36),EXACT(H101,'Data Base'!$V$35)),EXACT(K101,'Data Base'!$X$35)),I101*0.5*1*1,IF(AND(EXACT(G101,'Data Base'!$T$35),EXACT(H101,'Data Base'!$V$37),EXACT(K101,'Data Base'!$X$35)),I101*0.5*0.5*1,IF(AND(EXACT(G101,'Data Base'!$T$35),EXACT(H101,'Data Base'!$V$38),EXACT(K101,'Data Base'!$X$35)),I101*0.5*1.2*1,IF(AND(EXACT(G101,'Data Base'!$T$35),OR(EXACT(H101,'Data Base'!$V$36),EXACT(H101,'Data Base'!$V$35)),EXACT(K101,'Data Base'!$X$36)),I101*0.5*1*0.75,IF(AND(EXACT(G101,'Data Base'!$T$35),EXACT(H101,'Data Base'!$V$37),EXACT(K101,'Data Base'!$X$36)),I101*0.5*0.5*0.75,IF(AND(EXACT(G101,'Data Base'!$T$35),EXACT(H101,'Data Base'!$V$38),EXACT(K101,'Data Base'!$X$36)),I101*0.5*1.2*0.75,IF(AND(EXACT(G101,'Data Base'!$T$35),OR(EXACT(H101,'Data Base'!$V$36),EXACT(H101,'Data Base'!$V$35)),EXACT(K101,'Data Base'!$X$37)),I101*0.5*1*0.5,IF(AND(EXACT(G101,'Data Base'!$T$35),EXACT(H101,'Data Base'!$V$37),EXACT(K101,'Data Base'!$X$37)),I101*0.5*0.5*0.5,IF(AND(EXACT(G101,'Data Base'!$T$35),EXACT(H101,'Data Base'!$V$38),EXACT(K101,'Data Base'!$X$37)),I101*0.5*1.2*0.5,IF(AND(EXACT(G101,'Data Base'!$T$36),OR(EXACT(H101,'Data Base'!$V$36),EXACT(H101,'Data Base'!$V$35)),EXACT(K101,'Data Base'!$X$35)),I101*1*1*1,IF(AND(EXACT(G101,'Data Base'!$T$36),EXACT(H101,'Data Base'!$V$37),EXACT(K101,'Data Base'!$X$35)),I101*1*0.5*1,IF(AND(EXACT(G101,'Data Base'!$T$36),EXACT(H101,'Data Base'!$V$38),EXACT(K101,'Data Base'!$X$35)),I101*1*1.2*1,IF(AND(EXACT(G101,'Data Base'!$T$36),OR(EXACT(H101,'Data Base'!$V$36),EXACT(H101,'Data Base'!$V$35)),EXACT(K101,'Data Base'!$X$36)),I101*1*1*0.75,IF(AND(EXACT(G101,'Data Base'!$T$36),EXACT(H101,'Data Base'!$V$37),EXACT(K101,'Data Base'!$X$36)),I101*1*0.5*0.75,IF(AND(EXACT(G101,'Data Base'!$T$36),EXACT(H101,'Data Base'!$V$38),EXACT(K101,'Data Base'!$X$36)),I101*1*1.2*0.75,IF(AND(EXACT(G101,'Data Base'!$T$36),OR(EXACT(H101,'Data Base'!$V$36),EXACT(H101,'Data Base'!$V$35)),EXACT(K101,'Data Base'!$X$37)),I101*1*1*0.5,IF(AND(EXACT(G101,'Data Base'!$T$36),EXACT(H101,'Data Base'!$V$37),EXACT(K101,'Data Base'!$X$37)),I101*1*0.5*0.5,IF(AND(EXACT(G101,'Data Base'!$T$36),EXACT(H101,'Data Base'!$V$38),EXACT(K101,'Data Base'!$X$37)),I101*1*1.2*0.5,IF(AND(EXACT(G101,'Data Base'!$T$37),OR(EXACT(H101,'Data Base'!$V$36),EXACT(H101,'Data Base'!$V$35)),EXACT(K101,'Data Base'!$X$35)),I101*1.25*1*1,IF(AND(EXACT(G101,'Data Base'!$T$37),EXACT(H101,'Data Base'!$V$37),EXACT(K101,'Data Base'!$X$35)),I101*1.25*0.5*1,IF(AND(EXACT(G101,'Data Base'!$T$37),EXACT(H101,'Data Base'!$V$38),EXACT(K101,'Data Base'!$X$35)),I101*1.25*1.2*1,IF(AND(EXACT(G101,'Data Base'!$T$37),OR(EXACT(H101,'Data Base'!$V$36),EXACT(H101,'Data Base'!$V$35)),EXACT(K101,'Data Base'!$X$36)),I101*1.25*1*0.75,IF(AND(EXACT(G101,'Data Base'!$T$37),EXACT(H101,'Data Base'!$V$37),EXACT(K101,'Data Base'!$X$36)),I101*1.25*0.5*0.75,IF(AND(EXACT(G101,'Data Base'!$T$37),EXACT(H101,'Data Base'!$V$38),EXACT(K101,'Data Base'!$X$36)),I101*1.25*1.2*0.75,IF(AND(EXACT(G101,'Data Base'!$T$37),OR(EXACT(H101,'Data Base'!$V$36),EXACT(H101,'Data Base'!$V$35)),EXACT(K101,'Data Base'!$X$37)),I101*1.25*1*0.5,IF(AND(EXACT(G101,'Data Base'!$T$37),EXACT(H101,'Data Base'!$V$37),EXACT(K101,'Data Base'!$X$37)),I101*1.25*0.5*0.5,IF(AND(EXACT(G101,'Data Base'!$T$37),EXACT(H101,'Data Base'!$V$38),EXACT(K101,'Data Base'!$X$37)),I101*1.25*1.2*0.5))))))))))))))))))))))))))),"")</f>
        <v/>
      </c>
    </row>
    <row r="102" spans="1:13" ht="21" customHeight="1">
      <c r="A102" s="99">
        <v>2</v>
      </c>
      <c r="B102" s="1349" t="str">
        <f t="shared" ref="B102:B115" si="12">IF(NOT(EXACT(D102,"")),B101,"")</f>
        <v/>
      </c>
      <c r="C102" s="1350"/>
      <c r="D102" s="148" t="str">
        <f t="shared" ref="D102:D115" si="13">IF(NOT(EXACT(E102,"")),D101,"")</f>
        <v/>
      </c>
      <c r="E102" s="1365"/>
      <c r="F102" s="1365"/>
      <c r="G102" s="165"/>
      <c r="H102" s="140"/>
      <c r="I102" s="4"/>
      <c r="J102" s="4"/>
      <c r="K102" s="140"/>
      <c r="L102" s="4" t="s">
        <v>652</v>
      </c>
      <c r="M102" s="166" t="str">
        <f>IF(AND(NOT(EXACT(D102,"")),NOT(EXACT(G102,"")),NOT(EXACT(E102,"")),NOT(EXACT(B102,"")),NOT(EXACT(I102,"")),NOT(EXACT(H102,""))),IF(AND(EXACT(G102,'Data Base'!$T$35),OR(EXACT(H102,'Data Base'!$V$36),EXACT(H102,'Data Base'!$V$35)),EXACT(K102,'Data Base'!$X$35)),I102*0.5*1*1,IF(AND(EXACT(G102,'Data Base'!$T$35),EXACT(H102,'Data Base'!$V$37),EXACT(K102,'Data Base'!$X$35)),I102*0.5*0.5*1,IF(AND(EXACT(G102,'Data Base'!$T$35),EXACT(H102,'Data Base'!$V$38),EXACT(K102,'Data Base'!$X$35)),I102*0.5*1.2*1,IF(AND(EXACT(G102,'Data Base'!$T$35),OR(EXACT(H102,'Data Base'!$V$36),EXACT(H102,'Data Base'!$V$35)),EXACT(K102,'Data Base'!$X$36)),I102*0.5*1*0.75,IF(AND(EXACT(G102,'Data Base'!$T$35),EXACT(H102,'Data Base'!$V$37),EXACT(K102,'Data Base'!$X$36)),I102*0.5*0.5*0.75,IF(AND(EXACT(G102,'Data Base'!$T$35),EXACT(H102,'Data Base'!$V$38),EXACT(K102,'Data Base'!$X$36)),I102*0.5*1.2*0.75,IF(AND(EXACT(G102,'Data Base'!$T$35),OR(EXACT(H102,'Data Base'!$V$36),EXACT(H102,'Data Base'!$V$35)),EXACT(K102,'Data Base'!$X$37)),I102*0.5*1*0.5,IF(AND(EXACT(G102,'Data Base'!$T$35),EXACT(H102,'Data Base'!$V$37),EXACT(K102,'Data Base'!$X$37)),I102*0.5*0.5*0.5,IF(AND(EXACT(G102,'Data Base'!$T$35),EXACT(H102,'Data Base'!$V$38),EXACT(K102,'Data Base'!$X$37)),I102*0.5*1.2*0.5,IF(AND(EXACT(G102,'Data Base'!$T$36),OR(EXACT(H102,'Data Base'!$V$36),EXACT(H102,'Data Base'!$V$35)),EXACT(K102,'Data Base'!$X$35)),I102*1*1*1,IF(AND(EXACT(G102,'Data Base'!$T$36),EXACT(H102,'Data Base'!$V$37),EXACT(K102,'Data Base'!$X$35)),I102*1*0.5*1,IF(AND(EXACT(G102,'Data Base'!$T$36),EXACT(H102,'Data Base'!$V$38),EXACT(K102,'Data Base'!$X$35)),I102*1*1.2*1,IF(AND(EXACT(G102,'Data Base'!$T$36),OR(EXACT(H102,'Data Base'!$V$36),EXACT(H102,'Data Base'!$V$35)),EXACT(K102,'Data Base'!$X$36)),I102*1*1*0.75,IF(AND(EXACT(G102,'Data Base'!$T$36),EXACT(H102,'Data Base'!$V$37),EXACT(K102,'Data Base'!$X$36)),I102*1*0.5*0.75,IF(AND(EXACT(G102,'Data Base'!$T$36),EXACT(H102,'Data Base'!$V$38),EXACT(K102,'Data Base'!$X$36)),I102*1*1.2*0.75,IF(AND(EXACT(G102,'Data Base'!$T$36),OR(EXACT(H102,'Data Base'!$V$36),EXACT(H102,'Data Base'!$V$35)),EXACT(K102,'Data Base'!$X$37)),I102*1*1*0.5,IF(AND(EXACT(G102,'Data Base'!$T$36),EXACT(H102,'Data Base'!$V$37),EXACT(K102,'Data Base'!$X$37)),I102*1*0.5*0.5,IF(AND(EXACT(G102,'Data Base'!$T$36),EXACT(H102,'Data Base'!$V$38),EXACT(K102,'Data Base'!$X$37)),I102*1*1.2*0.5,IF(AND(EXACT(G102,'Data Base'!$T$37),OR(EXACT(H102,'Data Base'!$V$36),EXACT(H102,'Data Base'!$V$35)),EXACT(K102,'Data Base'!$X$35)),I102*1.25*1*1,IF(AND(EXACT(G102,'Data Base'!$T$37),EXACT(H102,'Data Base'!$V$37),EXACT(K102,'Data Base'!$X$35)),I102*1.25*0.5*1,IF(AND(EXACT(G102,'Data Base'!$T$37),EXACT(H102,'Data Base'!$V$38),EXACT(K102,'Data Base'!$X$35)),I102*1.25*1.2*1,IF(AND(EXACT(G102,'Data Base'!$T$37),OR(EXACT(H102,'Data Base'!$V$36),EXACT(H102,'Data Base'!$V$35)),EXACT(K102,'Data Base'!$X$36)),I102*1.25*1*0.75,IF(AND(EXACT(G102,'Data Base'!$T$37),EXACT(H102,'Data Base'!$V$37),EXACT(K102,'Data Base'!$X$36)),I102*1.25*0.5*0.75,IF(AND(EXACT(G102,'Data Base'!$T$37),EXACT(H102,'Data Base'!$V$38),EXACT(K102,'Data Base'!$X$36)),I102*1.25*1.2*0.75,IF(AND(EXACT(G102,'Data Base'!$T$37),OR(EXACT(H102,'Data Base'!$V$36),EXACT(H102,'Data Base'!$V$35)),EXACT(K102,'Data Base'!$X$37)),I102*1.25*1*0.5,IF(AND(EXACT(G102,'Data Base'!$T$37),EXACT(H102,'Data Base'!$V$37),EXACT(K102,'Data Base'!$X$37)),I102*1.25*0.5*0.5,IF(AND(EXACT(G102,'Data Base'!$T$37),EXACT(H102,'Data Base'!$V$38),EXACT(K102,'Data Base'!$X$37)),I102*1.25*1.2*0.5))))))))))))))))))))))))))),"")</f>
        <v/>
      </c>
    </row>
    <row r="103" spans="1:13" ht="21" customHeight="1">
      <c r="A103" s="99">
        <v>3</v>
      </c>
      <c r="B103" s="1349" t="str">
        <f t="shared" si="12"/>
        <v/>
      </c>
      <c r="C103" s="1350"/>
      <c r="D103" s="148" t="str">
        <f t="shared" si="13"/>
        <v/>
      </c>
      <c r="E103" s="1351"/>
      <c r="F103" s="1352"/>
      <c r="G103" s="165"/>
      <c r="H103" s="140"/>
      <c r="I103" s="4"/>
      <c r="J103" s="4"/>
      <c r="K103" s="140"/>
      <c r="L103" s="4" t="s">
        <v>652</v>
      </c>
      <c r="M103" s="166" t="str">
        <f>IF(AND(NOT(EXACT(D103,"")),NOT(EXACT(G103,"")),NOT(EXACT(E103,"")),NOT(EXACT(B103,"")),NOT(EXACT(I103,"")),NOT(EXACT(H103,""))),IF(AND(EXACT(G103,'Data Base'!$T$35),OR(EXACT(H103,'Data Base'!$V$36),EXACT(H103,'Data Base'!$V$35)),EXACT(K103,'Data Base'!$X$35)),I103*0.5*1*1,IF(AND(EXACT(G103,'Data Base'!$T$35),EXACT(H103,'Data Base'!$V$37),EXACT(K103,'Data Base'!$X$35)),I103*0.5*0.5*1,IF(AND(EXACT(G103,'Data Base'!$T$35),EXACT(H103,'Data Base'!$V$38),EXACT(K103,'Data Base'!$X$35)),I103*0.5*1.2*1,IF(AND(EXACT(G103,'Data Base'!$T$35),OR(EXACT(H103,'Data Base'!$V$36),EXACT(H103,'Data Base'!$V$35)),EXACT(K103,'Data Base'!$X$36)),I103*0.5*1*0.75,IF(AND(EXACT(G103,'Data Base'!$T$35),EXACT(H103,'Data Base'!$V$37),EXACT(K103,'Data Base'!$X$36)),I103*0.5*0.5*0.75,IF(AND(EXACT(G103,'Data Base'!$T$35),EXACT(H103,'Data Base'!$V$38),EXACT(K103,'Data Base'!$X$36)),I103*0.5*1.2*0.75,IF(AND(EXACT(G103,'Data Base'!$T$35),OR(EXACT(H103,'Data Base'!$V$36),EXACT(H103,'Data Base'!$V$35)),EXACT(K103,'Data Base'!$X$37)),I103*0.5*1*0.5,IF(AND(EXACT(G103,'Data Base'!$T$35),EXACT(H103,'Data Base'!$V$37),EXACT(K103,'Data Base'!$X$37)),I103*0.5*0.5*0.5,IF(AND(EXACT(G103,'Data Base'!$T$35),EXACT(H103,'Data Base'!$V$38),EXACT(K103,'Data Base'!$X$37)),I103*0.5*1.2*0.5,IF(AND(EXACT(G103,'Data Base'!$T$36),OR(EXACT(H103,'Data Base'!$V$36),EXACT(H103,'Data Base'!$V$35)),EXACT(K103,'Data Base'!$X$35)),I103*1*1*1,IF(AND(EXACT(G103,'Data Base'!$T$36),EXACT(H103,'Data Base'!$V$37),EXACT(K103,'Data Base'!$X$35)),I103*1*0.5*1,IF(AND(EXACT(G103,'Data Base'!$T$36),EXACT(H103,'Data Base'!$V$38),EXACT(K103,'Data Base'!$X$35)),I103*1*1.2*1,IF(AND(EXACT(G103,'Data Base'!$T$36),OR(EXACT(H103,'Data Base'!$V$36),EXACT(H103,'Data Base'!$V$35)),EXACT(K103,'Data Base'!$X$36)),I103*1*1*0.75,IF(AND(EXACT(G103,'Data Base'!$T$36),EXACT(H103,'Data Base'!$V$37),EXACT(K103,'Data Base'!$X$36)),I103*1*0.5*0.75,IF(AND(EXACT(G103,'Data Base'!$T$36),EXACT(H103,'Data Base'!$V$38),EXACT(K103,'Data Base'!$X$36)),I103*1*1.2*0.75,IF(AND(EXACT(G103,'Data Base'!$T$36),OR(EXACT(H103,'Data Base'!$V$36),EXACT(H103,'Data Base'!$V$35)),EXACT(K103,'Data Base'!$X$37)),I103*1*1*0.5,IF(AND(EXACT(G103,'Data Base'!$T$36),EXACT(H103,'Data Base'!$V$37),EXACT(K103,'Data Base'!$X$37)),I103*1*0.5*0.5,IF(AND(EXACT(G103,'Data Base'!$T$36),EXACT(H103,'Data Base'!$V$38),EXACT(K103,'Data Base'!$X$37)),I103*1*1.2*0.5,IF(AND(EXACT(G103,'Data Base'!$T$37),OR(EXACT(H103,'Data Base'!$V$36),EXACT(H103,'Data Base'!$V$35)),EXACT(K103,'Data Base'!$X$35)),I103*1.25*1*1,IF(AND(EXACT(G103,'Data Base'!$T$37),EXACT(H103,'Data Base'!$V$37),EXACT(K103,'Data Base'!$X$35)),I103*1.25*0.5*1,IF(AND(EXACT(G103,'Data Base'!$T$37),EXACT(H103,'Data Base'!$V$38),EXACT(K103,'Data Base'!$X$35)),I103*1.25*1.2*1,IF(AND(EXACT(G103,'Data Base'!$T$37),OR(EXACT(H103,'Data Base'!$V$36),EXACT(H103,'Data Base'!$V$35)),EXACT(K103,'Data Base'!$X$36)),I103*1.25*1*0.75,IF(AND(EXACT(G103,'Data Base'!$T$37),EXACT(H103,'Data Base'!$V$37),EXACT(K103,'Data Base'!$X$36)),I103*1.25*0.5*0.75,IF(AND(EXACT(G103,'Data Base'!$T$37),EXACT(H103,'Data Base'!$V$38),EXACT(K103,'Data Base'!$X$36)),I103*1.25*1.2*0.75,IF(AND(EXACT(G103,'Data Base'!$T$37),OR(EXACT(H103,'Data Base'!$V$36),EXACT(H103,'Data Base'!$V$35)),EXACT(K103,'Data Base'!$X$37)),I103*1.25*1*0.5,IF(AND(EXACT(G103,'Data Base'!$T$37),EXACT(H103,'Data Base'!$V$37),EXACT(K103,'Data Base'!$X$37)),I103*1.25*0.5*0.5,IF(AND(EXACT(G103,'Data Base'!$T$37),EXACT(H103,'Data Base'!$V$38),EXACT(K103,'Data Base'!$X$37)),I103*1.25*1.2*0.5))))))))))))))))))))))))))),"")</f>
        <v/>
      </c>
    </row>
    <row r="104" spans="1:13" ht="21" customHeight="1">
      <c r="A104" s="97">
        <v>4</v>
      </c>
      <c r="B104" s="1349" t="str">
        <f t="shared" si="12"/>
        <v/>
      </c>
      <c r="C104" s="1350"/>
      <c r="D104" s="148" t="str">
        <f t="shared" si="13"/>
        <v/>
      </c>
      <c r="E104" s="1351"/>
      <c r="F104" s="1352"/>
      <c r="G104" s="165"/>
      <c r="H104" s="140"/>
      <c r="I104" s="4"/>
      <c r="J104" s="4"/>
      <c r="K104" s="140"/>
      <c r="L104" s="4" t="s">
        <v>652</v>
      </c>
      <c r="M104" s="166" t="str">
        <f>IF(AND(NOT(EXACT(D104,"")),NOT(EXACT(G104,"")),NOT(EXACT(E104,"")),NOT(EXACT(B104,"")),NOT(EXACT(I104,"")),NOT(EXACT(H104,""))),IF(AND(EXACT(G104,'Data Base'!$T$35),OR(EXACT(H104,'Data Base'!$V$36),EXACT(H104,'Data Base'!$V$35)),EXACT(K104,'Data Base'!$X$35)),I104*0.5*1*1,IF(AND(EXACT(G104,'Data Base'!$T$35),EXACT(H104,'Data Base'!$V$37),EXACT(K104,'Data Base'!$X$35)),I104*0.5*0.5*1,IF(AND(EXACT(G104,'Data Base'!$T$35),EXACT(H104,'Data Base'!$V$38),EXACT(K104,'Data Base'!$X$35)),I104*0.5*1.2*1,IF(AND(EXACT(G104,'Data Base'!$T$35),OR(EXACT(H104,'Data Base'!$V$36),EXACT(H104,'Data Base'!$V$35)),EXACT(K104,'Data Base'!$X$36)),I104*0.5*1*0.75,IF(AND(EXACT(G104,'Data Base'!$T$35),EXACT(H104,'Data Base'!$V$37),EXACT(K104,'Data Base'!$X$36)),I104*0.5*0.5*0.75,IF(AND(EXACT(G104,'Data Base'!$T$35),EXACT(H104,'Data Base'!$V$38),EXACT(K104,'Data Base'!$X$36)),I104*0.5*1.2*0.75,IF(AND(EXACT(G104,'Data Base'!$T$35),OR(EXACT(H104,'Data Base'!$V$36),EXACT(H104,'Data Base'!$V$35)),EXACT(K104,'Data Base'!$X$37)),I104*0.5*1*0.5,IF(AND(EXACT(G104,'Data Base'!$T$35),EXACT(H104,'Data Base'!$V$37),EXACT(K104,'Data Base'!$X$37)),I104*0.5*0.5*0.5,IF(AND(EXACT(G104,'Data Base'!$T$35),EXACT(H104,'Data Base'!$V$38),EXACT(K104,'Data Base'!$X$37)),I104*0.5*1.2*0.5,IF(AND(EXACT(G104,'Data Base'!$T$36),OR(EXACT(H104,'Data Base'!$V$36),EXACT(H104,'Data Base'!$V$35)),EXACT(K104,'Data Base'!$X$35)),I104*1*1*1,IF(AND(EXACT(G104,'Data Base'!$T$36),EXACT(H104,'Data Base'!$V$37),EXACT(K104,'Data Base'!$X$35)),I104*1*0.5*1,IF(AND(EXACT(G104,'Data Base'!$T$36),EXACT(H104,'Data Base'!$V$38),EXACT(K104,'Data Base'!$X$35)),I104*1*1.2*1,IF(AND(EXACT(G104,'Data Base'!$T$36),OR(EXACT(H104,'Data Base'!$V$36),EXACT(H104,'Data Base'!$V$35)),EXACT(K104,'Data Base'!$X$36)),I104*1*1*0.75,IF(AND(EXACT(G104,'Data Base'!$T$36),EXACT(H104,'Data Base'!$V$37),EXACT(K104,'Data Base'!$X$36)),I104*1*0.5*0.75,IF(AND(EXACT(G104,'Data Base'!$T$36),EXACT(H104,'Data Base'!$V$38),EXACT(K104,'Data Base'!$X$36)),I104*1*1.2*0.75,IF(AND(EXACT(G104,'Data Base'!$T$36),OR(EXACT(H104,'Data Base'!$V$36),EXACT(H104,'Data Base'!$V$35)),EXACT(K104,'Data Base'!$X$37)),I104*1*1*0.5,IF(AND(EXACT(G104,'Data Base'!$T$36),EXACT(H104,'Data Base'!$V$37),EXACT(K104,'Data Base'!$X$37)),I104*1*0.5*0.5,IF(AND(EXACT(G104,'Data Base'!$T$36),EXACT(H104,'Data Base'!$V$38),EXACT(K104,'Data Base'!$X$37)),I104*1*1.2*0.5,IF(AND(EXACT(G104,'Data Base'!$T$37),OR(EXACT(H104,'Data Base'!$V$36),EXACT(H104,'Data Base'!$V$35)),EXACT(K104,'Data Base'!$X$35)),I104*1.25*1*1,IF(AND(EXACT(G104,'Data Base'!$T$37),EXACT(H104,'Data Base'!$V$37),EXACT(K104,'Data Base'!$X$35)),I104*1.25*0.5*1,IF(AND(EXACT(G104,'Data Base'!$T$37),EXACT(H104,'Data Base'!$V$38),EXACT(K104,'Data Base'!$X$35)),I104*1.25*1.2*1,IF(AND(EXACT(G104,'Data Base'!$T$37),OR(EXACT(H104,'Data Base'!$V$36),EXACT(H104,'Data Base'!$V$35)),EXACT(K104,'Data Base'!$X$36)),I104*1.25*1*0.75,IF(AND(EXACT(G104,'Data Base'!$T$37),EXACT(H104,'Data Base'!$V$37),EXACT(K104,'Data Base'!$X$36)),I104*1.25*0.5*0.75,IF(AND(EXACT(G104,'Data Base'!$T$37),EXACT(H104,'Data Base'!$V$38),EXACT(K104,'Data Base'!$X$36)),I104*1.25*1.2*0.75,IF(AND(EXACT(G104,'Data Base'!$T$37),OR(EXACT(H104,'Data Base'!$V$36),EXACT(H104,'Data Base'!$V$35)),EXACT(K104,'Data Base'!$X$37)),I104*1.25*1*0.5,IF(AND(EXACT(G104,'Data Base'!$T$37),EXACT(H104,'Data Base'!$V$37),EXACT(K104,'Data Base'!$X$37)),I104*1.25*0.5*0.5,IF(AND(EXACT(G104,'Data Base'!$T$37),EXACT(H104,'Data Base'!$V$38),EXACT(K104,'Data Base'!$X$37)),I104*1.25*1.2*0.5))))))))))))))))))))))))))),"")</f>
        <v/>
      </c>
    </row>
    <row r="105" spans="1:13" ht="21" customHeight="1">
      <c r="A105" s="99">
        <v>5</v>
      </c>
      <c r="B105" s="1349" t="str">
        <f t="shared" si="12"/>
        <v/>
      </c>
      <c r="C105" s="1350"/>
      <c r="D105" s="148" t="str">
        <f t="shared" si="13"/>
        <v/>
      </c>
      <c r="E105" s="1351"/>
      <c r="F105" s="1352"/>
      <c r="G105" s="165"/>
      <c r="H105" s="140"/>
      <c r="I105" s="4"/>
      <c r="J105" s="4"/>
      <c r="K105" s="140"/>
      <c r="L105" s="4" t="s">
        <v>652</v>
      </c>
      <c r="M105" s="166" t="str">
        <f>IF(AND(NOT(EXACT(D105,"")),NOT(EXACT(G105,"")),NOT(EXACT(E105,"")),NOT(EXACT(B105,"")),NOT(EXACT(I105,"")),NOT(EXACT(H105,""))),IF(AND(EXACT(G105,'Data Base'!$T$35),OR(EXACT(H105,'Data Base'!$V$36),EXACT(H105,'Data Base'!$V$35)),EXACT(K105,'Data Base'!$X$35)),I105*0.5*1*1,IF(AND(EXACT(G105,'Data Base'!$T$35),EXACT(H105,'Data Base'!$V$37),EXACT(K105,'Data Base'!$X$35)),I105*0.5*0.5*1,IF(AND(EXACT(G105,'Data Base'!$T$35),EXACT(H105,'Data Base'!$V$38),EXACT(K105,'Data Base'!$X$35)),I105*0.5*1.2*1,IF(AND(EXACT(G105,'Data Base'!$T$35),OR(EXACT(H105,'Data Base'!$V$36),EXACT(H105,'Data Base'!$V$35)),EXACT(K105,'Data Base'!$X$36)),I105*0.5*1*0.75,IF(AND(EXACT(G105,'Data Base'!$T$35),EXACT(H105,'Data Base'!$V$37),EXACT(K105,'Data Base'!$X$36)),I105*0.5*0.5*0.75,IF(AND(EXACT(G105,'Data Base'!$T$35),EXACT(H105,'Data Base'!$V$38),EXACT(K105,'Data Base'!$X$36)),I105*0.5*1.2*0.75,IF(AND(EXACT(G105,'Data Base'!$T$35),OR(EXACT(H105,'Data Base'!$V$36),EXACT(H105,'Data Base'!$V$35)),EXACT(K105,'Data Base'!$X$37)),I105*0.5*1*0.5,IF(AND(EXACT(G105,'Data Base'!$T$35),EXACT(H105,'Data Base'!$V$37),EXACT(K105,'Data Base'!$X$37)),I105*0.5*0.5*0.5,IF(AND(EXACT(G105,'Data Base'!$T$35),EXACT(H105,'Data Base'!$V$38),EXACT(K105,'Data Base'!$X$37)),I105*0.5*1.2*0.5,IF(AND(EXACT(G105,'Data Base'!$T$36),OR(EXACT(H105,'Data Base'!$V$36),EXACT(H105,'Data Base'!$V$35)),EXACT(K105,'Data Base'!$X$35)),I105*1*1*1,IF(AND(EXACT(G105,'Data Base'!$T$36),EXACT(H105,'Data Base'!$V$37),EXACT(K105,'Data Base'!$X$35)),I105*1*0.5*1,IF(AND(EXACT(G105,'Data Base'!$T$36),EXACT(H105,'Data Base'!$V$38),EXACT(K105,'Data Base'!$X$35)),I105*1*1.2*1,IF(AND(EXACT(G105,'Data Base'!$T$36),OR(EXACT(H105,'Data Base'!$V$36),EXACT(H105,'Data Base'!$V$35)),EXACT(K105,'Data Base'!$X$36)),I105*1*1*0.75,IF(AND(EXACT(G105,'Data Base'!$T$36),EXACT(H105,'Data Base'!$V$37),EXACT(K105,'Data Base'!$X$36)),I105*1*0.5*0.75,IF(AND(EXACT(G105,'Data Base'!$T$36),EXACT(H105,'Data Base'!$V$38),EXACT(K105,'Data Base'!$X$36)),I105*1*1.2*0.75,IF(AND(EXACT(G105,'Data Base'!$T$36),OR(EXACT(H105,'Data Base'!$V$36),EXACT(H105,'Data Base'!$V$35)),EXACT(K105,'Data Base'!$X$37)),I105*1*1*0.5,IF(AND(EXACT(G105,'Data Base'!$T$36),EXACT(H105,'Data Base'!$V$37),EXACT(K105,'Data Base'!$X$37)),I105*1*0.5*0.5,IF(AND(EXACT(G105,'Data Base'!$T$36),EXACT(H105,'Data Base'!$V$38),EXACT(K105,'Data Base'!$X$37)),I105*1*1.2*0.5,IF(AND(EXACT(G105,'Data Base'!$T$37),OR(EXACT(H105,'Data Base'!$V$36),EXACT(H105,'Data Base'!$V$35)),EXACT(K105,'Data Base'!$X$35)),I105*1.25*1*1,IF(AND(EXACT(G105,'Data Base'!$T$37),EXACT(H105,'Data Base'!$V$37),EXACT(K105,'Data Base'!$X$35)),I105*1.25*0.5*1,IF(AND(EXACT(G105,'Data Base'!$T$37),EXACT(H105,'Data Base'!$V$38),EXACT(K105,'Data Base'!$X$35)),I105*1.25*1.2*1,IF(AND(EXACT(G105,'Data Base'!$T$37),OR(EXACT(H105,'Data Base'!$V$36),EXACT(H105,'Data Base'!$V$35)),EXACT(K105,'Data Base'!$X$36)),I105*1.25*1*0.75,IF(AND(EXACT(G105,'Data Base'!$T$37),EXACT(H105,'Data Base'!$V$37),EXACT(K105,'Data Base'!$X$36)),I105*1.25*0.5*0.75,IF(AND(EXACT(G105,'Data Base'!$T$37),EXACT(H105,'Data Base'!$V$38),EXACT(K105,'Data Base'!$X$36)),I105*1.25*1.2*0.75,IF(AND(EXACT(G105,'Data Base'!$T$37),OR(EXACT(H105,'Data Base'!$V$36),EXACT(H105,'Data Base'!$V$35)),EXACT(K105,'Data Base'!$X$37)),I105*1.25*1*0.5,IF(AND(EXACT(G105,'Data Base'!$T$37),EXACT(H105,'Data Base'!$V$37),EXACT(K105,'Data Base'!$X$37)),I105*1.25*0.5*0.5,IF(AND(EXACT(G105,'Data Base'!$T$37),EXACT(H105,'Data Base'!$V$38),EXACT(K105,'Data Base'!$X$37)),I105*1.25*1.2*0.5))))))))))))))))))))))))))),"")</f>
        <v/>
      </c>
    </row>
    <row r="106" spans="1:13" ht="21" customHeight="1">
      <c r="A106" s="99">
        <v>6</v>
      </c>
      <c r="B106" s="1349" t="str">
        <f t="shared" si="12"/>
        <v/>
      </c>
      <c r="C106" s="1350"/>
      <c r="D106" s="148" t="str">
        <f t="shared" si="13"/>
        <v/>
      </c>
      <c r="E106" s="1351"/>
      <c r="F106" s="1352"/>
      <c r="G106" s="165"/>
      <c r="H106" s="140"/>
      <c r="I106" s="4"/>
      <c r="J106" s="4"/>
      <c r="K106" s="140"/>
      <c r="L106" s="4" t="s">
        <v>652</v>
      </c>
      <c r="M106" s="166" t="str">
        <f>IF(AND(NOT(EXACT(D106,"")),NOT(EXACT(G106,"")),NOT(EXACT(E106,"")),NOT(EXACT(B106,"")),NOT(EXACT(I106,"")),NOT(EXACT(H106,""))),IF(AND(EXACT(G106,'Data Base'!$T$35),OR(EXACT(H106,'Data Base'!$V$36),EXACT(H106,'Data Base'!$V$35)),EXACT(K106,'Data Base'!$X$35)),I106*0.5*1*1,IF(AND(EXACT(G106,'Data Base'!$T$35),EXACT(H106,'Data Base'!$V$37),EXACT(K106,'Data Base'!$X$35)),I106*0.5*0.5*1,IF(AND(EXACT(G106,'Data Base'!$T$35),EXACT(H106,'Data Base'!$V$38),EXACT(K106,'Data Base'!$X$35)),I106*0.5*1.2*1,IF(AND(EXACT(G106,'Data Base'!$T$35),OR(EXACT(H106,'Data Base'!$V$36),EXACT(H106,'Data Base'!$V$35)),EXACT(K106,'Data Base'!$X$36)),I106*0.5*1*0.75,IF(AND(EXACT(G106,'Data Base'!$T$35),EXACT(H106,'Data Base'!$V$37),EXACT(K106,'Data Base'!$X$36)),I106*0.5*0.5*0.75,IF(AND(EXACT(G106,'Data Base'!$T$35),EXACT(H106,'Data Base'!$V$38),EXACT(K106,'Data Base'!$X$36)),I106*0.5*1.2*0.75,IF(AND(EXACT(G106,'Data Base'!$T$35),OR(EXACT(H106,'Data Base'!$V$36),EXACT(H106,'Data Base'!$V$35)),EXACT(K106,'Data Base'!$X$37)),I106*0.5*1*0.5,IF(AND(EXACT(G106,'Data Base'!$T$35),EXACT(H106,'Data Base'!$V$37),EXACT(K106,'Data Base'!$X$37)),I106*0.5*0.5*0.5,IF(AND(EXACT(G106,'Data Base'!$T$35),EXACT(H106,'Data Base'!$V$38),EXACT(K106,'Data Base'!$X$37)),I106*0.5*1.2*0.5,IF(AND(EXACT(G106,'Data Base'!$T$36),OR(EXACT(H106,'Data Base'!$V$36),EXACT(H106,'Data Base'!$V$35)),EXACT(K106,'Data Base'!$X$35)),I106*1*1*1,IF(AND(EXACT(G106,'Data Base'!$T$36),EXACT(H106,'Data Base'!$V$37),EXACT(K106,'Data Base'!$X$35)),I106*1*0.5*1,IF(AND(EXACT(G106,'Data Base'!$T$36),EXACT(H106,'Data Base'!$V$38),EXACT(K106,'Data Base'!$X$35)),I106*1*1.2*1,IF(AND(EXACT(G106,'Data Base'!$T$36),OR(EXACT(H106,'Data Base'!$V$36),EXACT(H106,'Data Base'!$V$35)),EXACT(K106,'Data Base'!$X$36)),I106*1*1*0.75,IF(AND(EXACT(G106,'Data Base'!$T$36),EXACT(H106,'Data Base'!$V$37),EXACT(K106,'Data Base'!$X$36)),I106*1*0.5*0.75,IF(AND(EXACT(G106,'Data Base'!$T$36),EXACT(H106,'Data Base'!$V$38),EXACT(K106,'Data Base'!$X$36)),I106*1*1.2*0.75,IF(AND(EXACT(G106,'Data Base'!$T$36),OR(EXACT(H106,'Data Base'!$V$36),EXACT(H106,'Data Base'!$V$35)),EXACT(K106,'Data Base'!$X$37)),I106*1*1*0.5,IF(AND(EXACT(G106,'Data Base'!$T$36),EXACT(H106,'Data Base'!$V$37),EXACT(K106,'Data Base'!$X$37)),I106*1*0.5*0.5,IF(AND(EXACT(G106,'Data Base'!$T$36),EXACT(H106,'Data Base'!$V$38),EXACT(K106,'Data Base'!$X$37)),I106*1*1.2*0.5,IF(AND(EXACT(G106,'Data Base'!$T$37),OR(EXACT(H106,'Data Base'!$V$36),EXACT(H106,'Data Base'!$V$35)),EXACT(K106,'Data Base'!$X$35)),I106*1.25*1*1,IF(AND(EXACT(G106,'Data Base'!$T$37),EXACT(H106,'Data Base'!$V$37),EXACT(K106,'Data Base'!$X$35)),I106*1.25*0.5*1,IF(AND(EXACT(G106,'Data Base'!$T$37),EXACT(H106,'Data Base'!$V$38),EXACT(K106,'Data Base'!$X$35)),I106*1.25*1.2*1,IF(AND(EXACT(G106,'Data Base'!$T$37),OR(EXACT(H106,'Data Base'!$V$36),EXACT(H106,'Data Base'!$V$35)),EXACT(K106,'Data Base'!$X$36)),I106*1.25*1*0.75,IF(AND(EXACT(G106,'Data Base'!$T$37),EXACT(H106,'Data Base'!$V$37),EXACT(K106,'Data Base'!$X$36)),I106*1.25*0.5*0.75,IF(AND(EXACT(G106,'Data Base'!$T$37),EXACT(H106,'Data Base'!$V$38),EXACT(K106,'Data Base'!$X$36)),I106*1.25*1.2*0.75,IF(AND(EXACT(G106,'Data Base'!$T$37),OR(EXACT(H106,'Data Base'!$V$36),EXACT(H106,'Data Base'!$V$35)),EXACT(K106,'Data Base'!$X$37)),I106*1.25*1*0.5,IF(AND(EXACT(G106,'Data Base'!$T$37),EXACT(H106,'Data Base'!$V$37),EXACT(K106,'Data Base'!$X$37)),I106*1.25*0.5*0.5,IF(AND(EXACT(G106,'Data Base'!$T$37),EXACT(H106,'Data Base'!$V$38),EXACT(K106,'Data Base'!$X$37)),I106*1.25*1.2*0.5))))))))))))))))))))))))))),"")</f>
        <v/>
      </c>
    </row>
    <row r="107" spans="1:13" ht="21" customHeight="1">
      <c r="A107" s="97">
        <v>7</v>
      </c>
      <c r="B107" s="1349" t="str">
        <f t="shared" si="12"/>
        <v/>
      </c>
      <c r="C107" s="1350"/>
      <c r="D107" s="148" t="str">
        <f t="shared" si="13"/>
        <v/>
      </c>
      <c r="E107" s="1351"/>
      <c r="F107" s="1352"/>
      <c r="G107" s="165"/>
      <c r="H107" s="140"/>
      <c r="I107" s="4"/>
      <c r="J107" s="4"/>
      <c r="K107" s="140"/>
      <c r="L107" s="4" t="s">
        <v>652</v>
      </c>
      <c r="M107" s="166" t="str">
        <f>IF(AND(NOT(EXACT(D107,"")),NOT(EXACT(G107,"")),NOT(EXACT(E107,"")),NOT(EXACT(B107,"")),NOT(EXACT(I107,"")),NOT(EXACT(H107,""))),IF(AND(EXACT(G107,'Data Base'!$T$35),OR(EXACT(H107,'Data Base'!$V$36),EXACT(H107,'Data Base'!$V$35)),EXACT(K107,'Data Base'!$X$35)),I107*0.5*1*1,IF(AND(EXACT(G107,'Data Base'!$T$35),EXACT(H107,'Data Base'!$V$37),EXACT(K107,'Data Base'!$X$35)),I107*0.5*0.5*1,IF(AND(EXACT(G107,'Data Base'!$T$35),EXACT(H107,'Data Base'!$V$38),EXACT(K107,'Data Base'!$X$35)),I107*0.5*1.2*1,IF(AND(EXACT(G107,'Data Base'!$T$35),OR(EXACT(H107,'Data Base'!$V$36),EXACT(H107,'Data Base'!$V$35)),EXACT(K107,'Data Base'!$X$36)),I107*0.5*1*0.75,IF(AND(EXACT(G107,'Data Base'!$T$35),EXACT(H107,'Data Base'!$V$37),EXACT(K107,'Data Base'!$X$36)),I107*0.5*0.5*0.75,IF(AND(EXACT(G107,'Data Base'!$T$35),EXACT(H107,'Data Base'!$V$38),EXACT(K107,'Data Base'!$X$36)),I107*0.5*1.2*0.75,IF(AND(EXACT(G107,'Data Base'!$T$35),OR(EXACT(H107,'Data Base'!$V$36),EXACT(H107,'Data Base'!$V$35)),EXACT(K107,'Data Base'!$X$37)),I107*0.5*1*0.5,IF(AND(EXACT(G107,'Data Base'!$T$35),EXACT(H107,'Data Base'!$V$37),EXACT(K107,'Data Base'!$X$37)),I107*0.5*0.5*0.5,IF(AND(EXACT(G107,'Data Base'!$T$35),EXACT(H107,'Data Base'!$V$38),EXACT(K107,'Data Base'!$X$37)),I107*0.5*1.2*0.5,IF(AND(EXACT(G107,'Data Base'!$T$36),OR(EXACT(H107,'Data Base'!$V$36),EXACT(H107,'Data Base'!$V$35)),EXACT(K107,'Data Base'!$X$35)),I107*1*1*1,IF(AND(EXACT(G107,'Data Base'!$T$36),EXACT(H107,'Data Base'!$V$37),EXACT(K107,'Data Base'!$X$35)),I107*1*0.5*1,IF(AND(EXACT(G107,'Data Base'!$T$36),EXACT(H107,'Data Base'!$V$38),EXACT(K107,'Data Base'!$X$35)),I107*1*1.2*1,IF(AND(EXACT(G107,'Data Base'!$T$36),OR(EXACT(H107,'Data Base'!$V$36),EXACT(H107,'Data Base'!$V$35)),EXACT(K107,'Data Base'!$X$36)),I107*1*1*0.75,IF(AND(EXACT(G107,'Data Base'!$T$36),EXACT(H107,'Data Base'!$V$37),EXACT(K107,'Data Base'!$X$36)),I107*1*0.5*0.75,IF(AND(EXACT(G107,'Data Base'!$T$36),EXACT(H107,'Data Base'!$V$38),EXACT(K107,'Data Base'!$X$36)),I107*1*1.2*0.75,IF(AND(EXACT(G107,'Data Base'!$T$36),OR(EXACT(H107,'Data Base'!$V$36),EXACT(H107,'Data Base'!$V$35)),EXACT(K107,'Data Base'!$X$37)),I107*1*1*0.5,IF(AND(EXACT(G107,'Data Base'!$T$36),EXACT(H107,'Data Base'!$V$37),EXACT(K107,'Data Base'!$X$37)),I107*1*0.5*0.5,IF(AND(EXACT(G107,'Data Base'!$T$36),EXACT(H107,'Data Base'!$V$38),EXACT(K107,'Data Base'!$X$37)),I107*1*1.2*0.5,IF(AND(EXACT(G107,'Data Base'!$T$37),OR(EXACT(H107,'Data Base'!$V$36),EXACT(H107,'Data Base'!$V$35)),EXACT(K107,'Data Base'!$X$35)),I107*1.25*1*1,IF(AND(EXACT(G107,'Data Base'!$T$37),EXACT(H107,'Data Base'!$V$37),EXACT(K107,'Data Base'!$X$35)),I107*1.25*0.5*1,IF(AND(EXACT(G107,'Data Base'!$T$37),EXACT(H107,'Data Base'!$V$38),EXACT(K107,'Data Base'!$X$35)),I107*1.25*1.2*1,IF(AND(EXACT(G107,'Data Base'!$T$37),OR(EXACT(H107,'Data Base'!$V$36),EXACT(H107,'Data Base'!$V$35)),EXACT(K107,'Data Base'!$X$36)),I107*1.25*1*0.75,IF(AND(EXACT(G107,'Data Base'!$T$37),EXACT(H107,'Data Base'!$V$37),EXACT(K107,'Data Base'!$X$36)),I107*1.25*0.5*0.75,IF(AND(EXACT(G107,'Data Base'!$T$37),EXACT(H107,'Data Base'!$V$38),EXACT(K107,'Data Base'!$X$36)),I107*1.25*1.2*0.75,IF(AND(EXACT(G107,'Data Base'!$T$37),OR(EXACT(H107,'Data Base'!$V$36),EXACT(H107,'Data Base'!$V$35)),EXACT(K107,'Data Base'!$X$37)),I107*1.25*1*0.5,IF(AND(EXACT(G107,'Data Base'!$T$37),EXACT(H107,'Data Base'!$V$37),EXACT(K107,'Data Base'!$X$37)),I107*1.25*0.5*0.5,IF(AND(EXACT(G107,'Data Base'!$T$37),EXACT(H107,'Data Base'!$V$38),EXACT(K107,'Data Base'!$X$37)),I107*1.25*1.2*0.5))))))))))))))))))))))))))),"")</f>
        <v/>
      </c>
    </row>
    <row r="108" spans="1:13" ht="21" customHeight="1">
      <c r="A108" s="99">
        <v>8</v>
      </c>
      <c r="B108" s="1349" t="str">
        <f t="shared" si="12"/>
        <v/>
      </c>
      <c r="C108" s="1350"/>
      <c r="D108" s="148" t="str">
        <f t="shared" si="13"/>
        <v/>
      </c>
      <c r="E108" s="1351"/>
      <c r="F108" s="1352"/>
      <c r="G108" s="165"/>
      <c r="H108" s="140"/>
      <c r="I108" s="4"/>
      <c r="J108" s="4"/>
      <c r="K108" s="140"/>
      <c r="L108" s="4" t="s">
        <v>652</v>
      </c>
      <c r="M108" s="166" t="str">
        <f>IF(AND(NOT(EXACT(D108,"")),NOT(EXACT(G108,"")),NOT(EXACT(E108,"")),NOT(EXACT(B108,"")),NOT(EXACT(I108,"")),NOT(EXACT(H108,""))),IF(AND(EXACT(G108,'Data Base'!$T$35),OR(EXACT(H108,'Data Base'!$V$36),EXACT(H108,'Data Base'!$V$35)),EXACT(K108,'Data Base'!$X$35)),I108*0.5*1*1,IF(AND(EXACT(G108,'Data Base'!$T$35),EXACT(H108,'Data Base'!$V$37),EXACT(K108,'Data Base'!$X$35)),I108*0.5*0.5*1,IF(AND(EXACT(G108,'Data Base'!$T$35),EXACT(H108,'Data Base'!$V$38),EXACT(K108,'Data Base'!$X$35)),I108*0.5*1.2*1,IF(AND(EXACT(G108,'Data Base'!$T$35),OR(EXACT(H108,'Data Base'!$V$36),EXACT(H108,'Data Base'!$V$35)),EXACT(K108,'Data Base'!$X$36)),I108*0.5*1*0.75,IF(AND(EXACT(G108,'Data Base'!$T$35),EXACT(H108,'Data Base'!$V$37),EXACT(K108,'Data Base'!$X$36)),I108*0.5*0.5*0.75,IF(AND(EXACT(G108,'Data Base'!$T$35),EXACT(H108,'Data Base'!$V$38),EXACT(K108,'Data Base'!$X$36)),I108*0.5*1.2*0.75,IF(AND(EXACT(G108,'Data Base'!$T$35),OR(EXACT(H108,'Data Base'!$V$36),EXACT(H108,'Data Base'!$V$35)),EXACT(K108,'Data Base'!$X$37)),I108*0.5*1*0.5,IF(AND(EXACT(G108,'Data Base'!$T$35),EXACT(H108,'Data Base'!$V$37),EXACT(K108,'Data Base'!$X$37)),I108*0.5*0.5*0.5,IF(AND(EXACT(G108,'Data Base'!$T$35),EXACT(H108,'Data Base'!$V$38),EXACT(K108,'Data Base'!$X$37)),I108*0.5*1.2*0.5,IF(AND(EXACT(G108,'Data Base'!$T$36),OR(EXACT(H108,'Data Base'!$V$36),EXACT(H108,'Data Base'!$V$35)),EXACT(K108,'Data Base'!$X$35)),I108*1*1*1,IF(AND(EXACT(G108,'Data Base'!$T$36),EXACT(H108,'Data Base'!$V$37),EXACT(K108,'Data Base'!$X$35)),I108*1*0.5*1,IF(AND(EXACT(G108,'Data Base'!$T$36),EXACT(H108,'Data Base'!$V$38),EXACT(K108,'Data Base'!$X$35)),I108*1*1.2*1,IF(AND(EXACT(G108,'Data Base'!$T$36),OR(EXACT(H108,'Data Base'!$V$36),EXACT(H108,'Data Base'!$V$35)),EXACT(K108,'Data Base'!$X$36)),I108*1*1*0.75,IF(AND(EXACT(G108,'Data Base'!$T$36),EXACT(H108,'Data Base'!$V$37),EXACT(K108,'Data Base'!$X$36)),I108*1*0.5*0.75,IF(AND(EXACT(G108,'Data Base'!$T$36),EXACT(H108,'Data Base'!$V$38),EXACT(K108,'Data Base'!$X$36)),I108*1*1.2*0.75,IF(AND(EXACT(G108,'Data Base'!$T$36),OR(EXACT(H108,'Data Base'!$V$36),EXACT(H108,'Data Base'!$V$35)),EXACT(K108,'Data Base'!$X$37)),I108*1*1*0.5,IF(AND(EXACT(G108,'Data Base'!$T$36),EXACT(H108,'Data Base'!$V$37),EXACT(K108,'Data Base'!$X$37)),I108*1*0.5*0.5,IF(AND(EXACT(G108,'Data Base'!$T$36),EXACT(H108,'Data Base'!$V$38),EXACT(K108,'Data Base'!$X$37)),I108*1*1.2*0.5,IF(AND(EXACT(G108,'Data Base'!$T$37),OR(EXACT(H108,'Data Base'!$V$36),EXACT(H108,'Data Base'!$V$35)),EXACT(K108,'Data Base'!$X$35)),I108*1.25*1*1,IF(AND(EXACT(G108,'Data Base'!$T$37),EXACT(H108,'Data Base'!$V$37),EXACT(K108,'Data Base'!$X$35)),I108*1.25*0.5*1,IF(AND(EXACT(G108,'Data Base'!$T$37),EXACT(H108,'Data Base'!$V$38),EXACT(K108,'Data Base'!$X$35)),I108*1.25*1.2*1,IF(AND(EXACT(G108,'Data Base'!$T$37),OR(EXACT(H108,'Data Base'!$V$36),EXACT(H108,'Data Base'!$V$35)),EXACT(K108,'Data Base'!$X$36)),I108*1.25*1*0.75,IF(AND(EXACT(G108,'Data Base'!$T$37),EXACT(H108,'Data Base'!$V$37),EXACT(K108,'Data Base'!$X$36)),I108*1.25*0.5*0.75,IF(AND(EXACT(G108,'Data Base'!$T$37),EXACT(H108,'Data Base'!$V$38),EXACT(K108,'Data Base'!$X$36)),I108*1.25*1.2*0.75,IF(AND(EXACT(G108,'Data Base'!$T$37),OR(EXACT(H108,'Data Base'!$V$36),EXACT(H108,'Data Base'!$V$35)),EXACT(K108,'Data Base'!$X$37)),I108*1.25*1*0.5,IF(AND(EXACT(G108,'Data Base'!$T$37),EXACT(H108,'Data Base'!$V$37),EXACT(K108,'Data Base'!$X$37)),I108*1.25*0.5*0.5,IF(AND(EXACT(G108,'Data Base'!$T$37),EXACT(H108,'Data Base'!$V$38),EXACT(K108,'Data Base'!$X$37)),I108*1.25*1.2*0.5))))))))))))))))))))))))))),"")</f>
        <v/>
      </c>
    </row>
    <row r="109" spans="1:13" ht="21" customHeight="1">
      <c r="A109" s="99">
        <v>9</v>
      </c>
      <c r="B109" s="1349" t="str">
        <f t="shared" si="12"/>
        <v/>
      </c>
      <c r="C109" s="1350"/>
      <c r="D109" s="148" t="str">
        <f t="shared" si="13"/>
        <v/>
      </c>
      <c r="E109" s="1351"/>
      <c r="F109" s="1352"/>
      <c r="G109" s="165"/>
      <c r="H109" s="140"/>
      <c r="I109" s="4"/>
      <c r="J109" s="4"/>
      <c r="K109" s="140"/>
      <c r="L109" s="4" t="s">
        <v>652</v>
      </c>
      <c r="M109" s="166" t="str">
        <f>IF(AND(NOT(EXACT(D109,"")),NOT(EXACT(G109,"")),NOT(EXACT(E109,"")),NOT(EXACT(B109,"")),NOT(EXACT(I109,"")),NOT(EXACT(H109,""))),IF(AND(EXACT(G109,'Data Base'!$T$35),OR(EXACT(H109,'Data Base'!$V$36),EXACT(H109,'Data Base'!$V$35)),EXACT(K109,'Data Base'!$X$35)),I109*0.5*1*1,IF(AND(EXACT(G109,'Data Base'!$T$35),EXACT(H109,'Data Base'!$V$37),EXACT(K109,'Data Base'!$X$35)),I109*0.5*0.5*1,IF(AND(EXACT(G109,'Data Base'!$T$35),EXACT(H109,'Data Base'!$V$38),EXACT(K109,'Data Base'!$X$35)),I109*0.5*1.2*1,IF(AND(EXACT(G109,'Data Base'!$T$35),OR(EXACT(H109,'Data Base'!$V$36),EXACT(H109,'Data Base'!$V$35)),EXACT(K109,'Data Base'!$X$36)),I109*0.5*1*0.75,IF(AND(EXACT(G109,'Data Base'!$T$35),EXACT(H109,'Data Base'!$V$37),EXACT(K109,'Data Base'!$X$36)),I109*0.5*0.5*0.75,IF(AND(EXACT(G109,'Data Base'!$T$35),EXACT(H109,'Data Base'!$V$38),EXACT(K109,'Data Base'!$X$36)),I109*0.5*1.2*0.75,IF(AND(EXACT(G109,'Data Base'!$T$35),OR(EXACT(H109,'Data Base'!$V$36),EXACT(H109,'Data Base'!$V$35)),EXACT(K109,'Data Base'!$X$37)),I109*0.5*1*0.5,IF(AND(EXACT(G109,'Data Base'!$T$35),EXACT(H109,'Data Base'!$V$37),EXACT(K109,'Data Base'!$X$37)),I109*0.5*0.5*0.5,IF(AND(EXACT(G109,'Data Base'!$T$35),EXACT(H109,'Data Base'!$V$38),EXACT(K109,'Data Base'!$X$37)),I109*0.5*1.2*0.5,IF(AND(EXACT(G109,'Data Base'!$T$36),OR(EXACT(H109,'Data Base'!$V$36),EXACT(H109,'Data Base'!$V$35)),EXACT(K109,'Data Base'!$X$35)),I109*1*1*1,IF(AND(EXACT(G109,'Data Base'!$T$36),EXACT(H109,'Data Base'!$V$37),EXACT(K109,'Data Base'!$X$35)),I109*1*0.5*1,IF(AND(EXACT(G109,'Data Base'!$T$36),EXACT(H109,'Data Base'!$V$38),EXACT(K109,'Data Base'!$X$35)),I109*1*1.2*1,IF(AND(EXACT(G109,'Data Base'!$T$36),OR(EXACT(H109,'Data Base'!$V$36),EXACT(H109,'Data Base'!$V$35)),EXACT(K109,'Data Base'!$X$36)),I109*1*1*0.75,IF(AND(EXACT(G109,'Data Base'!$T$36),EXACT(H109,'Data Base'!$V$37),EXACT(K109,'Data Base'!$X$36)),I109*1*0.5*0.75,IF(AND(EXACT(G109,'Data Base'!$T$36),EXACT(H109,'Data Base'!$V$38),EXACT(K109,'Data Base'!$X$36)),I109*1*1.2*0.75,IF(AND(EXACT(G109,'Data Base'!$T$36),OR(EXACT(H109,'Data Base'!$V$36),EXACT(H109,'Data Base'!$V$35)),EXACT(K109,'Data Base'!$X$37)),I109*1*1*0.5,IF(AND(EXACT(G109,'Data Base'!$T$36),EXACT(H109,'Data Base'!$V$37),EXACT(K109,'Data Base'!$X$37)),I109*1*0.5*0.5,IF(AND(EXACT(G109,'Data Base'!$T$36),EXACT(H109,'Data Base'!$V$38),EXACT(K109,'Data Base'!$X$37)),I109*1*1.2*0.5,IF(AND(EXACT(G109,'Data Base'!$T$37),OR(EXACT(H109,'Data Base'!$V$36),EXACT(H109,'Data Base'!$V$35)),EXACT(K109,'Data Base'!$X$35)),I109*1.25*1*1,IF(AND(EXACT(G109,'Data Base'!$T$37),EXACT(H109,'Data Base'!$V$37),EXACT(K109,'Data Base'!$X$35)),I109*1.25*0.5*1,IF(AND(EXACT(G109,'Data Base'!$T$37),EXACT(H109,'Data Base'!$V$38),EXACT(K109,'Data Base'!$X$35)),I109*1.25*1.2*1,IF(AND(EXACT(G109,'Data Base'!$T$37),OR(EXACT(H109,'Data Base'!$V$36),EXACT(H109,'Data Base'!$V$35)),EXACT(K109,'Data Base'!$X$36)),I109*1.25*1*0.75,IF(AND(EXACT(G109,'Data Base'!$T$37),EXACT(H109,'Data Base'!$V$37),EXACT(K109,'Data Base'!$X$36)),I109*1.25*0.5*0.75,IF(AND(EXACT(G109,'Data Base'!$T$37),EXACT(H109,'Data Base'!$V$38),EXACT(K109,'Data Base'!$X$36)),I109*1.25*1.2*0.75,IF(AND(EXACT(G109,'Data Base'!$T$37),OR(EXACT(H109,'Data Base'!$V$36),EXACT(H109,'Data Base'!$V$35)),EXACT(K109,'Data Base'!$X$37)),I109*1.25*1*0.5,IF(AND(EXACT(G109,'Data Base'!$T$37),EXACT(H109,'Data Base'!$V$37),EXACT(K109,'Data Base'!$X$37)),I109*1.25*0.5*0.5,IF(AND(EXACT(G109,'Data Base'!$T$37),EXACT(H109,'Data Base'!$V$38),EXACT(K109,'Data Base'!$X$37)),I109*1.25*1.2*0.5))))))))))))))))))))))))))),"")</f>
        <v/>
      </c>
    </row>
    <row r="110" spans="1:13" ht="21" customHeight="1">
      <c r="A110" s="97">
        <v>10</v>
      </c>
      <c r="B110" s="1349" t="str">
        <f t="shared" si="12"/>
        <v/>
      </c>
      <c r="C110" s="1350"/>
      <c r="D110" s="148" t="str">
        <f t="shared" si="13"/>
        <v/>
      </c>
      <c r="E110" s="1351"/>
      <c r="F110" s="1352"/>
      <c r="G110" s="165"/>
      <c r="H110" s="140"/>
      <c r="I110" s="4"/>
      <c r="J110" s="4"/>
      <c r="K110" s="140"/>
      <c r="L110" s="4" t="s">
        <v>652</v>
      </c>
      <c r="M110" s="166" t="str">
        <f>IF(AND(NOT(EXACT(D110,"")),NOT(EXACT(G110,"")),NOT(EXACT(E110,"")),NOT(EXACT(B110,"")),NOT(EXACT(I110,"")),NOT(EXACT(H110,""))),IF(AND(EXACT(G110,'Data Base'!$T$35),OR(EXACT(H110,'Data Base'!$V$36),EXACT(H110,'Data Base'!$V$35)),EXACT(K110,'Data Base'!$X$35)),I110*0.5*1*1,IF(AND(EXACT(G110,'Data Base'!$T$35),EXACT(H110,'Data Base'!$V$37),EXACT(K110,'Data Base'!$X$35)),I110*0.5*0.5*1,IF(AND(EXACT(G110,'Data Base'!$T$35),EXACT(H110,'Data Base'!$V$38),EXACT(K110,'Data Base'!$X$35)),I110*0.5*1.2*1,IF(AND(EXACT(G110,'Data Base'!$T$35),OR(EXACT(H110,'Data Base'!$V$36),EXACT(H110,'Data Base'!$V$35)),EXACT(K110,'Data Base'!$X$36)),I110*0.5*1*0.75,IF(AND(EXACT(G110,'Data Base'!$T$35),EXACT(H110,'Data Base'!$V$37),EXACT(K110,'Data Base'!$X$36)),I110*0.5*0.5*0.75,IF(AND(EXACT(G110,'Data Base'!$T$35),EXACT(H110,'Data Base'!$V$38),EXACT(K110,'Data Base'!$X$36)),I110*0.5*1.2*0.75,IF(AND(EXACT(G110,'Data Base'!$T$35),OR(EXACT(H110,'Data Base'!$V$36),EXACT(H110,'Data Base'!$V$35)),EXACT(K110,'Data Base'!$X$37)),I110*0.5*1*0.5,IF(AND(EXACT(G110,'Data Base'!$T$35),EXACT(H110,'Data Base'!$V$37),EXACT(K110,'Data Base'!$X$37)),I110*0.5*0.5*0.5,IF(AND(EXACT(G110,'Data Base'!$T$35),EXACT(H110,'Data Base'!$V$38),EXACT(K110,'Data Base'!$X$37)),I110*0.5*1.2*0.5,IF(AND(EXACT(G110,'Data Base'!$T$36),OR(EXACT(H110,'Data Base'!$V$36),EXACT(H110,'Data Base'!$V$35)),EXACT(K110,'Data Base'!$X$35)),I110*1*1*1,IF(AND(EXACT(G110,'Data Base'!$T$36),EXACT(H110,'Data Base'!$V$37),EXACT(K110,'Data Base'!$X$35)),I110*1*0.5*1,IF(AND(EXACT(G110,'Data Base'!$T$36),EXACT(H110,'Data Base'!$V$38),EXACT(K110,'Data Base'!$X$35)),I110*1*1.2*1,IF(AND(EXACT(G110,'Data Base'!$T$36),OR(EXACT(H110,'Data Base'!$V$36),EXACT(H110,'Data Base'!$V$35)),EXACT(K110,'Data Base'!$X$36)),I110*1*1*0.75,IF(AND(EXACT(G110,'Data Base'!$T$36),EXACT(H110,'Data Base'!$V$37),EXACT(K110,'Data Base'!$X$36)),I110*1*0.5*0.75,IF(AND(EXACT(G110,'Data Base'!$T$36),EXACT(H110,'Data Base'!$V$38),EXACT(K110,'Data Base'!$X$36)),I110*1*1.2*0.75,IF(AND(EXACT(G110,'Data Base'!$T$36),OR(EXACT(H110,'Data Base'!$V$36),EXACT(H110,'Data Base'!$V$35)),EXACT(K110,'Data Base'!$X$37)),I110*1*1*0.5,IF(AND(EXACT(G110,'Data Base'!$T$36),EXACT(H110,'Data Base'!$V$37),EXACT(K110,'Data Base'!$X$37)),I110*1*0.5*0.5,IF(AND(EXACT(G110,'Data Base'!$T$36),EXACT(H110,'Data Base'!$V$38),EXACT(K110,'Data Base'!$X$37)),I110*1*1.2*0.5,IF(AND(EXACT(G110,'Data Base'!$T$37),OR(EXACT(H110,'Data Base'!$V$36),EXACT(H110,'Data Base'!$V$35)),EXACT(K110,'Data Base'!$X$35)),I110*1.25*1*1,IF(AND(EXACT(G110,'Data Base'!$T$37),EXACT(H110,'Data Base'!$V$37),EXACT(K110,'Data Base'!$X$35)),I110*1.25*0.5*1,IF(AND(EXACT(G110,'Data Base'!$T$37),EXACT(H110,'Data Base'!$V$38),EXACT(K110,'Data Base'!$X$35)),I110*1.25*1.2*1,IF(AND(EXACT(G110,'Data Base'!$T$37),OR(EXACT(H110,'Data Base'!$V$36),EXACT(H110,'Data Base'!$V$35)),EXACT(K110,'Data Base'!$X$36)),I110*1.25*1*0.75,IF(AND(EXACT(G110,'Data Base'!$T$37),EXACT(H110,'Data Base'!$V$37),EXACT(K110,'Data Base'!$X$36)),I110*1.25*0.5*0.75,IF(AND(EXACT(G110,'Data Base'!$T$37),EXACT(H110,'Data Base'!$V$38),EXACT(K110,'Data Base'!$X$36)),I110*1.25*1.2*0.75,IF(AND(EXACT(G110,'Data Base'!$T$37),OR(EXACT(H110,'Data Base'!$V$36),EXACT(H110,'Data Base'!$V$35)),EXACT(K110,'Data Base'!$X$37)),I110*1.25*1*0.5,IF(AND(EXACT(G110,'Data Base'!$T$37),EXACT(H110,'Data Base'!$V$37),EXACT(K110,'Data Base'!$X$37)),I110*1.25*0.5*0.5,IF(AND(EXACT(G110,'Data Base'!$T$37),EXACT(H110,'Data Base'!$V$38),EXACT(K110,'Data Base'!$X$37)),I110*1.25*1.2*0.5))))))))))))))))))))))))))),"")</f>
        <v/>
      </c>
    </row>
    <row r="111" spans="1:13" ht="21" customHeight="1">
      <c r="A111" s="99">
        <v>11</v>
      </c>
      <c r="B111" s="1349" t="str">
        <f t="shared" si="12"/>
        <v/>
      </c>
      <c r="C111" s="1350"/>
      <c r="D111" s="148" t="str">
        <f t="shared" si="13"/>
        <v/>
      </c>
      <c r="E111" s="1351"/>
      <c r="F111" s="1352"/>
      <c r="G111" s="165"/>
      <c r="H111" s="140"/>
      <c r="I111" s="4"/>
      <c r="J111" s="4"/>
      <c r="K111" s="140"/>
      <c r="L111" s="4" t="s">
        <v>652</v>
      </c>
      <c r="M111" s="166" t="str">
        <f>IF(AND(NOT(EXACT(D111,"")),NOT(EXACT(G111,"")),NOT(EXACT(E111,"")),NOT(EXACT(B111,"")),NOT(EXACT(I111,"")),NOT(EXACT(H111,""))),IF(AND(EXACT(G111,'Data Base'!$T$35),OR(EXACT(H111,'Data Base'!$V$36),EXACT(H111,'Data Base'!$V$35)),EXACT(K111,'Data Base'!$X$35)),I111*0.5*1*1,IF(AND(EXACT(G111,'Data Base'!$T$35),EXACT(H111,'Data Base'!$V$37),EXACT(K111,'Data Base'!$X$35)),I111*0.5*0.5*1,IF(AND(EXACT(G111,'Data Base'!$T$35),EXACT(H111,'Data Base'!$V$38),EXACT(K111,'Data Base'!$X$35)),I111*0.5*1.2*1,IF(AND(EXACT(G111,'Data Base'!$T$35),OR(EXACT(H111,'Data Base'!$V$36),EXACT(H111,'Data Base'!$V$35)),EXACT(K111,'Data Base'!$X$36)),I111*0.5*1*0.75,IF(AND(EXACT(G111,'Data Base'!$T$35),EXACT(H111,'Data Base'!$V$37),EXACT(K111,'Data Base'!$X$36)),I111*0.5*0.5*0.75,IF(AND(EXACT(G111,'Data Base'!$T$35),EXACT(H111,'Data Base'!$V$38),EXACT(K111,'Data Base'!$X$36)),I111*0.5*1.2*0.75,IF(AND(EXACT(G111,'Data Base'!$T$35),OR(EXACT(H111,'Data Base'!$V$36),EXACT(H111,'Data Base'!$V$35)),EXACT(K111,'Data Base'!$X$37)),I111*0.5*1*0.5,IF(AND(EXACT(G111,'Data Base'!$T$35),EXACT(H111,'Data Base'!$V$37),EXACT(K111,'Data Base'!$X$37)),I111*0.5*0.5*0.5,IF(AND(EXACT(G111,'Data Base'!$T$35),EXACT(H111,'Data Base'!$V$38),EXACT(K111,'Data Base'!$X$37)),I111*0.5*1.2*0.5,IF(AND(EXACT(G111,'Data Base'!$T$36),OR(EXACT(H111,'Data Base'!$V$36),EXACT(H111,'Data Base'!$V$35)),EXACT(K111,'Data Base'!$X$35)),I111*1*1*1,IF(AND(EXACT(G111,'Data Base'!$T$36),EXACT(H111,'Data Base'!$V$37),EXACT(K111,'Data Base'!$X$35)),I111*1*0.5*1,IF(AND(EXACT(G111,'Data Base'!$T$36),EXACT(H111,'Data Base'!$V$38),EXACT(K111,'Data Base'!$X$35)),I111*1*1.2*1,IF(AND(EXACT(G111,'Data Base'!$T$36),OR(EXACT(H111,'Data Base'!$V$36),EXACT(H111,'Data Base'!$V$35)),EXACT(K111,'Data Base'!$X$36)),I111*1*1*0.75,IF(AND(EXACT(G111,'Data Base'!$T$36),EXACT(H111,'Data Base'!$V$37),EXACT(K111,'Data Base'!$X$36)),I111*1*0.5*0.75,IF(AND(EXACT(G111,'Data Base'!$T$36),EXACT(H111,'Data Base'!$V$38),EXACT(K111,'Data Base'!$X$36)),I111*1*1.2*0.75,IF(AND(EXACT(G111,'Data Base'!$T$36),OR(EXACT(H111,'Data Base'!$V$36),EXACT(H111,'Data Base'!$V$35)),EXACT(K111,'Data Base'!$X$37)),I111*1*1*0.5,IF(AND(EXACT(G111,'Data Base'!$T$36),EXACT(H111,'Data Base'!$V$37),EXACT(K111,'Data Base'!$X$37)),I111*1*0.5*0.5,IF(AND(EXACT(G111,'Data Base'!$T$36),EXACT(H111,'Data Base'!$V$38),EXACT(K111,'Data Base'!$X$37)),I111*1*1.2*0.5,IF(AND(EXACT(G111,'Data Base'!$T$37),OR(EXACT(H111,'Data Base'!$V$36),EXACT(H111,'Data Base'!$V$35)),EXACT(K111,'Data Base'!$X$35)),I111*1.25*1*1,IF(AND(EXACT(G111,'Data Base'!$T$37),EXACT(H111,'Data Base'!$V$37),EXACT(K111,'Data Base'!$X$35)),I111*1.25*0.5*1,IF(AND(EXACT(G111,'Data Base'!$T$37),EXACT(H111,'Data Base'!$V$38),EXACT(K111,'Data Base'!$X$35)),I111*1.25*1.2*1,IF(AND(EXACT(G111,'Data Base'!$T$37),OR(EXACT(H111,'Data Base'!$V$36),EXACT(H111,'Data Base'!$V$35)),EXACT(K111,'Data Base'!$X$36)),I111*1.25*1*0.75,IF(AND(EXACT(G111,'Data Base'!$T$37),EXACT(H111,'Data Base'!$V$37),EXACT(K111,'Data Base'!$X$36)),I111*1.25*0.5*0.75,IF(AND(EXACT(G111,'Data Base'!$T$37),EXACT(H111,'Data Base'!$V$38),EXACT(K111,'Data Base'!$X$36)),I111*1.25*1.2*0.75,IF(AND(EXACT(G111,'Data Base'!$T$37),OR(EXACT(H111,'Data Base'!$V$36),EXACT(H111,'Data Base'!$V$35)),EXACT(K111,'Data Base'!$X$37)),I111*1.25*1*0.5,IF(AND(EXACT(G111,'Data Base'!$T$37),EXACT(H111,'Data Base'!$V$37),EXACT(K111,'Data Base'!$X$37)),I111*1.25*0.5*0.5,IF(AND(EXACT(G111,'Data Base'!$T$37),EXACT(H111,'Data Base'!$V$38),EXACT(K111,'Data Base'!$X$37)),I111*1.25*1.2*0.5))))))))))))))))))))))))))),"")</f>
        <v/>
      </c>
    </row>
    <row r="112" spans="1:13" ht="21" customHeight="1">
      <c r="A112" s="99">
        <v>12</v>
      </c>
      <c r="B112" s="1349" t="str">
        <f t="shared" si="12"/>
        <v/>
      </c>
      <c r="C112" s="1350"/>
      <c r="D112" s="148" t="str">
        <f t="shared" si="13"/>
        <v/>
      </c>
      <c r="E112" s="1351"/>
      <c r="F112" s="1352"/>
      <c r="G112" s="165"/>
      <c r="H112" s="140"/>
      <c r="I112" s="4"/>
      <c r="J112" s="4"/>
      <c r="K112" s="140"/>
      <c r="L112" s="4" t="s">
        <v>652</v>
      </c>
      <c r="M112" s="166" t="str">
        <f>IF(AND(NOT(EXACT(D112,"")),NOT(EXACT(G112,"")),NOT(EXACT(E112,"")),NOT(EXACT(B112,"")),NOT(EXACT(I112,"")),NOT(EXACT(H112,""))),IF(AND(EXACT(G112,'Data Base'!$T$35),OR(EXACT(H112,'Data Base'!$V$36),EXACT(H112,'Data Base'!$V$35)),EXACT(K112,'Data Base'!$X$35)),I112*0.5*1*1,IF(AND(EXACT(G112,'Data Base'!$T$35),EXACT(H112,'Data Base'!$V$37),EXACT(K112,'Data Base'!$X$35)),I112*0.5*0.5*1,IF(AND(EXACT(G112,'Data Base'!$T$35),EXACT(H112,'Data Base'!$V$38),EXACT(K112,'Data Base'!$X$35)),I112*0.5*1.2*1,IF(AND(EXACT(G112,'Data Base'!$T$35),OR(EXACT(H112,'Data Base'!$V$36),EXACT(H112,'Data Base'!$V$35)),EXACT(K112,'Data Base'!$X$36)),I112*0.5*1*0.75,IF(AND(EXACT(G112,'Data Base'!$T$35),EXACT(H112,'Data Base'!$V$37),EXACT(K112,'Data Base'!$X$36)),I112*0.5*0.5*0.75,IF(AND(EXACT(G112,'Data Base'!$T$35),EXACT(H112,'Data Base'!$V$38),EXACT(K112,'Data Base'!$X$36)),I112*0.5*1.2*0.75,IF(AND(EXACT(G112,'Data Base'!$T$35),OR(EXACT(H112,'Data Base'!$V$36),EXACT(H112,'Data Base'!$V$35)),EXACT(K112,'Data Base'!$X$37)),I112*0.5*1*0.5,IF(AND(EXACT(G112,'Data Base'!$T$35),EXACT(H112,'Data Base'!$V$37),EXACT(K112,'Data Base'!$X$37)),I112*0.5*0.5*0.5,IF(AND(EXACT(G112,'Data Base'!$T$35),EXACT(H112,'Data Base'!$V$38),EXACT(K112,'Data Base'!$X$37)),I112*0.5*1.2*0.5,IF(AND(EXACT(G112,'Data Base'!$T$36),OR(EXACT(H112,'Data Base'!$V$36),EXACT(H112,'Data Base'!$V$35)),EXACT(K112,'Data Base'!$X$35)),I112*1*1*1,IF(AND(EXACT(G112,'Data Base'!$T$36),EXACT(H112,'Data Base'!$V$37),EXACT(K112,'Data Base'!$X$35)),I112*1*0.5*1,IF(AND(EXACT(G112,'Data Base'!$T$36),EXACT(H112,'Data Base'!$V$38),EXACT(K112,'Data Base'!$X$35)),I112*1*1.2*1,IF(AND(EXACT(G112,'Data Base'!$T$36),OR(EXACT(H112,'Data Base'!$V$36),EXACT(H112,'Data Base'!$V$35)),EXACT(K112,'Data Base'!$X$36)),I112*1*1*0.75,IF(AND(EXACT(G112,'Data Base'!$T$36),EXACT(H112,'Data Base'!$V$37),EXACT(K112,'Data Base'!$X$36)),I112*1*0.5*0.75,IF(AND(EXACT(G112,'Data Base'!$T$36),EXACT(H112,'Data Base'!$V$38),EXACT(K112,'Data Base'!$X$36)),I112*1*1.2*0.75,IF(AND(EXACT(G112,'Data Base'!$T$36),OR(EXACT(H112,'Data Base'!$V$36),EXACT(H112,'Data Base'!$V$35)),EXACT(K112,'Data Base'!$X$37)),I112*1*1*0.5,IF(AND(EXACT(G112,'Data Base'!$T$36),EXACT(H112,'Data Base'!$V$37),EXACT(K112,'Data Base'!$X$37)),I112*1*0.5*0.5,IF(AND(EXACT(G112,'Data Base'!$T$36),EXACT(H112,'Data Base'!$V$38),EXACT(K112,'Data Base'!$X$37)),I112*1*1.2*0.5,IF(AND(EXACT(G112,'Data Base'!$T$37),OR(EXACT(H112,'Data Base'!$V$36),EXACT(H112,'Data Base'!$V$35)),EXACT(K112,'Data Base'!$X$35)),I112*1.25*1*1,IF(AND(EXACT(G112,'Data Base'!$T$37),EXACT(H112,'Data Base'!$V$37),EXACT(K112,'Data Base'!$X$35)),I112*1.25*0.5*1,IF(AND(EXACT(G112,'Data Base'!$T$37),EXACT(H112,'Data Base'!$V$38),EXACT(K112,'Data Base'!$X$35)),I112*1.25*1.2*1,IF(AND(EXACT(G112,'Data Base'!$T$37),OR(EXACT(H112,'Data Base'!$V$36),EXACT(H112,'Data Base'!$V$35)),EXACT(K112,'Data Base'!$X$36)),I112*1.25*1*0.75,IF(AND(EXACT(G112,'Data Base'!$T$37),EXACT(H112,'Data Base'!$V$37),EXACT(K112,'Data Base'!$X$36)),I112*1.25*0.5*0.75,IF(AND(EXACT(G112,'Data Base'!$T$37),EXACT(H112,'Data Base'!$V$38),EXACT(K112,'Data Base'!$X$36)),I112*1.25*1.2*0.75,IF(AND(EXACT(G112,'Data Base'!$T$37),OR(EXACT(H112,'Data Base'!$V$36),EXACT(H112,'Data Base'!$V$35)),EXACT(K112,'Data Base'!$X$37)),I112*1.25*1*0.5,IF(AND(EXACT(G112,'Data Base'!$T$37),EXACT(H112,'Data Base'!$V$37),EXACT(K112,'Data Base'!$X$37)),I112*1.25*0.5*0.5,IF(AND(EXACT(G112,'Data Base'!$T$37),EXACT(H112,'Data Base'!$V$38),EXACT(K112,'Data Base'!$X$37)),I112*1.25*1.2*0.5))))))))))))))))))))))))))),"")</f>
        <v/>
      </c>
    </row>
    <row r="113" spans="1:15" ht="21" customHeight="1">
      <c r="A113" s="97">
        <v>13</v>
      </c>
      <c r="B113" s="1349" t="str">
        <f t="shared" si="12"/>
        <v/>
      </c>
      <c r="C113" s="1350"/>
      <c r="D113" s="148" t="str">
        <f t="shared" si="13"/>
        <v/>
      </c>
      <c r="E113" s="1351"/>
      <c r="F113" s="1352"/>
      <c r="G113" s="165"/>
      <c r="H113" s="140"/>
      <c r="I113" s="4"/>
      <c r="J113" s="4"/>
      <c r="K113" s="140"/>
      <c r="L113" s="4" t="s">
        <v>652</v>
      </c>
      <c r="M113" s="166" t="str">
        <f>IF(AND(NOT(EXACT(D113,"")),NOT(EXACT(G113,"")),NOT(EXACT(E113,"")),NOT(EXACT(B113,"")),NOT(EXACT(I113,"")),NOT(EXACT(H113,""))),IF(AND(EXACT(G113,'Data Base'!$T$35),OR(EXACT(H113,'Data Base'!$V$36),EXACT(H113,'Data Base'!$V$35)),EXACT(K113,'Data Base'!$X$35)),I113*0.5*1*1,IF(AND(EXACT(G113,'Data Base'!$T$35),EXACT(H113,'Data Base'!$V$37),EXACT(K113,'Data Base'!$X$35)),I113*0.5*0.5*1,IF(AND(EXACT(G113,'Data Base'!$T$35),EXACT(H113,'Data Base'!$V$38),EXACT(K113,'Data Base'!$X$35)),I113*0.5*1.2*1,IF(AND(EXACT(G113,'Data Base'!$T$35),OR(EXACT(H113,'Data Base'!$V$36),EXACT(H113,'Data Base'!$V$35)),EXACT(K113,'Data Base'!$X$36)),I113*0.5*1*0.75,IF(AND(EXACT(G113,'Data Base'!$T$35),EXACT(H113,'Data Base'!$V$37),EXACT(K113,'Data Base'!$X$36)),I113*0.5*0.5*0.75,IF(AND(EXACT(G113,'Data Base'!$T$35),EXACT(H113,'Data Base'!$V$38),EXACT(K113,'Data Base'!$X$36)),I113*0.5*1.2*0.75,IF(AND(EXACT(G113,'Data Base'!$T$35),OR(EXACT(H113,'Data Base'!$V$36),EXACT(H113,'Data Base'!$V$35)),EXACT(K113,'Data Base'!$X$37)),I113*0.5*1*0.5,IF(AND(EXACT(G113,'Data Base'!$T$35),EXACT(H113,'Data Base'!$V$37),EXACT(K113,'Data Base'!$X$37)),I113*0.5*0.5*0.5,IF(AND(EXACT(G113,'Data Base'!$T$35),EXACT(H113,'Data Base'!$V$38),EXACT(K113,'Data Base'!$X$37)),I113*0.5*1.2*0.5,IF(AND(EXACT(G113,'Data Base'!$T$36),OR(EXACT(H113,'Data Base'!$V$36),EXACT(H113,'Data Base'!$V$35)),EXACT(K113,'Data Base'!$X$35)),I113*1*1*1,IF(AND(EXACT(G113,'Data Base'!$T$36),EXACT(H113,'Data Base'!$V$37),EXACT(K113,'Data Base'!$X$35)),I113*1*0.5*1,IF(AND(EXACT(G113,'Data Base'!$T$36),EXACT(H113,'Data Base'!$V$38),EXACT(K113,'Data Base'!$X$35)),I113*1*1.2*1,IF(AND(EXACT(G113,'Data Base'!$T$36),OR(EXACT(H113,'Data Base'!$V$36),EXACT(H113,'Data Base'!$V$35)),EXACT(K113,'Data Base'!$X$36)),I113*1*1*0.75,IF(AND(EXACT(G113,'Data Base'!$T$36),EXACT(H113,'Data Base'!$V$37),EXACT(K113,'Data Base'!$X$36)),I113*1*0.5*0.75,IF(AND(EXACT(G113,'Data Base'!$T$36),EXACT(H113,'Data Base'!$V$38),EXACT(K113,'Data Base'!$X$36)),I113*1*1.2*0.75,IF(AND(EXACT(G113,'Data Base'!$T$36),OR(EXACT(H113,'Data Base'!$V$36),EXACT(H113,'Data Base'!$V$35)),EXACT(K113,'Data Base'!$X$37)),I113*1*1*0.5,IF(AND(EXACT(G113,'Data Base'!$T$36),EXACT(H113,'Data Base'!$V$37),EXACT(K113,'Data Base'!$X$37)),I113*1*0.5*0.5,IF(AND(EXACT(G113,'Data Base'!$T$36),EXACT(H113,'Data Base'!$V$38),EXACT(K113,'Data Base'!$X$37)),I113*1*1.2*0.5,IF(AND(EXACT(G113,'Data Base'!$T$37),OR(EXACT(H113,'Data Base'!$V$36),EXACT(H113,'Data Base'!$V$35)),EXACT(K113,'Data Base'!$X$35)),I113*1.25*1*1,IF(AND(EXACT(G113,'Data Base'!$T$37),EXACT(H113,'Data Base'!$V$37),EXACT(K113,'Data Base'!$X$35)),I113*1.25*0.5*1,IF(AND(EXACT(G113,'Data Base'!$T$37),EXACT(H113,'Data Base'!$V$38),EXACT(K113,'Data Base'!$X$35)),I113*1.25*1.2*1,IF(AND(EXACT(G113,'Data Base'!$T$37),OR(EXACT(H113,'Data Base'!$V$36),EXACT(H113,'Data Base'!$V$35)),EXACT(K113,'Data Base'!$X$36)),I113*1.25*1*0.75,IF(AND(EXACT(G113,'Data Base'!$T$37),EXACT(H113,'Data Base'!$V$37),EXACT(K113,'Data Base'!$X$36)),I113*1.25*0.5*0.75,IF(AND(EXACT(G113,'Data Base'!$T$37),EXACT(H113,'Data Base'!$V$38),EXACT(K113,'Data Base'!$X$36)),I113*1.25*1.2*0.75,IF(AND(EXACT(G113,'Data Base'!$T$37),OR(EXACT(H113,'Data Base'!$V$36),EXACT(H113,'Data Base'!$V$35)),EXACT(K113,'Data Base'!$X$37)),I113*1.25*1*0.5,IF(AND(EXACT(G113,'Data Base'!$T$37),EXACT(H113,'Data Base'!$V$37),EXACT(K113,'Data Base'!$X$37)),I113*1.25*0.5*0.5,IF(AND(EXACT(G113,'Data Base'!$T$37),EXACT(H113,'Data Base'!$V$38),EXACT(K113,'Data Base'!$X$37)),I113*1.25*1.2*0.5))))))))))))))))))))))))))),"")</f>
        <v/>
      </c>
    </row>
    <row r="114" spans="1:15" ht="21" customHeight="1">
      <c r="A114" s="99">
        <v>14</v>
      </c>
      <c r="B114" s="1349" t="str">
        <f t="shared" si="12"/>
        <v/>
      </c>
      <c r="C114" s="1350"/>
      <c r="D114" s="148" t="str">
        <f t="shared" si="13"/>
        <v/>
      </c>
      <c r="E114" s="1351"/>
      <c r="F114" s="1352"/>
      <c r="G114" s="165"/>
      <c r="H114" s="140"/>
      <c r="I114" s="4"/>
      <c r="J114" s="4"/>
      <c r="K114" s="140"/>
      <c r="L114" s="4" t="s">
        <v>652</v>
      </c>
      <c r="M114" s="166" t="str">
        <f>IF(AND(NOT(EXACT(D114,"")),NOT(EXACT(G114,"")),NOT(EXACT(E114,"")),NOT(EXACT(B114,"")),NOT(EXACT(I114,"")),NOT(EXACT(H114,""))),IF(AND(EXACT(G114,'Data Base'!$T$35),OR(EXACT(H114,'Data Base'!$V$36),EXACT(H114,'Data Base'!$V$35)),EXACT(K114,'Data Base'!$X$35)),I114*0.5*1*1,IF(AND(EXACT(G114,'Data Base'!$T$35),EXACT(H114,'Data Base'!$V$37),EXACT(K114,'Data Base'!$X$35)),I114*0.5*0.5*1,IF(AND(EXACT(G114,'Data Base'!$T$35),EXACT(H114,'Data Base'!$V$38),EXACT(K114,'Data Base'!$X$35)),I114*0.5*1.2*1,IF(AND(EXACT(G114,'Data Base'!$T$35),OR(EXACT(H114,'Data Base'!$V$36),EXACT(H114,'Data Base'!$V$35)),EXACT(K114,'Data Base'!$X$36)),I114*0.5*1*0.75,IF(AND(EXACT(G114,'Data Base'!$T$35),EXACT(H114,'Data Base'!$V$37),EXACT(K114,'Data Base'!$X$36)),I114*0.5*0.5*0.75,IF(AND(EXACT(G114,'Data Base'!$T$35),EXACT(H114,'Data Base'!$V$38),EXACT(K114,'Data Base'!$X$36)),I114*0.5*1.2*0.75,IF(AND(EXACT(G114,'Data Base'!$T$35),OR(EXACT(H114,'Data Base'!$V$36),EXACT(H114,'Data Base'!$V$35)),EXACT(K114,'Data Base'!$X$37)),I114*0.5*1*0.5,IF(AND(EXACT(G114,'Data Base'!$T$35),EXACT(H114,'Data Base'!$V$37),EXACT(K114,'Data Base'!$X$37)),I114*0.5*0.5*0.5,IF(AND(EXACT(G114,'Data Base'!$T$35),EXACT(H114,'Data Base'!$V$38),EXACT(K114,'Data Base'!$X$37)),I114*0.5*1.2*0.5,IF(AND(EXACT(G114,'Data Base'!$T$36),OR(EXACT(H114,'Data Base'!$V$36),EXACT(H114,'Data Base'!$V$35)),EXACT(K114,'Data Base'!$X$35)),I114*1*1*1,IF(AND(EXACT(G114,'Data Base'!$T$36),EXACT(H114,'Data Base'!$V$37),EXACT(K114,'Data Base'!$X$35)),I114*1*0.5*1,IF(AND(EXACT(G114,'Data Base'!$T$36),EXACT(H114,'Data Base'!$V$38),EXACT(K114,'Data Base'!$X$35)),I114*1*1.2*1,IF(AND(EXACT(G114,'Data Base'!$T$36),OR(EXACT(H114,'Data Base'!$V$36),EXACT(H114,'Data Base'!$V$35)),EXACT(K114,'Data Base'!$X$36)),I114*1*1*0.75,IF(AND(EXACT(G114,'Data Base'!$T$36),EXACT(H114,'Data Base'!$V$37),EXACT(K114,'Data Base'!$X$36)),I114*1*0.5*0.75,IF(AND(EXACT(G114,'Data Base'!$T$36),EXACT(H114,'Data Base'!$V$38),EXACT(K114,'Data Base'!$X$36)),I114*1*1.2*0.75,IF(AND(EXACT(G114,'Data Base'!$T$36),OR(EXACT(H114,'Data Base'!$V$36),EXACT(H114,'Data Base'!$V$35)),EXACT(K114,'Data Base'!$X$37)),I114*1*1*0.5,IF(AND(EXACT(G114,'Data Base'!$T$36),EXACT(H114,'Data Base'!$V$37),EXACT(K114,'Data Base'!$X$37)),I114*1*0.5*0.5,IF(AND(EXACT(G114,'Data Base'!$T$36),EXACT(H114,'Data Base'!$V$38),EXACT(K114,'Data Base'!$X$37)),I114*1*1.2*0.5,IF(AND(EXACT(G114,'Data Base'!$T$37),OR(EXACT(H114,'Data Base'!$V$36),EXACT(H114,'Data Base'!$V$35)),EXACT(K114,'Data Base'!$X$35)),I114*1.25*1*1,IF(AND(EXACT(G114,'Data Base'!$T$37),EXACT(H114,'Data Base'!$V$37),EXACT(K114,'Data Base'!$X$35)),I114*1.25*0.5*1,IF(AND(EXACT(G114,'Data Base'!$T$37),EXACT(H114,'Data Base'!$V$38),EXACT(K114,'Data Base'!$X$35)),I114*1.25*1.2*1,IF(AND(EXACT(G114,'Data Base'!$T$37),OR(EXACT(H114,'Data Base'!$V$36),EXACT(H114,'Data Base'!$V$35)),EXACT(K114,'Data Base'!$X$36)),I114*1.25*1*0.75,IF(AND(EXACT(G114,'Data Base'!$T$37),EXACT(H114,'Data Base'!$V$37),EXACT(K114,'Data Base'!$X$36)),I114*1.25*0.5*0.75,IF(AND(EXACT(G114,'Data Base'!$T$37),EXACT(H114,'Data Base'!$V$38),EXACT(K114,'Data Base'!$X$36)),I114*1.25*1.2*0.75,IF(AND(EXACT(G114,'Data Base'!$T$37),OR(EXACT(H114,'Data Base'!$V$36),EXACT(H114,'Data Base'!$V$35)),EXACT(K114,'Data Base'!$X$37)),I114*1.25*1*0.5,IF(AND(EXACT(G114,'Data Base'!$T$37),EXACT(H114,'Data Base'!$V$37),EXACT(K114,'Data Base'!$X$37)),I114*1.25*0.5*0.5,IF(AND(EXACT(G114,'Data Base'!$T$37),EXACT(H114,'Data Base'!$V$38),EXACT(K114,'Data Base'!$X$37)),I114*1.25*1.2*0.5))))))))))))))))))))))))))),"")</f>
        <v/>
      </c>
    </row>
    <row r="115" spans="1:15" ht="21" customHeight="1" thickBot="1">
      <c r="A115" s="106">
        <v>15</v>
      </c>
      <c r="B115" s="1355" t="str">
        <f t="shared" si="12"/>
        <v/>
      </c>
      <c r="C115" s="1356"/>
      <c r="D115" s="107" t="str">
        <f t="shared" si="13"/>
        <v/>
      </c>
      <c r="E115" s="1357"/>
      <c r="F115" s="1358"/>
      <c r="G115" s="167"/>
      <c r="H115" s="108"/>
      <c r="I115" s="105"/>
      <c r="J115" s="105"/>
      <c r="K115" s="108"/>
      <c r="L115" s="105" t="s">
        <v>652</v>
      </c>
      <c r="M115" s="168" t="str">
        <f>IF(AND(NOT(EXACT(D115,"")),NOT(EXACT(G115,"")),NOT(EXACT(E115,"")),NOT(EXACT(B115,"")),NOT(EXACT(I115,"")),NOT(EXACT(H115,""))),IF(AND(EXACT(G115,'Data Base'!$T$35),OR(EXACT(H115,'Data Base'!$V$36),EXACT(H115,'Data Base'!$V$35)),EXACT(K115,'Data Base'!$X$35)),I115*0.5*1*1,IF(AND(EXACT(G115,'Data Base'!$T$35),EXACT(H115,'Data Base'!$V$37),EXACT(K115,'Data Base'!$X$35)),I115*0.5*0.5*1,IF(AND(EXACT(G115,'Data Base'!$T$35),EXACT(H115,'Data Base'!$V$38),EXACT(K115,'Data Base'!$X$35)),I115*0.5*1.2*1,IF(AND(EXACT(G115,'Data Base'!$T$35),OR(EXACT(H115,'Data Base'!$V$36),EXACT(H115,'Data Base'!$V$35)),EXACT(K115,'Data Base'!$X$36)),I115*0.5*1*0.75,IF(AND(EXACT(G115,'Data Base'!$T$35),EXACT(H115,'Data Base'!$V$37),EXACT(K115,'Data Base'!$X$36)),I115*0.5*0.5*0.75,IF(AND(EXACT(G115,'Data Base'!$T$35),EXACT(H115,'Data Base'!$V$38),EXACT(K115,'Data Base'!$X$36)),I115*0.5*1.2*0.75,IF(AND(EXACT(G115,'Data Base'!$T$35),OR(EXACT(H115,'Data Base'!$V$36),EXACT(H115,'Data Base'!$V$35)),EXACT(K115,'Data Base'!$X$37)),I115*0.5*1*0.5,IF(AND(EXACT(G115,'Data Base'!$T$35),EXACT(H115,'Data Base'!$V$37),EXACT(K115,'Data Base'!$X$37)),I115*0.5*0.5*0.5,IF(AND(EXACT(G115,'Data Base'!$T$35),EXACT(H115,'Data Base'!$V$38),EXACT(K115,'Data Base'!$X$37)),I115*0.5*1.2*0.5,IF(AND(EXACT(G115,'Data Base'!$T$36),OR(EXACT(H115,'Data Base'!$V$36),EXACT(H115,'Data Base'!$V$35)),EXACT(K115,'Data Base'!$X$35)),I115*1*1*1,IF(AND(EXACT(G115,'Data Base'!$T$36),EXACT(H115,'Data Base'!$V$37),EXACT(K115,'Data Base'!$X$35)),I115*1*0.5*1,IF(AND(EXACT(G115,'Data Base'!$T$36),EXACT(H115,'Data Base'!$V$38),EXACT(K115,'Data Base'!$X$35)),I115*1*1.2*1,IF(AND(EXACT(G115,'Data Base'!$T$36),OR(EXACT(H115,'Data Base'!$V$36),EXACT(H115,'Data Base'!$V$35)),EXACT(K115,'Data Base'!$X$36)),I115*1*1*0.75,IF(AND(EXACT(G115,'Data Base'!$T$36),EXACT(H115,'Data Base'!$V$37),EXACT(K115,'Data Base'!$X$36)),I115*1*0.5*0.75,IF(AND(EXACT(G115,'Data Base'!$T$36),EXACT(H115,'Data Base'!$V$38),EXACT(K115,'Data Base'!$X$36)),I115*1*1.2*0.75,IF(AND(EXACT(G115,'Data Base'!$T$36),OR(EXACT(H115,'Data Base'!$V$36),EXACT(H115,'Data Base'!$V$35)),EXACT(K115,'Data Base'!$X$37)),I115*1*1*0.5,IF(AND(EXACT(G115,'Data Base'!$T$36),EXACT(H115,'Data Base'!$V$37),EXACT(K115,'Data Base'!$X$37)),I115*1*0.5*0.5,IF(AND(EXACT(G115,'Data Base'!$T$36),EXACT(H115,'Data Base'!$V$38),EXACT(K115,'Data Base'!$X$37)),I115*1*1.2*0.5,IF(AND(EXACT(G115,'Data Base'!$T$37),OR(EXACT(H115,'Data Base'!$V$36),EXACT(H115,'Data Base'!$V$35)),EXACT(K115,'Data Base'!$X$35)),I115*1.25*1*1,IF(AND(EXACT(G115,'Data Base'!$T$37),EXACT(H115,'Data Base'!$V$37),EXACT(K115,'Data Base'!$X$35)),I115*1.25*0.5*1,IF(AND(EXACT(G115,'Data Base'!$T$37),EXACT(H115,'Data Base'!$V$38),EXACT(K115,'Data Base'!$X$35)),I115*1.25*1.2*1,IF(AND(EXACT(G115,'Data Base'!$T$37),OR(EXACT(H115,'Data Base'!$V$36),EXACT(H115,'Data Base'!$V$35)),EXACT(K115,'Data Base'!$X$36)),I115*1.25*1*0.75,IF(AND(EXACT(G115,'Data Base'!$T$37),EXACT(H115,'Data Base'!$V$37),EXACT(K115,'Data Base'!$X$36)),I115*1.25*0.5*0.75,IF(AND(EXACT(G115,'Data Base'!$T$37),EXACT(H115,'Data Base'!$V$38),EXACT(K115,'Data Base'!$X$36)),I115*1.25*1.2*0.75,IF(AND(EXACT(G115,'Data Base'!$T$37),OR(EXACT(H115,'Data Base'!$V$36),EXACT(H115,'Data Base'!$V$35)),EXACT(K115,'Data Base'!$X$37)),I115*1.25*1*0.5,IF(AND(EXACT(G115,'Data Base'!$T$37),EXACT(H115,'Data Base'!$V$37),EXACT(K115,'Data Base'!$X$37)),I115*1.25*0.5*0.5,IF(AND(EXACT(G115,'Data Base'!$T$37),EXACT(H115,'Data Base'!$V$38),EXACT(K115,'Data Base'!$X$37)),I115*1.25*1.2*0.5))))))))))))))))))))))))))),"")</f>
        <v/>
      </c>
    </row>
    <row r="116" spans="1:15" ht="21" customHeight="1" thickBot="1">
      <c r="A116" s="1359" t="s">
        <v>653</v>
      </c>
      <c r="B116" s="1360"/>
      <c r="C116" s="1360"/>
      <c r="D116" s="1360"/>
      <c r="E116" s="1360"/>
      <c r="F116" s="1360"/>
      <c r="G116" s="1360"/>
      <c r="H116" s="1360"/>
      <c r="I116" s="109">
        <f>B101</f>
        <v>0</v>
      </c>
      <c r="J116" s="109">
        <f>D101</f>
        <v>0</v>
      </c>
      <c r="K116" s="1361"/>
      <c r="L116" s="1362"/>
      <c r="M116" s="110">
        <f>IF(SUM(M101:M115)&gt;5,5,SUM(M101:M115))</f>
        <v>0</v>
      </c>
    </row>
    <row r="117" spans="1:15" ht="21" customHeight="1">
      <c r="A117" s="97">
        <v>1</v>
      </c>
      <c r="B117" s="1363"/>
      <c r="C117" s="1364"/>
      <c r="D117" s="104"/>
      <c r="E117" s="1353"/>
      <c r="F117" s="1354"/>
      <c r="G117" s="169"/>
      <c r="H117" s="104"/>
      <c r="I117" s="98"/>
      <c r="J117" s="98"/>
      <c r="K117" s="104"/>
      <c r="L117" s="98" t="s">
        <v>652</v>
      </c>
      <c r="M117" s="166" t="str">
        <f>IF(AND(NOT(EXACT(D117,"")),NOT(EXACT(G117,"")),NOT(EXACT(E117,"")),NOT(EXACT(B117,"")),NOT(EXACT(I117,"")),NOT(EXACT(H117,""))),IF(AND(EXACT(G117,'Data Base'!$T$35),OR(EXACT(H117,'Data Base'!$V$36),EXACT(H117,'Data Base'!$V$35)),EXACT(K117,'Data Base'!$X$35)),I117*0.5*1*1,IF(AND(EXACT(G117,'Data Base'!$T$35),EXACT(H117,'Data Base'!$V$37),EXACT(K117,'Data Base'!$X$35)),I117*0.5*0.5*1,IF(AND(EXACT(G117,'Data Base'!$T$35),EXACT(H117,'Data Base'!$V$38),EXACT(K117,'Data Base'!$X$35)),I117*0.5*1.2*1,IF(AND(EXACT(G117,'Data Base'!$T$35),OR(EXACT(H117,'Data Base'!$V$36),EXACT(H117,'Data Base'!$V$35)),EXACT(K117,'Data Base'!$X$36)),I117*0.5*1*0.75,IF(AND(EXACT(G117,'Data Base'!$T$35),EXACT(H117,'Data Base'!$V$37),EXACT(K117,'Data Base'!$X$36)),I117*0.5*0.5*0.75,IF(AND(EXACT(G117,'Data Base'!$T$35),EXACT(H117,'Data Base'!$V$38),EXACT(K117,'Data Base'!$X$36)),I117*0.5*1.2*0.75,IF(AND(EXACT(G117,'Data Base'!$T$35),OR(EXACT(H117,'Data Base'!$V$36),EXACT(H117,'Data Base'!$V$35)),EXACT(K117,'Data Base'!$X$37)),I117*0.5*1*0.5,IF(AND(EXACT(G117,'Data Base'!$T$35),EXACT(H117,'Data Base'!$V$37),EXACT(K117,'Data Base'!$X$37)),I117*0.5*0.5*0.5,IF(AND(EXACT(G117,'Data Base'!$T$35),EXACT(H117,'Data Base'!$V$38),EXACT(K117,'Data Base'!$X$37)),I117*0.5*1.2*0.5,IF(AND(EXACT(G117,'Data Base'!$T$36),OR(EXACT(H117,'Data Base'!$V$36),EXACT(H117,'Data Base'!$V$35)),EXACT(K117,'Data Base'!$X$35)),I117*1*1*1,IF(AND(EXACT(G117,'Data Base'!$T$36),EXACT(H117,'Data Base'!$V$37),EXACT(K117,'Data Base'!$X$35)),I117*1*0.5*1,IF(AND(EXACT(G117,'Data Base'!$T$36),EXACT(H117,'Data Base'!$V$38),EXACT(K117,'Data Base'!$X$35)),I117*1*1.2*1,IF(AND(EXACT(G117,'Data Base'!$T$36),OR(EXACT(H117,'Data Base'!$V$36),EXACT(H117,'Data Base'!$V$35)),EXACT(K117,'Data Base'!$X$36)),I117*1*1*0.75,IF(AND(EXACT(G117,'Data Base'!$T$36),EXACT(H117,'Data Base'!$V$37),EXACT(K117,'Data Base'!$X$36)),I117*1*0.5*0.75,IF(AND(EXACT(G117,'Data Base'!$T$36),EXACT(H117,'Data Base'!$V$38),EXACT(K117,'Data Base'!$X$36)),I117*1*1.2*0.75,IF(AND(EXACT(G117,'Data Base'!$T$36),OR(EXACT(H117,'Data Base'!$V$36),EXACT(H117,'Data Base'!$V$35)),EXACT(K117,'Data Base'!$X$37)),I117*1*1*0.5,IF(AND(EXACT(G117,'Data Base'!$T$36),EXACT(H117,'Data Base'!$V$37),EXACT(K117,'Data Base'!$X$37)),I117*1*0.5*0.5,IF(AND(EXACT(G117,'Data Base'!$T$36),EXACT(H117,'Data Base'!$V$38),EXACT(K117,'Data Base'!$X$37)),I117*1*1.2*0.5,IF(AND(EXACT(G117,'Data Base'!$T$37),OR(EXACT(H117,'Data Base'!$V$36),EXACT(H117,'Data Base'!$V$35)),EXACT(K117,'Data Base'!$X$35)),I117*1.25*1*1,IF(AND(EXACT(G117,'Data Base'!$T$37),EXACT(H117,'Data Base'!$V$37),EXACT(K117,'Data Base'!$X$35)),I117*1.25*0.5*1,IF(AND(EXACT(G117,'Data Base'!$T$37),EXACT(H117,'Data Base'!$V$38),EXACT(K117,'Data Base'!$X$35)),I117*1.25*1.2*1,IF(AND(EXACT(G117,'Data Base'!$T$37),OR(EXACT(H117,'Data Base'!$V$36),EXACT(H117,'Data Base'!$V$35)),EXACT(K117,'Data Base'!$X$36)),I117*1.25*1*0.75,IF(AND(EXACT(G117,'Data Base'!$T$37),EXACT(H117,'Data Base'!$V$37),EXACT(K117,'Data Base'!$X$36)),I117*1.25*0.5*0.75,IF(AND(EXACT(G117,'Data Base'!$T$37),EXACT(H117,'Data Base'!$V$38),EXACT(K117,'Data Base'!$X$36)),I117*1.25*1.2*0.75,IF(AND(EXACT(G117,'Data Base'!$T$37),OR(EXACT(H117,'Data Base'!$V$36),EXACT(H117,'Data Base'!$V$35)),EXACT(K117,'Data Base'!$X$37)),I117*1.25*1*0.5,IF(AND(EXACT(G117,'Data Base'!$T$37),EXACT(H117,'Data Base'!$V$37),EXACT(K117,'Data Base'!$X$37)),I117*1.25*0.5*0.5,IF(AND(EXACT(G117,'Data Base'!$T$37),EXACT(H117,'Data Base'!$V$38),EXACT(K117,'Data Base'!$X$37)),I117*1.25*1.2*0.5))))))))))))))))))))))))))),"")</f>
        <v/>
      </c>
    </row>
    <row r="118" spans="1:15" ht="21" customHeight="1">
      <c r="A118" s="99">
        <v>2</v>
      </c>
      <c r="B118" s="1349" t="str">
        <f t="shared" ref="B118:B131" si="14">IF(NOT(EXACT(D118,"")),B117,"")</f>
        <v/>
      </c>
      <c r="C118" s="1350"/>
      <c r="D118" s="148" t="str">
        <f t="shared" ref="D118:D131" si="15">IF(NOT(EXACT(E118,"")),D117,"")</f>
        <v/>
      </c>
      <c r="E118" s="1365"/>
      <c r="F118" s="1365"/>
      <c r="G118" s="165"/>
      <c r="H118" s="140"/>
      <c r="I118" s="4"/>
      <c r="J118" s="4"/>
      <c r="K118" s="140"/>
      <c r="L118" s="4" t="s">
        <v>652</v>
      </c>
      <c r="M118" s="166" t="str">
        <f>IF(AND(NOT(EXACT(D118,"")),NOT(EXACT(G118,"")),NOT(EXACT(E118,"")),NOT(EXACT(B118,"")),NOT(EXACT(I118,"")),NOT(EXACT(H118,""))),IF(AND(EXACT(G118,'Data Base'!$T$35),OR(EXACT(H118,'Data Base'!$V$36),EXACT(H118,'Data Base'!$V$35)),EXACT(K118,'Data Base'!$X$35)),I118*0.5*1*1,IF(AND(EXACT(G118,'Data Base'!$T$35),EXACT(H118,'Data Base'!$V$37),EXACT(K118,'Data Base'!$X$35)),I118*0.5*0.5*1,IF(AND(EXACT(G118,'Data Base'!$T$35),EXACT(H118,'Data Base'!$V$38),EXACT(K118,'Data Base'!$X$35)),I118*0.5*1.2*1,IF(AND(EXACT(G118,'Data Base'!$T$35),OR(EXACT(H118,'Data Base'!$V$36),EXACT(H118,'Data Base'!$V$35)),EXACT(K118,'Data Base'!$X$36)),I118*0.5*1*0.75,IF(AND(EXACT(G118,'Data Base'!$T$35),EXACT(H118,'Data Base'!$V$37),EXACT(K118,'Data Base'!$X$36)),I118*0.5*0.5*0.75,IF(AND(EXACT(G118,'Data Base'!$T$35),EXACT(H118,'Data Base'!$V$38),EXACT(K118,'Data Base'!$X$36)),I118*0.5*1.2*0.75,IF(AND(EXACT(G118,'Data Base'!$T$35),OR(EXACT(H118,'Data Base'!$V$36),EXACT(H118,'Data Base'!$V$35)),EXACT(K118,'Data Base'!$X$37)),I118*0.5*1*0.5,IF(AND(EXACT(G118,'Data Base'!$T$35),EXACT(H118,'Data Base'!$V$37),EXACT(K118,'Data Base'!$X$37)),I118*0.5*0.5*0.5,IF(AND(EXACT(G118,'Data Base'!$T$35),EXACT(H118,'Data Base'!$V$38),EXACT(K118,'Data Base'!$X$37)),I118*0.5*1.2*0.5,IF(AND(EXACT(G118,'Data Base'!$T$36),OR(EXACT(H118,'Data Base'!$V$36),EXACT(H118,'Data Base'!$V$35)),EXACT(K118,'Data Base'!$X$35)),I118*1*1*1,IF(AND(EXACT(G118,'Data Base'!$T$36),EXACT(H118,'Data Base'!$V$37),EXACT(K118,'Data Base'!$X$35)),I118*1*0.5*1,IF(AND(EXACT(G118,'Data Base'!$T$36),EXACT(H118,'Data Base'!$V$38),EXACT(K118,'Data Base'!$X$35)),I118*1*1.2*1,IF(AND(EXACT(G118,'Data Base'!$T$36),OR(EXACT(H118,'Data Base'!$V$36),EXACT(H118,'Data Base'!$V$35)),EXACT(K118,'Data Base'!$X$36)),I118*1*1*0.75,IF(AND(EXACT(G118,'Data Base'!$T$36),EXACT(H118,'Data Base'!$V$37),EXACT(K118,'Data Base'!$X$36)),I118*1*0.5*0.75,IF(AND(EXACT(G118,'Data Base'!$T$36),EXACT(H118,'Data Base'!$V$38),EXACT(K118,'Data Base'!$X$36)),I118*1*1.2*0.75,IF(AND(EXACT(G118,'Data Base'!$T$36),OR(EXACT(H118,'Data Base'!$V$36),EXACT(H118,'Data Base'!$V$35)),EXACT(K118,'Data Base'!$X$37)),I118*1*1*0.5,IF(AND(EXACT(G118,'Data Base'!$T$36),EXACT(H118,'Data Base'!$V$37),EXACT(K118,'Data Base'!$X$37)),I118*1*0.5*0.5,IF(AND(EXACT(G118,'Data Base'!$T$36),EXACT(H118,'Data Base'!$V$38),EXACT(K118,'Data Base'!$X$37)),I118*1*1.2*0.5,IF(AND(EXACT(G118,'Data Base'!$T$37),OR(EXACT(H118,'Data Base'!$V$36),EXACT(H118,'Data Base'!$V$35)),EXACT(K118,'Data Base'!$X$35)),I118*1.25*1*1,IF(AND(EXACT(G118,'Data Base'!$T$37),EXACT(H118,'Data Base'!$V$37),EXACT(K118,'Data Base'!$X$35)),I118*1.25*0.5*1,IF(AND(EXACT(G118,'Data Base'!$T$37),EXACT(H118,'Data Base'!$V$38),EXACT(K118,'Data Base'!$X$35)),I118*1.25*1.2*1,IF(AND(EXACT(G118,'Data Base'!$T$37),OR(EXACT(H118,'Data Base'!$V$36),EXACT(H118,'Data Base'!$V$35)),EXACT(K118,'Data Base'!$X$36)),I118*1.25*1*0.75,IF(AND(EXACT(G118,'Data Base'!$T$37),EXACT(H118,'Data Base'!$V$37),EXACT(K118,'Data Base'!$X$36)),I118*1.25*0.5*0.75,IF(AND(EXACT(G118,'Data Base'!$T$37),EXACT(H118,'Data Base'!$V$38),EXACT(K118,'Data Base'!$X$36)),I118*1.25*1.2*0.75,IF(AND(EXACT(G118,'Data Base'!$T$37),OR(EXACT(H118,'Data Base'!$V$36),EXACT(H118,'Data Base'!$V$35)),EXACT(K118,'Data Base'!$X$37)),I118*1.25*1*0.5,IF(AND(EXACT(G118,'Data Base'!$T$37),EXACT(H118,'Data Base'!$V$37),EXACT(K118,'Data Base'!$X$37)),I118*1.25*0.5*0.5,IF(AND(EXACT(G118,'Data Base'!$T$37),EXACT(H118,'Data Base'!$V$38),EXACT(K118,'Data Base'!$X$37)),I118*1.25*1.2*0.5))))))))))))))))))))))))))),"")</f>
        <v/>
      </c>
    </row>
    <row r="119" spans="1:15" ht="21" customHeight="1">
      <c r="A119" s="99">
        <v>3</v>
      </c>
      <c r="B119" s="1349" t="str">
        <f t="shared" si="14"/>
        <v/>
      </c>
      <c r="C119" s="1350"/>
      <c r="D119" s="148" t="str">
        <f t="shared" si="15"/>
        <v/>
      </c>
      <c r="E119" s="1351"/>
      <c r="F119" s="1352"/>
      <c r="G119" s="165"/>
      <c r="H119" s="140"/>
      <c r="I119" s="4"/>
      <c r="J119" s="4"/>
      <c r="K119" s="140"/>
      <c r="L119" s="4" t="s">
        <v>652</v>
      </c>
      <c r="M119" s="166" t="str">
        <f>IF(AND(NOT(EXACT(D119,"")),NOT(EXACT(G119,"")),NOT(EXACT(E119,"")),NOT(EXACT(B119,"")),NOT(EXACT(I119,"")),NOT(EXACT(H119,""))),IF(AND(EXACT(G119,'Data Base'!$T$35),OR(EXACT(H119,'Data Base'!$V$36),EXACT(H119,'Data Base'!$V$35)),EXACT(K119,'Data Base'!$X$35)),I119*0.5*1*1,IF(AND(EXACT(G119,'Data Base'!$T$35),EXACT(H119,'Data Base'!$V$37),EXACT(K119,'Data Base'!$X$35)),I119*0.5*0.5*1,IF(AND(EXACT(G119,'Data Base'!$T$35),EXACT(H119,'Data Base'!$V$38),EXACT(K119,'Data Base'!$X$35)),I119*0.5*1.2*1,IF(AND(EXACT(G119,'Data Base'!$T$35),OR(EXACT(H119,'Data Base'!$V$36),EXACT(H119,'Data Base'!$V$35)),EXACT(K119,'Data Base'!$X$36)),I119*0.5*1*0.75,IF(AND(EXACT(G119,'Data Base'!$T$35),EXACT(H119,'Data Base'!$V$37),EXACT(K119,'Data Base'!$X$36)),I119*0.5*0.5*0.75,IF(AND(EXACT(G119,'Data Base'!$T$35),EXACT(H119,'Data Base'!$V$38),EXACT(K119,'Data Base'!$X$36)),I119*0.5*1.2*0.75,IF(AND(EXACT(G119,'Data Base'!$T$35),OR(EXACT(H119,'Data Base'!$V$36),EXACT(H119,'Data Base'!$V$35)),EXACT(K119,'Data Base'!$X$37)),I119*0.5*1*0.5,IF(AND(EXACT(G119,'Data Base'!$T$35),EXACT(H119,'Data Base'!$V$37),EXACT(K119,'Data Base'!$X$37)),I119*0.5*0.5*0.5,IF(AND(EXACT(G119,'Data Base'!$T$35),EXACT(H119,'Data Base'!$V$38),EXACT(K119,'Data Base'!$X$37)),I119*0.5*1.2*0.5,IF(AND(EXACT(G119,'Data Base'!$T$36),OR(EXACT(H119,'Data Base'!$V$36),EXACT(H119,'Data Base'!$V$35)),EXACT(K119,'Data Base'!$X$35)),I119*1*1*1,IF(AND(EXACT(G119,'Data Base'!$T$36),EXACT(H119,'Data Base'!$V$37),EXACT(K119,'Data Base'!$X$35)),I119*1*0.5*1,IF(AND(EXACT(G119,'Data Base'!$T$36),EXACT(H119,'Data Base'!$V$38),EXACT(K119,'Data Base'!$X$35)),I119*1*1.2*1,IF(AND(EXACT(G119,'Data Base'!$T$36),OR(EXACT(H119,'Data Base'!$V$36),EXACT(H119,'Data Base'!$V$35)),EXACT(K119,'Data Base'!$X$36)),I119*1*1*0.75,IF(AND(EXACT(G119,'Data Base'!$T$36),EXACT(H119,'Data Base'!$V$37),EXACT(K119,'Data Base'!$X$36)),I119*1*0.5*0.75,IF(AND(EXACT(G119,'Data Base'!$T$36),EXACT(H119,'Data Base'!$V$38),EXACT(K119,'Data Base'!$X$36)),I119*1*1.2*0.75,IF(AND(EXACT(G119,'Data Base'!$T$36),OR(EXACT(H119,'Data Base'!$V$36),EXACT(H119,'Data Base'!$V$35)),EXACT(K119,'Data Base'!$X$37)),I119*1*1*0.5,IF(AND(EXACT(G119,'Data Base'!$T$36),EXACT(H119,'Data Base'!$V$37),EXACT(K119,'Data Base'!$X$37)),I119*1*0.5*0.5,IF(AND(EXACT(G119,'Data Base'!$T$36),EXACT(H119,'Data Base'!$V$38),EXACT(K119,'Data Base'!$X$37)),I119*1*1.2*0.5,IF(AND(EXACT(G119,'Data Base'!$T$37),OR(EXACT(H119,'Data Base'!$V$36),EXACT(H119,'Data Base'!$V$35)),EXACT(K119,'Data Base'!$X$35)),I119*1.25*1*1,IF(AND(EXACT(G119,'Data Base'!$T$37),EXACT(H119,'Data Base'!$V$37),EXACT(K119,'Data Base'!$X$35)),I119*1.25*0.5*1,IF(AND(EXACT(G119,'Data Base'!$T$37),EXACT(H119,'Data Base'!$V$38),EXACT(K119,'Data Base'!$X$35)),I119*1.25*1.2*1,IF(AND(EXACT(G119,'Data Base'!$T$37),OR(EXACT(H119,'Data Base'!$V$36),EXACT(H119,'Data Base'!$V$35)),EXACT(K119,'Data Base'!$X$36)),I119*1.25*1*0.75,IF(AND(EXACT(G119,'Data Base'!$T$37),EXACT(H119,'Data Base'!$V$37),EXACT(K119,'Data Base'!$X$36)),I119*1.25*0.5*0.75,IF(AND(EXACT(G119,'Data Base'!$T$37),EXACT(H119,'Data Base'!$V$38),EXACT(K119,'Data Base'!$X$36)),I119*1.25*1.2*0.75,IF(AND(EXACT(G119,'Data Base'!$T$37),OR(EXACT(H119,'Data Base'!$V$36),EXACT(H119,'Data Base'!$V$35)),EXACT(K119,'Data Base'!$X$37)),I119*1.25*1*0.5,IF(AND(EXACT(G119,'Data Base'!$T$37),EXACT(H119,'Data Base'!$V$37),EXACT(K119,'Data Base'!$X$37)),I119*1.25*0.5*0.5,IF(AND(EXACT(G119,'Data Base'!$T$37),EXACT(H119,'Data Base'!$V$38),EXACT(K119,'Data Base'!$X$37)),I119*1.25*1.2*0.5))))))))))))))))))))))))))),"")</f>
        <v/>
      </c>
    </row>
    <row r="120" spans="1:15" ht="21" customHeight="1">
      <c r="A120" s="97">
        <v>4</v>
      </c>
      <c r="B120" s="1349" t="str">
        <f t="shared" si="14"/>
        <v/>
      </c>
      <c r="C120" s="1350"/>
      <c r="D120" s="148" t="str">
        <f t="shared" si="15"/>
        <v/>
      </c>
      <c r="E120" s="1351"/>
      <c r="F120" s="1352"/>
      <c r="G120" s="165"/>
      <c r="H120" s="140"/>
      <c r="I120" s="4"/>
      <c r="J120" s="4"/>
      <c r="K120" s="140"/>
      <c r="L120" s="4" t="s">
        <v>652</v>
      </c>
      <c r="M120" s="166" t="str">
        <f>IF(AND(NOT(EXACT(D120,"")),NOT(EXACT(G120,"")),NOT(EXACT(E120,"")),NOT(EXACT(B120,"")),NOT(EXACT(I120,"")),NOT(EXACT(H120,""))),IF(AND(EXACT(G120,'Data Base'!$T$35),OR(EXACT(H120,'Data Base'!$V$36),EXACT(H120,'Data Base'!$V$35)),EXACT(K120,'Data Base'!$X$35)),I120*0.5*1*1,IF(AND(EXACT(G120,'Data Base'!$T$35),EXACT(H120,'Data Base'!$V$37),EXACT(K120,'Data Base'!$X$35)),I120*0.5*0.5*1,IF(AND(EXACT(G120,'Data Base'!$T$35),EXACT(H120,'Data Base'!$V$38),EXACT(K120,'Data Base'!$X$35)),I120*0.5*1.2*1,IF(AND(EXACT(G120,'Data Base'!$T$35),OR(EXACT(H120,'Data Base'!$V$36),EXACT(H120,'Data Base'!$V$35)),EXACT(K120,'Data Base'!$X$36)),I120*0.5*1*0.75,IF(AND(EXACT(G120,'Data Base'!$T$35),EXACT(H120,'Data Base'!$V$37),EXACT(K120,'Data Base'!$X$36)),I120*0.5*0.5*0.75,IF(AND(EXACT(G120,'Data Base'!$T$35),EXACT(H120,'Data Base'!$V$38),EXACT(K120,'Data Base'!$X$36)),I120*0.5*1.2*0.75,IF(AND(EXACT(G120,'Data Base'!$T$35),OR(EXACT(H120,'Data Base'!$V$36),EXACT(H120,'Data Base'!$V$35)),EXACT(K120,'Data Base'!$X$37)),I120*0.5*1*0.5,IF(AND(EXACT(G120,'Data Base'!$T$35),EXACT(H120,'Data Base'!$V$37),EXACT(K120,'Data Base'!$X$37)),I120*0.5*0.5*0.5,IF(AND(EXACT(G120,'Data Base'!$T$35),EXACT(H120,'Data Base'!$V$38),EXACT(K120,'Data Base'!$X$37)),I120*0.5*1.2*0.5,IF(AND(EXACT(G120,'Data Base'!$T$36),OR(EXACT(H120,'Data Base'!$V$36),EXACT(H120,'Data Base'!$V$35)),EXACT(K120,'Data Base'!$X$35)),I120*1*1*1,IF(AND(EXACT(G120,'Data Base'!$T$36),EXACT(H120,'Data Base'!$V$37),EXACT(K120,'Data Base'!$X$35)),I120*1*0.5*1,IF(AND(EXACT(G120,'Data Base'!$T$36),EXACT(H120,'Data Base'!$V$38),EXACT(K120,'Data Base'!$X$35)),I120*1*1.2*1,IF(AND(EXACT(G120,'Data Base'!$T$36),OR(EXACT(H120,'Data Base'!$V$36),EXACT(H120,'Data Base'!$V$35)),EXACT(K120,'Data Base'!$X$36)),I120*1*1*0.75,IF(AND(EXACT(G120,'Data Base'!$T$36),EXACT(H120,'Data Base'!$V$37),EXACT(K120,'Data Base'!$X$36)),I120*1*0.5*0.75,IF(AND(EXACT(G120,'Data Base'!$T$36),EXACT(H120,'Data Base'!$V$38),EXACT(K120,'Data Base'!$X$36)),I120*1*1.2*0.75,IF(AND(EXACT(G120,'Data Base'!$T$36),OR(EXACT(H120,'Data Base'!$V$36),EXACT(H120,'Data Base'!$V$35)),EXACT(K120,'Data Base'!$X$37)),I120*1*1*0.5,IF(AND(EXACT(G120,'Data Base'!$T$36),EXACT(H120,'Data Base'!$V$37),EXACT(K120,'Data Base'!$X$37)),I120*1*0.5*0.5,IF(AND(EXACT(G120,'Data Base'!$T$36),EXACT(H120,'Data Base'!$V$38),EXACT(K120,'Data Base'!$X$37)),I120*1*1.2*0.5,IF(AND(EXACT(G120,'Data Base'!$T$37),OR(EXACT(H120,'Data Base'!$V$36),EXACT(H120,'Data Base'!$V$35)),EXACT(K120,'Data Base'!$X$35)),I120*1.25*1*1,IF(AND(EXACT(G120,'Data Base'!$T$37),EXACT(H120,'Data Base'!$V$37),EXACT(K120,'Data Base'!$X$35)),I120*1.25*0.5*1,IF(AND(EXACT(G120,'Data Base'!$T$37),EXACT(H120,'Data Base'!$V$38),EXACT(K120,'Data Base'!$X$35)),I120*1.25*1.2*1,IF(AND(EXACT(G120,'Data Base'!$T$37),OR(EXACT(H120,'Data Base'!$V$36),EXACT(H120,'Data Base'!$V$35)),EXACT(K120,'Data Base'!$X$36)),I120*1.25*1*0.75,IF(AND(EXACT(G120,'Data Base'!$T$37),EXACT(H120,'Data Base'!$V$37),EXACT(K120,'Data Base'!$X$36)),I120*1.25*0.5*0.75,IF(AND(EXACT(G120,'Data Base'!$T$37),EXACT(H120,'Data Base'!$V$38),EXACT(K120,'Data Base'!$X$36)),I120*1.25*1.2*0.75,IF(AND(EXACT(G120,'Data Base'!$T$37),OR(EXACT(H120,'Data Base'!$V$36),EXACT(H120,'Data Base'!$V$35)),EXACT(K120,'Data Base'!$X$37)),I120*1.25*1*0.5,IF(AND(EXACT(G120,'Data Base'!$T$37),EXACT(H120,'Data Base'!$V$37),EXACT(K120,'Data Base'!$X$37)),I120*1.25*0.5*0.5,IF(AND(EXACT(G120,'Data Base'!$T$37),EXACT(H120,'Data Base'!$V$38),EXACT(K120,'Data Base'!$X$37)),I120*1.25*1.2*0.5))))))))))))))))))))))))))),"")</f>
        <v/>
      </c>
    </row>
    <row r="121" spans="1:15" ht="21" customHeight="1">
      <c r="A121" s="99">
        <v>5</v>
      </c>
      <c r="B121" s="1349" t="str">
        <f t="shared" si="14"/>
        <v/>
      </c>
      <c r="C121" s="1350"/>
      <c r="D121" s="148" t="str">
        <f t="shared" si="15"/>
        <v/>
      </c>
      <c r="E121" s="1351"/>
      <c r="F121" s="1352"/>
      <c r="G121" s="165"/>
      <c r="H121" s="140"/>
      <c r="I121" s="4"/>
      <c r="J121" s="4"/>
      <c r="K121" s="140"/>
      <c r="L121" s="4" t="s">
        <v>652</v>
      </c>
      <c r="M121" s="166" t="str">
        <f>IF(AND(NOT(EXACT(D121,"")),NOT(EXACT(G121,"")),NOT(EXACT(E121,"")),NOT(EXACT(B121,"")),NOT(EXACT(I121,"")),NOT(EXACT(H121,""))),IF(AND(EXACT(G121,'Data Base'!$T$35),OR(EXACT(H121,'Data Base'!$V$36),EXACT(H121,'Data Base'!$V$35)),EXACT(K121,'Data Base'!$X$35)),I121*0.5*1*1,IF(AND(EXACT(G121,'Data Base'!$T$35),EXACT(H121,'Data Base'!$V$37),EXACT(K121,'Data Base'!$X$35)),I121*0.5*0.5*1,IF(AND(EXACT(G121,'Data Base'!$T$35),EXACT(H121,'Data Base'!$V$38),EXACT(K121,'Data Base'!$X$35)),I121*0.5*1.2*1,IF(AND(EXACT(G121,'Data Base'!$T$35),OR(EXACT(H121,'Data Base'!$V$36),EXACT(H121,'Data Base'!$V$35)),EXACT(K121,'Data Base'!$X$36)),I121*0.5*1*0.75,IF(AND(EXACT(G121,'Data Base'!$T$35),EXACT(H121,'Data Base'!$V$37),EXACT(K121,'Data Base'!$X$36)),I121*0.5*0.5*0.75,IF(AND(EXACT(G121,'Data Base'!$T$35),EXACT(H121,'Data Base'!$V$38),EXACT(K121,'Data Base'!$X$36)),I121*0.5*1.2*0.75,IF(AND(EXACT(G121,'Data Base'!$T$35),OR(EXACT(H121,'Data Base'!$V$36),EXACT(H121,'Data Base'!$V$35)),EXACT(K121,'Data Base'!$X$37)),I121*0.5*1*0.5,IF(AND(EXACT(G121,'Data Base'!$T$35),EXACT(H121,'Data Base'!$V$37),EXACT(K121,'Data Base'!$X$37)),I121*0.5*0.5*0.5,IF(AND(EXACT(G121,'Data Base'!$T$35),EXACT(H121,'Data Base'!$V$38),EXACT(K121,'Data Base'!$X$37)),I121*0.5*1.2*0.5,IF(AND(EXACT(G121,'Data Base'!$T$36),OR(EXACT(H121,'Data Base'!$V$36),EXACT(H121,'Data Base'!$V$35)),EXACT(K121,'Data Base'!$X$35)),I121*1*1*1,IF(AND(EXACT(G121,'Data Base'!$T$36),EXACT(H121,'Data Base'!$V$37),EXACT(K121,'Data Base'!$X$35)),I121*1*0.5*1,IF(AND(EXACT(G121,'Data Base'!$T$36),EXACT(H121,'Data Base'!$V$38),EXACT(K121,'Data Base'!$X$35)),I121*1*1.2*1,IF(AND(EXACT(G121,'Data Base'!$T$36),OR(EXACT(H121,'Data Base'!$V$36),EXACT(H121,'Data Base'!$V$35)),EXACT(K121,'Data Base'!$X$36)),I121*1*1*0.75,IF(AND(EXACT(G121,'Data Base'!$T$36),EXACT(H121,'Data Base'!$V$37),EXACT(K121,'Data Base'!$X$36)),I121*1*0.5*0.75,IF(AND(EXACT(G121,'Data Base'!$T$36),EXACT(H121,'Data Base'!$V$38),EXACT(K121,'Data Base'!$X$36)),I121*1*1.2*0.75,IF(AND(EXACT(G121,'Data Base'!$T$36),OR(EXACT(H121,'Data Base'!$V$36),EXACT(H121,'Data Base'!$V$35)),EXACT(K121,'Data Base'!$X$37)),I121*1*1*0.5,IF(AND(EXACT(G121,'Data Base'!$T$36),EXACT(H121,'Data Base'!$V$37),EXACT(K121,'Data Base'!$X$37)),I121*1*0.5*0.5,IF(AND(EXACT(G121,'Data Base'!$T$36),EXACT(H121,'Data Base'!$V$38),EXACT(K121,'Data Base'!$X$37)),I121*1*1.2*0.5,IF(AND(EXACT(G121,'Data Base'!$T$37),OR(EXACT(H121,'Data Base'!$V$36),EXACT(H121,'Data Base'!$V$35)),EXACT(K121,'Data Base'!$X$35)),I121*1.25*1*1,IF(AND(EXACT(G121,'Data Base'!$T$37),EXACT(H121,'Data Base'!$V$37),EXACT(K121,'Data Base'!$X$35)),I121*1.25*0.5*1,IF(AND(EXACT(G121,'Data Base'!$T$37),EXACT(H121,'Data Base'!$V$38),EXACT(K121,'Data Base'!$X$35)),I121*1.25*1.2*1,IF(AND(EXACT(G121,'Data Base'!$T$37),OR(EXACT(H121,'Data Base'!$V$36),EXACT(H121,'Data Base'!$V$35)),EXACT(K121,'Data Base'!$X$36)),I121*1.25*1*0.75,IF(AND(EXACT(G121,'Data Base'!$T$37),EXACT(H121,'Data Base'!$V$37),EXACT(K121,'Data Base'!$X$36)),I121*1.25*0.5*0.75,IF(AND(EXACT(G121,'Data Base'!$T$37),EXACT(H121,'Data Base'!$V$38),EXACT(K121,'Data Base'!$X$36)),I121*1.25*1.2*0.75,IF(AND(EXACT(G121,'Data Base'!$T$37),OR(EXACT(H121,'Data Base'!$V$36),EXACT(H121,'Data Base'!$V$35)),EXACT(K121,'Data Base'!$X$37)),I121*1.25*1*0.5,IF(AND(EXACT(G121,'Data Base'!$T$37),EXACT(H121,'Data Base'!$V$37),EXACT(K121,'Data Base'!$X$37)),I121*1.25*0.5*0.5,IF(AND(EXACT(G121,'Data Base'!$T$37),EXACT(H121,'Data Base'!$V$38),EXACT(K121,'Data Base'!$X$37)),I121*1.25*1.2*0.5))))))))))))))))))))))))))),"")</f>
        <v/>
      </c>
    </row>
    <row r="122" spans="1:15" ht="21" customHeight="1">
      <c r="A122" s="99">
        <v>6</v>
      </c>
      <c r="B122" s="1349" t="str">
        <f t="shared" si="14"/>
        <v/>
      </c>
      <c r="C122" s="1350"/>
      <c r="D122" s="148" t="str">
        <f t="shared" si="15"/>
        <v/>
      </c>
      <c r="E122" s="1351"/>
      <c r="F122" s="1352"/>
      <c r="G122" s="165"/>
      <c r="H122" s="140"/>
      <c r="I122" s="4"/>
      <c r="J122" s="4"/>
      <c r="K122" s="140"/>
      <c r="L122" s="4" t="s">
        <v>652</v>
      </c>
      <c r="M122" s="166" t="str">
        <f>IF(AND(NOT(EXACT(D122,"")),NOT(EXACT(G122,"")),NOT(EXACT(E122,"")),NOT(EXACT(B122,"")),NOT(EXACT(I122,"")),NOT(EXACT(H122,""))),IF(AND(EXACT(G122,'Data Base'!$T$35),OR(EXACT(H122,'Data Base'!$V$36),EXACT(H122,'Data Base'!$V$35)),EXACT(K122,'Data Base'!$X$35)),I122*0.5*1*1,IF(AND(EXACT(G122,'Data Base'!$T$35),EXACT(H122,'Data Base'!$V$37),EXACT(K122,'Data Base'!$X$35)),I122*0.5*0.5*1,IF(AND(EXACT(G122,'Data Base'!$T$35),EXACT(H122,'Data Base'!$V$38),EXACT(K122,'Data Base'!$X$35)),I122*0.5*1.2*1,IF(AND(EXACT(G122,'Data Base'!$T$35),OR(EXACT(H122,'Data Base'!$V$36),EXACT(H122,'Data Base'!$V$35)),EXACT(K122,'Data Base'!$X$36)),I122*0.5*1*0.75,IF(AND(EXACT(G122,'Data Base'!$T$35),EXACT(H122,'Data Base'!$V$37),EXACT(K122,'Data Base'!$X$36)),I122*0.5*0.5*0.75,IF(AND(EXACT(G122,'Data Base'!$T$35),EXACT(H122,'Data Base'!$V$38),EXACT(K122,'Data Base'!$X$36)),I122*0.5*1.2*0.75,IF(AND(EXACT(G122,'Data Base'!$T$35),OR(EXACT(H122,'Data Base'!$V$36),EXACT(H122,'Data Base'!$V$35)),EXACT(K122,'Data Base'!$X$37)),I122*0.5*1*0.5,IF(AND(EXACT(G122,'Data Base'!$T$35),EXACT(H122,'Data Base'!$V$37),EXACT(K122,'Data Base'!$X$37)),I122*0.5*0.5*0.5,IF(AND(EXACT(G122,'Data Base'!$T$35),EXACT(H122,'Data Base'!$V$38),EXACT(K122,'Data Base'!$X$37)),I122*0.5*1.2*0.5,IF(AND(EXACT(G122,'Data Base'!$T$36),OR(EXACT(H122,'Data Base'!$V$36),EXACT(H122,'Data Base'!$V$35)),EXACT(K122,'Data Base'!$X$35)),I122*1*1*1,IF(AND(EXACT(G122,'Data Base'!$T$36),EXACT(H122,'Data Base'!$V$37),EXACT(K122,'Data Base'!$X$35)),I122*1*0.5*1,IF(AND(EXACT(G122,'Data Base'!$T$36),EXACT(H122,'Data Base'!$V$38),EXACT(K122,'Data Base'!$X$35)),I122*1*1.2*1,IF(AND(EXACT(G122,'Data Base'!$T$36),OR(EXACT(H122,'Data Base'!$V$36),EXACT(H122,'Data Base'!$V$35)),EXACT(K122,'Data Base'!$X$36)),I122*1*1*0.75,IF(AND(EXACT(G122,'Data Base'!$T$36),EXACT(H122,'Data Base'!$V$37),EXACT(K122,'Data Base'!$X$36)),I122*1*0.5*0.75,IF(AND(EXACT(G122,'Data Base'!$T$36),EXACT(H122,'Data Base'!$V$38),EXACT(K122,'Data Base'!$X$36)),I122*1*1.2*0.75,IF(AND(EXACT(G122,'Data Base'!$T$36),OR(EXACT(H122,'Data Base'!$V$36),EXACT(H122,'Data Base'!$V$35)),EXACT(K122,'Data Base'!$X$37)),I122*1*1*0.5,IF(AND(EXACT(G122,'Data Base'!$T$36),EXACT(H122,'Data Base'!$V$37),EXACT(K122,'Data Base'!$X$37)),I122*1*0.5*0.5,IF(AND(EXACT(G122,'Data Base'!$T$36),EXACT(H122,'Data Base'!$V$38),EXACT(K122,'Data Base'!$X$37)),I122*1*1.2*0.5,IF(AND(EXACT(G122,'Data Base'!$T$37),OR(EXACT(H122,'Data Base'!$V$36),EXACT(H122,'Data Base'!$V$35)),EXACT(K122,'Data Base'!$X$35)),I122*1.25*1*1,IF(AND(EXACT(G122,'Data Base'!$T$37),EXACT(H122,'Data Base'!$V$37),EXACT(K122,'Data Base'!$X$35)),I122*1.25*0.5*1,IF(AND(EXACT(G122,'Data Base'!$T$37),EXACT(H122,'Data Base'!$V$38),EXACT(K122,'Data Base'!$X$35)),I122*1.25*1.2*1,IF(AND(EXACT(G122,'Data Base'!$T$37),OR(EXACT(H122,'Data Base'!$V$36),EXACT(H122,'Data Base'!$V$35)),EXACT(K122,'Data Base'!$X$36)),I122*1.25*1*0.75,IF(AND(EXACT(G122,'Data Base'!$T$37),EXACT(H122,'Data Base'!$V$37),EXACT(K122,'Data Base'!$X$36)),I122*1.25*0.5*0.75,IF(AND(EXACT(G122,'Data Base'!$T$37),EXACT(H122,'Data Base'!$V$38),EXACT(K122,'Data Base'!$X$36)),I122*1.25*1.2*0.75,IF(AND(EXACT(G122,'Data Base'!$T$37),OR(EXACT(H122,'Data Base'!$V$36),EXACT(H122,'Data Base'!$V$35)),EXACT(K122,'Data Base'!$X$37)),I122*1.25*1*0.5,IF(AND(EXACT(G122,'Data Base'!$T$37),EXACT(H122,'Data Base'!$V$37),EXACT(K122,'Data Base'!$X$37)),I122*1.25*0.5*0.5,IF(AND(EXACT(G122,'Data Base'!$T$37),EXACT(H122,'Data Base'!$V$38),EXACT(K122,'Data Base'!$X$37)),I122*1.25*1.2*0.5))))))))))))))))))))))))))),"")</f>
        <v/>
      </c>
    </row>
    <row r="123" spans="1:15" ht="21" customHeight="1">
      <c r="A123" s="97">
        <v>7</v>
      </c>
      <c r="B123" s="1349" t="str">
        <f t="shared" si="14"/>
        <v/>
      </c>
      <c r="C123" s="1350"/>
      <c r="D123" s="148" t="str">
        <f t="shared" si="15"/>
        <v/>
      </c>
      <c r="E123" s="1351"/>
      <c r="F123" s="1352"/>
      <c r="G123" s="165"/>
      <c r="H123" s="140"/>
      <c r="I123" s="4"/>
      <c r="J123" s="4"/>
      <c r="K123" s="140"/>
      <c r="L123" s="4" t="s">
        <v>652</v>
      </c>
      <c r="M123" s="166" t="str">
        <f>IF(AND(NOT(EXACT(D123,"")),NOT(EXACT(G123,"")),NOT(EXACT(E123,"")),NOT(EXACT(B123,"")),NOT(EXACT(I123,"")),NOT(EXACT(H123,""))),IF(AND(EXACT(G123,'Data Base'!$T$35),OR(EXACT(H123,'Data Base'!$V$36),EXACT(H123,'Data Base'!$V$35)),EXACT(K123,'Data Base'!$X$35)),I123*0.5*1*1,IF(AND(EXACT(G123,'Data Base'!$T$35),EXACT(H123,'Data Base'!$V$37),EXACT(K123,'Data Base'!$X$35)),I123*0.5*0.5*1,IF(AND(EXACT(G123,'Data Base'!$T$35),EXACT(H123,'Data Base'!$V$38),EXACT(K123,'Data Base'!$X$35)),I123*0.5*1.2*1,IF(AND(EXACT(G123,'Data Base'!$T$35),OR(EXACT(H123,'Data Base'!$V$36),EXACT(H123,'Data Base'!$V$35)),EXACT(K123,'Data Base'!$X$36)),I123*0.5*1*0.75,IF(AND(EXACT(G123,'Data Base'!$T$35),EXACT(H123,'Data Base'!$V$37),EXACT(K123,'Data Base'!$X$36)),I123*0.5*0.5*0.75,IF(AND(EXACT(G123,'Data Base'!$T$35),EXACT(H123,'Data Base'!$V$38),EXACT(K123,'Data Base'!$X$36)),I123*0.5*1.2*0.75,IF(AND(EXACT(G123,'Data Base'!$T$35),OR(EXACT(H123,'Data Base'!$V$36),EXACT(H123,'Data Base'!$V$35)),EXACT(K123,'Data Base'!$X$37)),I123*0.5*1*0.5,IF(AND(EXACT(G123,'Data Base'!$T$35),EXACT(H123,'Data Base'!$V$37),EXACT(K123,'Data Base'!$X$37)),I123*0.5*0.5*0.5,IF(AND(EXACT(G123,'Data Base'!$T$35),EXACT(H123,'Data Base'!$V$38),EXACT(K123,'Data Base'!$X$37)),I123*0.5*1.2*0.5,IF(AND(EXACT(G123,'Data Base'!$T$36),OR(EXACT(H123,'Data Base'!$V$36),EXACT(H123,'Data Base'!$V$35)),EXACT(K123,'Data Base'!$X$35)),I123*1*1*1,IF(AND(EXACT(G123,'Data Base'!$T$36),EXACT(H123,'Data Base'!$V$37),EXACT(K123,'Data Base'!$X$35)),I123*1*0.5*1,IF(AND(EXACT(G123,'Data Base'!$T$36),EXACT(H123,'Data Base'!$V$38),EXACT(K123,'Data Base'!$X$35)),I123*1*1.2*1,IF(AND(EXACT(G123,'Data Base'!$T$36),OR(EXACT(H123,'Data Base'!$V$36),EXACT(H123,'Data Base'!$V$35)),EXACT(K123,'Data Base'!$X$36)),I123*1*1*0.75,IF(AND(EXACT(G123,'Data Base'!$T$36),EXACT(H123,'Data Base'!$V$37),EXACT(K123,'Data Base'!$X$36)),I123*1*0.5*0.75,IF(AND(EXACT(G123,'Data Base'!$T$36),EXACT(H123,'Data Base'!$V$38),EXACT(K123,'Data Base'!$X$36)),I123*1*1.2*0.75,IF(AND(EXACT(G123,'Data Base'!$T$36),OR(EXACT(H123,'Data Base'!$V$36),EXACT(H123,'Data Base'!$V$35)),EXACT(K123,'Data Base'!$X$37)),I123*1*1*0.5,IF(AND(EXACT(G123,'Data Base'!$T$36),EXACT(H123,'Data Base'!$V$37),EXACT(K123,'Data Base'!$X$37)),I123*1*0.5*0.5,IF(AND(EXACT(G123,'Data Base'!$T$36),EXACT(H123,'Data Base'!$V$38),EXACT(K123,'Data Base'!$X$37)),I123*1*1.2*0.5,IF(AND(EXACT(G123,'Data Base'!$T$37),OR(EXACT(H123,'Data Base'!$V$36),EXACT(H123,'Data Base'!$V$35)),EXACT(K123,'Data Base'!$X$35)),I123*1.25*1*1,IF(AND(EXACT(G123,'Data Base'!$T$37),EXACT(H123,'Data Base'!$V$37),EXACT(K123,'Data Base'!$X$35)),I123*1.25*0.5*1,IF(AND(EXACT(G123,'Data Base'!$T$37),EXACT(H123,'Data Base'!$V$38),EXACT(K123,'Data Base'!$X$35)),I123*1.25*1.2*1,IF(AND(EXACT(G123,'Data Base'!$T$37),OR(EXACT(H123,'Data Base'!$V$36),EXACT(H123,'Data Base'!$V$35)),EXACT(K123,'Data Base'!$X$36)),I123*1.25*1*0.75,IF(AND(EXACT(G123,'Data Base'!$T$37),EXACT(H123,'Data Base'!$V$37),EXACT(K123,'Data Base'!$X$36)),I123*1.25*0.5*0.75,IF(AND(EXACT(G123,'Data Base'!$T$37),EXACT(H123,'Data Base'!$V$38),EXACT(K123,'Data Base'!$X$36)),I123*1.25*1.2*0.75,IF(AND(EXACT(G123,'Data Base'!$T$37),OR(EXACT(H123,'Data Base'!$V$36),EXACT(H123,'Data Base'!$V$35)),EXACT(K123,'Data Base'!$X$37)),I123*1.25*1*0.5,IF(AND(EXACT(G123,'Data Base'!$T$37),EXACT(H123,'Data Base'!$V$37),EXACT(K123,'Data Base'!$X$37)),I123*1.25*0.5*0.5,IF(AND(EXACT(G123,'Data Base'!$T$37),EXACT(H123,'Data Base'!$V$38),EXACT(K123,'Data Base'!$X$37)),I123*1.25*1.2*0.5))))))))))))))))))))))))))),"")</f>
        <v/>
      </c>
    </row>
    <row r="124" spans="1:15" ht="21" customHeight="1">
      <c r="A124" s="99">
        <v>8</v>
      </c>
      <c r="B124" s="1349" t="str">
        <f t="shared" si="14"/>
        <v/>
      </c>
      <c r="C124" s="1350"/>
      <c r="D124" s="148" t="str">
        <f t="shared" si="15"/>
        <v/>
      </c>
      <c r="E124" s="1351"/>
      <c r="F124" s="1352"/>
      <c r="G124" s="165"/>
      <c r="H124" s="140"/>
      <c r="I124" s="4"/>
      <c r="J124" s="4"/>
      <c r="K124" s="140"/>
      <c r="L124" s="4" t="s">
        <v>652</v>
      </c>
      <c r="M124" s="166" t="str">
        <f>IF(AND(NOT(EXACT(D124,"")),NOT(EXACT(G124,"")),NOT(EXACT(E124,"")),NOT(EXACT(B124,"")),NOT(EXACT(I124,"")),NOT(EXACT(H124,""))),IF(AND(EXACT(G124,'Data Base'!$T$35),OR(EXACT(H124,'Data Base'!$V$36),EXACT(H124,'Data Base'!$V$35)),EXACT(K124,'Data Base'!$X$35)),I124*0.5*1*1,IF(AND(EXACT(G124,'Data Base'!$T$35),EXACT(H124,'Data Base'!$V$37),EXACT(K124,'Data Base'!$X$35)),I124*0.5*0.5*1,IF(AND(EXACT(G124,'Data Base'!$T$35),EXACT(H124,'Data Base'!$V$38),EXACT(K124,'Data Base'!$X$35)),I124*0.5*1.2*1,IF(AND(EXACT(G124,'Data Base'!$T$35),OR(EXACT(H124,'Data Base'!$V$36),EXACT(H124,'Data Base'!$V$35)),EXACT(K124,'Data Base'!$X$36)),I124*0.5*1*0.75,IF(AND(EXACT(G124,'Data Base'!$T$35),EXACT(H124,'Data Base'!$V$37),EXACT(K124,'Data Base'!$X$36)),I124*0.5*0.5*0.75,IF(AND(EXACT(G124,'Data Base'!$T$35),EXACT(H124,'Data Base'!$V$38),EXACT(K124,'Data Base'!$X$36)),I124*0.5*1.2*0.75,IF(AND(EXACT(G124,'Data Base'!$T$35),OR(EXACT(H124,'Data Base'!$V$36),EXACT(H124,'Data Base'!$V$35)),EXACT(K124,'Data Base'!$X$37)),I124*0.5*1*0.5,IF(AND(EXACT(G124,'Data Base'!$T$35),EXACT(H124,'Data Base'!$V$37),EXACT(K124,'Data Base'!$X$37)),I124*0.5*0.5*0.5,IF(AND(EXACT(G124,'Data Base'!$T$35),EXACT(H124,'Data Base'!$V$38),EXACT(K124,'Data Base'!$X$37)),I124*0.5*1.2*0.5,IF(AND(EXACT(G124,'Data Base'!$T$36),OR(EXACT(H124,'Data Base'!$V$36),EXACT(H124,'Data Base'!$V$35)),EXACT(K124,'Data Base'!$X$35)),I124*1*1*1,IF(AND(EXACT(G124,'Data Base'!$T$36),EXACT(H124,'Data Base'!$V$37),EXACT(K124,'Data Base'!$X$35)),I124*1*0.5*1,IF(AND(EXACT(G124,'Data Base'!$T$36),EXACT(H124,'Data Base'!$V$38),EXACT(K124,'Data Base'!$X$35)),I124*1*1.2*1,IF(AND(EXACT(G124,'Data Base'!$T$36),OR(EXACT(H124,'Data Base'!$V$36),EXACT(H124,'Data Base'!$V$35)),EXACT(K124,'Data Base'!$X$36)),I124*1*1*0.75,IF(AND(EXACT(G124,'Data Base'!$T$36),EXACT(H124,'Data Base'!$V$37),EXACT(K124,'Data Base'!$X$36)),I124*1*0.5*0.75,IF(AND(EXACT(G124,'Data Base'!$T$36),EXACT(H124,'Data Base'!$V$38),EXACT(K124,'Data Base'!$X$36)),I124*1*1.2*0.75,IF(AND(EXACT(G124,'Data Base'!$T$36),OR(EXACT(H124,'Data Base'!$V$36),EXACT(H124,'Data Base'!$V$35)),EXACT(K124,'Data Base'!$X$37)),I124*1*1*0.5,IF(AND(EXACT(G124,'Data Base'!$T$36),EXACT(H124,'Data Base'!$V$37),EXACT(K124,'Data Base'!$X$37)),I124*1*0.5*0.5,IF(AND(EXACT(G124,'Data Base'!$T$36),EXACT(H124,'Data Base'!$V$38),EXACT(K124,'Data Base'!$X$37)),I124*1*1.2*0.5,IF(AND(EXACT(G124,'Data Base'!$T$37),OR(EXACT(H124,'Data Base'!$V$36),EXACT(H124,'Data Base'!$V$35)),EXACT(K124,'Data Base'!$X$35)),I124*1.25*1*1,IF(AND(EXACT(G124,'Data Base'!$T$37),EXACT(H124,'Data Base'!$V$37),EXACT(K124,'Data Base'!$X$35)),I124*1.25*0.5*1,IF(AND(EXACT(G124,'Data Base'!$T$37),EXACT(H124,'Data Base'!$V$38),EXACT(K124,'Data Base'!$X$35)),I124*1.25*1.2*1,IF(AND(EXACT(G124,'Data Base'!$T$37),OR(EXACT(H124,'Data Base'!$V$36),EXACT(H124,'Data Base'!$V$35)),EXACT(K124,'Data Base'!$X$36)),I124*1.25*1*0.75,IF(AND(EXACT(G124,'Data Base'!$T$37),EXACT(H124,'Data Base'!$V$37),EXACT(K124,'Data Base'!$X$36)),I124*1.25*0.5*0.75,IF(AND(EXACT(G124,'Data Base'!$T$37),EXACT(H124,'Data Base'!$V$38),EXACT(K124,'Data Base'!$X$36)),I124*1.25*1.2*0.75,IF(AND(EXACT(G124,'Data Base'!$T$37),OR(EXACT(H124,'Data Base'!$V$36),EXACT(H124,'Data Base'!$V$35)),EXACT(K124,'Data Base'!$X$37)),I124*1.25*1*0.5,IF(AND(EXACT(G124,'Data Base'!$T$37),EXACT(H124,'Data Base'!$V$37),EXACT(K124,'Data Base'!$X$37)),I124*1.25*0.5*0.5,IF(AND(EXACT(G124,'Data Base'!$T$37),EXACT(H124,'Data Base'!$V$38),EXACT(K124,'Data Base'!$X$37)),I124*1.25*1.2*0.5))))))))))))))))))))))))))),"")</f>
        <v/>
      </c>
    </row>
    <row r="125" spans="1:15" ht="21" customHeight="1">
      <c r="A125" s="99">
        <v>9</v>
      </c>
      <c r="B125" s="1349" t="str">
        <f t="shared" si="14"/>
        <v/>
      </c>
      <c r="C125" s="1350"/>
      <c r="D125" s="148" t="str">
        <f t="shared" si="15"/>
        <v/>
      </c>
      <c r="E125" s="1351"/>
      <c r="F125" s="1352"/>
      <c r="G125" s="165"/>
      <c r="H125" s="140"/>
      <c r="I125" s="4"/>
      <c r="J125" s="4"/>
      <c r="K125" s="140"/>
      <c r="L125" s="4" t="s">
        <v>652</v>
      </c>
      <c r="M125" s="166" t="str">
        <f>IF(AND(NOT(EXACT(D125,"")),NOT(EXACT(G125,"")),NOT(EXACT(E125,"")),NOT(EXACT(B125,"")),NOT(EXACT(I125,"")),NOT(EXACT(H125,""))),IF(AND(EXACT(G125,'Data Base'!$T$35),OR(EXACT(H125,'Data Base'!$V$36),EXACT(H125,'Data Base'!$V$35)),EXACT(K125,'Data Base'!$X$35)),I125*0.5*1*1,IF(AND(EXACT(G125,'Data Base'!$T$35),EXACT(H125,'Data Base'!$V$37),EXACT(K125,'Data Base'!$X$35)),I125*0.5*0.5*1,IF(AND(EXACT(G125,'Data Base'!$T$35),EXACT(H125,'Data Base'!$V$38),EXACT(K125,'Data Base'!$X$35)),I125*0.5*1.2*1,IF(AND(EXACT(G125,'Data Base'!$T$35),OR(EXACT(H125,'Data Base'!$V$36),EXACT(H125,'Data Base'!$V$35)),EXACT(K125,'Data Base'!$X$36)),I125*0.5*1*0.75,IF(AND(EXACT(G125,'Data Base'!$T$35),EXACT(H125,'Data Base'!$V$37),EXACT(K125,'Data Base'!$X$36)),I125*0.5*0.5*0.75,IF(AND(EXACT(G125,'Data Base'!$T$35),EXACT(H125,'Data Base'!$V$38),EXACT(K125,'Data Base'!$X$36)),I125*0.5*1.2*0.75,IF(AND(EXACT(G125,'Data Base'!$T$35),OR(EXACT(H125,'Data Base'!$V$36),EXACT(H125,'Data Base'!$V$35)),EXACT(K125,'Data Base'!$X$37)),I125*0.5*1*0.5,IF(AND(EXACT(G125,'Data Base'!$T$35),EXACT(H125,'Data Base'!$V$37),EXACT(K125,'Data Base'!$X$37)),I125*0.5*0.5*0.5,IF(AND(EXACT(G125,'Data Base'!$T$35),EXACT(H125,'Data Base'!$V$38),EXACT(K125,'Data Base'!$X$37)),I125*0.5*1.2*0.5,IF(AND(EXACT(G125,'Data Base'!$T$36),OR(EXACT(H125,'Data Base'!$V$36),EXACT(H125,'Data Base'!$V$35)),EXACT(K125,'Data Base'!$X$35)),I125*1*1*1,IF(AND(EXACT(G125,'Data Base'!$T$36),EXACT(H125,'Data Base'!$V$37),EXACT(K125,'Data Base'!$X$35)),I125*1*0.5*1,IF(AND(EXACT(G125,'Data Base'!$T$36),EXACT(H125,'Data Base'!$V$38),EXACT(K125,'Data Base'!$X$35)),I125*1*1.2*1,IF(AND(EXACT(G125,'Data Base'!$T$36),OR(EXACT(H125,'Data Base'!$V$36),EXACT(H125,'Data Base'!$V$35)),EXACT(K125,'Data Base'!$X$36)),I125*1*1*0.75,IF(AND(EXACT(G125,'Data Base'!$T$36),EXACT(H125,'Data Base'!$V$37),EXACT(K125,'Data Base'!$X$36)),I125*1*0.5*0.75,IF(AND(EXACT(G125,'Data Base'!$T$36),EXACT(H125,'Data Base'!$V$38),EXACT(K125,'Data Base'!$X$36)),I125*1*1.2*0.75,IF(AND(EXACT(G125,'Data Base'!$T$36),OR(EXACT(H125,'Data Base'!$V$36),EXACT(H125,'Data Base'!$V$35)),EXACT(K125,'Data Base'!$X$37)),I125*1*1*0.5,IF(AND(EXACT(G125,'Data Base'!$T$36),EXACT(H125,'Data Base'!$V$37),EXACT(K125,'Data Base'!$X$37)),I125*1*0.5*0.5,IF(AND(EXACT(G125,'Data Base'!$T$36),EXACT(H125,'Data Base'!$V$38),EXACT(K125,'Data Base'!$X$37)),I125*1*1.2*0.5,IF(AND(EXACT(G125,'Data Base'!$T$37),OR(EXACT(H125,'Data Base'!$V$36),EXACT(H125,'Data Base'!$V$35)),EXACT(K125,'Data Base'!$X$35)),I125*1.25*1*1,IF(AND(EXACT(G125,'Data Base'!$T$37),EXACT(H125,'Data Base'!$V$37),EXACT(K125,'Data Base'!$X$35)),I125*1.25*0.5*1,IF(AND(EXACT(G125,'Data Base'!$T$37),EXACT(H125,'Data Base'!$V$38),EXACT(K125,'Data Base'!$X$35)),I125*1.25*1.2*1,IF(AND(EXACT(G125,'Data Base'!$T$37),OR(EXACT(H125,'Data Base'!$V$36),EXACT(H125,'Data Base'!$V$35)),EXACT(K125,'Data Base'!$X$36)),I125*1.25*1*0.75,IF(AND(EXACT(G125,'Data Base'!$T$37),EXACT(H125,'Data Base'!$V$37),EXACT(K125,'Data Base'!$X$36)),I125*1.25*0.5*0.75,IF(AND(EXACT(G125,'Data Base'!$T$37),EXACT(H125,'Data Base'!$V$38),EXACT(K125,'Data Base'!$X$36)),I125*1.25*1.2*0.75,IF(AND(EXACT(G125,'Data Base'!$T$37),OR(EXACT(H125,'Data Base'!$V$36),EXACT(H125,'Data Base'!$V$35)),EXACT(K125,'Data Base'!$X$37)),I125*1.25*1*0.5,IF(AND(EXACT(G125,'Data Base'!$T$37),EXACT(H125,'Data Base'!$V$37),EXACT(K125,'Data Base'!$X$37)),I125*1.25*0.5*0.5,IF(AND(EXACT(G125,'Data Base'!$T$37),EXACT(H125,'Data Base'!$V$38),EXACT(K125,'Data Base'!$X$37)),I125*1.25*1.2*0.5))))))))))))))))))))))))))),"")</f>
        <v/>
      </c>
    </row>
    <row r="126" spans="1:15" ht="21" customHeight="1">
      <c r="A126" s="97">
        <v>10</v>
      </c>
      <c r="B126" s="1349" t="str">
        <f t="shared" si="14"/>
        <v/>
      </c>
      <c r="C126" s="1350"/>
      <c r="D126" s="148" t="str">
        <f t="shared" si="15"/>
        <v/>
      </c>
      <c r="E126" s="1351"/>
      <c r="F126" s="1352"/>
      <c r="G126" s="165"/>
      <c r="H126" s="140"/>
      <c r="I126" s="4"/>
      <c r="J126" s="4"/>
      <c r="K126" s="140"/>
      <c r="L126" s="4" t="s">
        <v>652</v>
      </c>
      <c r="M126" s="166" t="str">
        <f>IF(AND(NOT(EXACT(D126,"")),NOT(EXACT(G126,"")),NOT(EXACT(E126,"")),NOT(EXACT(B126,"")),NOT(EXACT(I126,"")),NOT(EXACT(H126,""))),IF(AND(EXACT(G126,'Data Base'!$T$35),OR(EXACT(H126,'Data Base'!$V$36),EXACT(H126,'Data Base'!$V$35)),EXACT(K126,'Data Base'!$X$35)),I126*0.5*1*1,IF(AND(EXACT(G126,'Data Base'!$T$35),EXACT(H126,'Data Base'!$V$37),EXACT(K126,'Data Base'!$X$35)),I126*0.5*0.5*1,IF(AND(EXACT(G126,'Data Base'!$T$35),EXACT(H126,'Data Base'!$V$38),EXACT(K126,'Data Base'!$X$35)),I126*0.5*1.2*1,IF(AND(EXACT(G126,'Data Base'!$T$35),OR(EXACT(H126,'Data Base'!$V$36),EXACT(H126,'Data Base'!$V$35)),EXACT(K126,'Data Base'!$X$36)),I126*0.5*1*0.75,IF(AND(EXACT(G126,'Data Base'!$T$35),EXACT(H126,'Data Base'!$V$37),EXACT(K126,'Data Base'!$X$36)),I126*0.5*0.5*0.75,IF(AND(EXACT(G126,'Data Base'!$T$35),EXACT(H126,'Data Base'!$V$38),EXACT(K126,'Data Base'!$X$36)),I126*0.5*1.2*0.75,IF(AND(EXACT(G126,'Data Base'!$T$35),OR(EXACT(H126,'Data Base'!$V$36),EXACT(H126,'Data Base'!$V$35)),EXACT(K126,'Data Base'!$X$37)),I126*0.5*1*0.5,IF(AND(EXACT(G126,'Data Base'!$T$35),EXACT(H126,'Data Base'!$V$37),EXACT(K126,'Data Base'!$X$37)),I126*0.5*0.5*0.5,IF(AND(EXACT(G126,'Data Base'!$T$35),EXACT(H126,'Data Base'!$V$38),EXACT(K126,'Data Base'!$X$37)),I126*0.5*1.2*0.5,IF(AND(EXACT(G126,'Data Base'!$T$36),OR(EXACT(H126,'Data Base'!$V$36),EXACT(H126,'Data Base'!$V$35)),EXACT(K126,'Data Base'!$X$35)),I126*1*1*1,IF(AND(EXACT(G126,'Data Base'!$T$36),EXACT(H126,'Data Base'!$V$37),EXACT(K126,'Data Base'!$X$35)),I126*1*0.5*1,IF(AND(EXACT(G126,'Data Base'!$T$36),EXACT(H126,'Data Base'!$V$38),EXACT(K126,'Data Base'!$X$35)),I126*1*1.2*1,IF(AND(EXACT(G126,'Data Base'!$T$36),OR(EXACT(H126,'Data Base'!$V$36),EXACT(H126,'Data Base'!$V$35)),EXACT(K126,'Data Base'!$X$36)),I126*1*1*0.75,IF(AND(EXACT(G126,'Data Base'!$T$36),EXACT(H126,'Data Base'!$V$37),EXACT(K126,'Data Base'!$X$36)),I126*1*0.5*0.75,IF(AND(EXACT(G126,'Data Base'!$T$36),EXACT(H126,'Data Base'!$V$38),EXACT(K126,'Data Base'!$X$36)),I126*1*1.2*0.75,IF(AND(EXACT(G126,'Data Base'!$T$36),OR(EXACT(H126,'Data Base'!$V$36),EXACT(H126,'Data Base'!$V$35)),EXACT(K126,'Data Base'!$X$37)),I126*1*1*0.5,IF(AND(EXACT(G126,'Data Base'!$T$36),EXACT(H126,'Data Base'!$V$37),EXACT(K126,'Data Base'!$X$37)),I126*1*0.5*0.5,IF(AND(EXACT(G126,'Data Base'!$T$36),EXACT(H126,'Data Base'!$V$38),EXACT(K126,'Data Base'!$X$37)),I126*1*1.2*0.5,IF(AND(EXACT(G126,'Data Base'!$T$37),OR(EXACT(H126,'Data Base'!$V$36),EXACT(H126,'Data Base'!$V$35)),EXACT(K126,'Data Base'!$X$35)),I126*1.25*1*1,IF(AND(EXACT(G126,'Data Base'!$T$37),EXACT(H126,'Data Base'!$V$37),EXACT(K126,'Data Base'!$X$35)),I126*1.25*0.5*1,IF(AND(EXACT(G126,'Data Base'!$T$37),EXACT(H126,'Data Base'!$V$38),EXACT(K126,'Data Base'!$X$35)),I126*1.25*1.2*1,IF(AND(EXACT(G126,'Data Base'!$T$37),OR(EXACT(H126,'Data Base'!$V$36),EXACT(H126,'Data Base'!$V$35)),EXACT(K126,'Data Base'!$X$36)),I126*1.25*1*0.75,IF(AND(EXACT(G126,'Data Base'!$T$37),EXACT(H126,'Data Base'!$V$37),EXACT(K126,'Data Base'!$X$36)),I126*1.25*0.5*0.75,IF(AND(EXACT(G126,'Data Base'!$T$37),EXACT(H126,'Data Base'!$V$38),EXACT(K126,'Data Base'!$X$36)),I126*1.25*1.2*0.75,IF(AND(EXACT(G126,'Data Base'!$T$37),OR(EXACT(H126,'Data Base'!$V$36),EXACT(H126,'Data Base'!$V$35)),EXACT(K126,'Data Base'!$X$37)),I126*1.25*1*0.5,IF(AND(EXACT(G126,'Data Base'!$T$37),EXACT(H126,'Data Base'!$V$37),EXACT(K126,'Data Base'!$X$37)),I126*1.25*0.5*0.5,IF(AND(EXACT(G126,'Data Base'!$T$37),EXACT(H126,'Data Base'!$V$38),EXACT(K126,'Data Base'!$X$37)),I126*1.25*1.2*0.5))))))))))))))))))))))))))),"")</f>
        <v/>
      </c>
    </row>
    <row r="127" spans="1:15" ht="21" customHeight="1">
      <c r="A127" s="99">
        <v>11</v>
      </c>
      <c r="B127" s="1349" t="str">
        <f t="shared" si="14"/>
        <v/>
      </c>
      <c r="C127" s="1350"/>
      <c r="D127" s="148" t="str">
        <f t="shared" si="15"/>
        <v/>
      </c>
      <c r="E127" s="1351"/>
      <c r="F127" s="1352"/>
      <c r="G127" s="165"/>
      <c r="H127" s="140"/>
      <c r="I127" s="4"/>
      <c r="J127" s="4"/>
      <c r="K127" s="140"/>
      <c r="L127" s="4" t="s">
        <v>652</v>
      </c>
      <c r="M127" s="166" t="str">
        <f>IF(AND(NOT(EXACT(D127,"")),NOT(EXACT(G127,"")),NOT(EXACT(E127,"")),NOT(EXACT(B127,"")),NOT(EXACT(I127,"")),NOT(EXACT(H127,""))),IF(AND(EXACT(G127,'Data Base'!$T$35),OR(EXACT(H127,'Data Base'!$V$36),EXACT(H127,'Data Base'!$V$35)),EXACT(K127,'Data Base'!$X$35)),I127*0.5*1*1,IF(AND(EXACT(G127,'Data Base'!$T$35),EXACT(H127,'Data Base'!$V$37),EXACT(K127,'Data Base'!$X$35)),I127*0.5*0.5*1,IF(AND(EXACT(G127,'Data Base'!$T$35),EXACT(H127,'Data Base'!$V$38),EXACT(K127,'Data Base'!$X$35)),I127*0.5*1.2*1,IF(AND(EXACT(G127,'Data Base'!$T$35),OR(EXACT(H127,'Data Base'!$V$36),EXACT(H127,'Data Base'!$V$35)),EXACT(K127,'Data Base'!$X$36)),I127*0.5*1*0.75,IF(AND(EXACT(G127,'Data Base'!$T$35),EXACT(H127,'Data Base'!$V$37),EXACT(K127,'Data Base'!$X$36)),I127*0.5*0.5*0.75,IF(AND(EXACT(G127,'Data Base'!$T$35),EXACT(H127,'Data Base'!$V$38),EXACT(K127,'Data Base'!$X$36)),I127*0.5*1.2*0.75,IF(AND(EXACT(G127,'Data Base'!$T$35),OR(EXACT(H127,'Data Base'!$V$36),EXACT(H127,'Data Base'!$V$35)),EXACT(K127,'Data Base'!$X$37)),I127*0.5*1*0.5,IF(AND(EXACT(G127,'Data Base'!$T$35),EXACT(H127,'Data Base'!$V$37),EXACT(K127,'Data Base'!$X$37)),I127*0.5*0.5*0.5,IF(AND(EXACT(G127,'Data Base'!$T$35),EXACT(H127,'Data Base'!$V$38),EXACT(K127,'Data Base'!$X$37)),I127*0.5*1.2*0.5,IF(AND(EXACT(G127,'Data Base'!$T$36),OR(EXACT(H127,'Data Base'!$V$36),EXACT(H127,'Data Base'!$V$35)),EXACT(K127,'Data Base'!$X$35)),I127*1*1*1,IF(AND(EXACT(G127,'Data Base'!$T$36),EXACT(H127,'Data Base'!$V$37),EXACT(K127,'Data Base'!$X$35)),I127*1*0.5*1,IF(AND(EXACT(G127,'Data Base'!$T$36),EXACT(H127,'Data Base'!$V$38),EXACT(K127,'Data Base'!$X$35)),I127*1*1.2*1,IF(AND(EXACT(G127,'Data Base'!$T$36),OR(EXACT(H127,'Data Base'!$V$36),EXACT(H127,'Data Base'!$V$35)),EXACT(K127,'Data Base'!$X$36)),I127*1*1*0.75,IF(AND(EXACT(G127,'Data Base'!$T$36),EXACT(H127,'Data Base'!$V$37),EXACT(K127,'Data Base'!$X$36)),I127*1*0.5*0.75,IF(AND(EXACT(G127,'Data Base'!$T$36),EXACT(H127,'Data Base'!$V$38),EXACT(K127,'Data Base'!$X$36)),I127*1*1.2*0.75,IF(AND(EXACT(G127,'Data Base'!$T$36),OR(EXACT(H127,'Data Base'!$V$36),EXACT(H127,'Data Base'!$V$35)),EXACT(K127,'Data Base'!$X$37)),I127*1*1*0.5,IF(AND(EXACT(G127,'Data Base'!$T$36),EXACT(H127,'Data Base'!$V$37),EXACT(K127,'Data Base'!$X$37)),I127*1*0.5*0.5,IF(AND(EXACT(G127,'Data Base'!$T$36),EXACT(H127,'Data Base'!$V$38),EXACT(K127,'Data Base'!$X$37)),I127*1*1.2*0.5,IF(AND(EXACT(G127,'Data Base'!$T$37),OR(EXACT(H127,'Data Base'!$V$36),EXACT(H127,'Data Base'!$V$35)),EXACT(K127,'Data Base'!$X$35)),I127*1.25*1*1,IF(AND(EXACT(G127,'Data Base'!$T$37),EXACT(H127,'Data Base'!$V$37),EXACT(K127,'Data Base'!$X$35)),I127*1.25*0.5*1,IF(AND(EXACT(G127,'Data Base'!$T$37),EXACT(H127,'Data Base'!$V$38),EXACT(K127,'Data Base'!$X$35)),I127*1.25*1.2*1,IF(AND(EXACT(G127,'Data Base'!$T$37),OR(EXACT(H127,'Data Base'!$V$36),EXACT(H127,'Data Base'!$V$35)),EXACT(K127,'Data Base'!$X$36)),I127*1.25*1*0.75,IF(AND(EXACT(G127,'Data Base'!$T$37),EXACT(H127,'Data Base'!$V$37),EXACT(K127,'Data Base'!$X$36)),I127*1.25*0.5*0.75,IF(AND(EXACT(G127,'Data Base'!$T$37),EXACT(H127,'Data Base'!$V$38),EXACT(K127,'Data Base'!$X$36)),I127*1.25*1.2*0.75,IF(AND(EXACT(G127,'Data Base'!$T$37),OR(EXACT(H127,'Data Base'!$V$36),EXACT(H127,'Data Base'!$V$35)),EXACT(K127,'Data Base'!$X$37)),I127*1.25*1*0.5,IF(AND(EXACT(G127,'Data Base'!$T$37),EXACT(H127,'Data Base'!$V$37),EXACT(K127,'Data Base'!$X$37)),I127*1.25*0.5*0.5,IF(AND(EXACT(G127,'Data Base'!$T$37),EXACT(H127,'Data Base'!$V$38),EXACT(K127,'Data Base'!$X$37)),I127*1.25*1.2*0.5))))))))))))))))))))))))))),"")</f>
        <v/>
      </c>
    </row>
    <row r="128" spans="1:15" ht="21" customHeight="1">
      <c r="A128" s="99">
        <v>12</v>
      </c>
      <c r="B128" s="1349" t="str">
        <f t="shared" si="14"/>
        <v/>
      </c>
      <c r="C128" s="1350"/>
      <c r="D128" s="148" t="str">
        <f t="shared" si="15"/>
        <v/>
      </c>
      <c r="E128" s="1351"/>
      <c r="F128" s="1352"/>
      <c r="G128" s="165"/>
      <c r="H128" s="140"/>
      <c r="I128" s="4"/>
      <c r="J128" s="4"/>
      <c r="K128" s="140"/>
      <c r="L128" s="4" t="s">
        <v>652</v>
      </c>
      <c r="M128" s="166" t="str">
        <f>IF(AND(NOT(EXACT(D128,"")),NOT(EXACT(G128,"")),NOT(EXACT(E128,"")),NOT(EXACT(B128,"")),NOT(EXACT(I128,"")),NOT(EXACT(H128,""))),IF(AND(EXACT(G128,'Data Base'!$T$35),OR(EXACT(H128,'Data Base'!$V$36),EXACT(H128,'Data Base'!$V$35)),EXACT(K128,'Data Base'!$X$35)),I128*0.5*1*1,IF(AND(EXACT(G128,'Data Base'!$T$35),EXACT(H128,'Data Base'!$V$37),EXACT(K128,'Data Base'!$X$35)),I128*0.5*0.5*1,IF(AND(EXACT(G128,'Data Base'!$T$35),EXACT(H128,'Data Base'!$V$38),EXACT(K128,'Data Base'!$X$35)),I128*0.5*1.2*1,IF(AND(EXACT(G128,'Data Base'!$T$35),OR(EXACT(H128,'Data Base'!$V$36),EXACT(H128,'Data Base'!$V$35)),EXACT(K128,'Data Base'!$X$36)),I128*0.5*1*0.75,IF(AND(EXACT(G128,'Data Base'!$T$35),EXACT(H128,'Data Base'!$V$37),EXACT(K128,'Data Base'!$X$36)),I128*0.5*0.5*0.75,IF(AND(EXACT(G128,'Data Base'!$T$35),EXACT(H128,'Data Base'!$V$38),EXACT(K128,'Data Base'!$X$36)),I128*0.5*1.2*0.75,IF(AND(EXACT(G128,'Data Base'!$T$35),OR(EXACT(H128,'Data Base'!$V$36),EXACT(H128,'Data Base'!$V$35)),EXACT(K128,'Data Base'!$X$37)),I128*0.5*1*0.5,IF(AND(EXACT(G128,'Data Base'!$T$35),EXACT(H128,'Data Base'!$V$37),EXACT(K128,'Data Base'!$X$37)),I128*0.5*0.5*0.5,IF(AND(EXACT(G128,'Data Base'!$T$35),EXACT(H128,'Data Base'!$V$38),EXACT(K128,'Data Base'!$X$37)),I128*0.5*1.2*0.5,IF(AND(EXACT(G128,'Data Base'!$T$36),OR(EXACT(H128,'Data Base'!$V$36),EXACT(H128,'Data Base'!$V$35)),EXACT(K128,'Data Base'!$X$35)),I128*1*1*1,IF(AND(EXACT(G128,'Data Base'!$T$36),EXACT(H128,'Data Base'!$V$37),EXACT(K128,'Data Base'!$X$35)),I128*1*0.5*1,IF(AND(EXACT(G128,'Data Base'!$T$36),EXACT(H128,'Data Base'!$V$38),EXACT(K128,'Data Base'!$X$35)),I128*1*1.2*1,IF(AND(EXACT(G128,'Data Base'!$T$36),OR(EXACT(H128,'Data Base'!$V$36),EXACT(H128,'Data Base'!$V$35)),EXACT(K128,'Data Base'!$X$36)),I128*1*1*0.75,IF(AND(EXACT(G128,'Data Base'!$T$36),EXACT(H128,'Data Base'!$V$37),EXACT(K128,'Data Base'!$X$36)),I128*1*0.5*0.75,IF(AND(EXACT(G128,'Data Base'!$T$36),EXACT(H128,'Data Base'!$V$38),EXACT(K128,'Data Base'!$X$36)),I128*1*1.2*0.75,IF(AND(EXACT(G128,'Data Base'!$T$36),OR(EXACT(H128,'Data Base'!$V$36),EXACT(H128,'Data Base'!$V$35)),EXACT(K128,'Data Base'!$X$37)),I128*1*1*0.5,IF(AND(EXACT(G128,'Data Base'!$T$36),EXACT(H128,'Data Base'!$V$37),EXACT(K128,'Data Base'!$X$37)),I128*1*0.5*0.5,IF(AND(EXACT(G128,'Data Base'!$T$36),EXACT(H128,'Data Base'!$V$38),EXACT(K128,'Data Base'!$X$37)),I128*1*1.2*0.5,IF(AND(EXACT(G128,'Data Base'!$T$37),OR(EXACT(H128,'Data Base'!$V$36),EXACT(H128,'Data Base'!$V$35)),EXACT(K128,'Data Base'!$X$35)),I128*1.25*1*1,IF(AND(EXACT(G128,'Data Base'!$T$37),EXACT(H128,'Data Base'!$V$37),EXACT(K128,'Data Base'!$X$35)),I128*1.25*0.5*1,IF(AND(EXACT(G128,'Data Base'!$T$37),EXACT(H128,'Data Base'!$V$38),EXACT(K128,'Data Base'!$X$35)),I128*1.25*1.2*1,IF(AND(EXACT(G128,'Data Base'!$T$37),OR(EXACT(H128,'Data Base'!$V$36),EXACT(H128,'Data Base'!$V$35)),EXACT(K128,'Data Base'!$X$36)),I128*1.25*1*0.75,IF(AND(EXACT(G128,'Data Base'!$T$37),EXACT(H128,'Data Base'!$V$37),EXACT(K128,'Data Base'!$X$36)),I128*1.25*0.5*0.75,IF(AND(EXACT(G128,'Data Base'!$T$37),EXACT(H128,'Data Base'!$V$38),EXACT(K128,'Data Base'!$X$36)),I128*1.25*1.2*0.75,IF(AND(EXACT(G128,'Data Base'!$T$37),OR(EXACT(H128,'Data Base'!$V$36),EXACT(H128,'Data Base'!$V$35)),EXACT(K128,'Data Base'!$X$37)),I128*1.25*1*0.5,IF(AND(EXACT(G128,'Data Base'!$T$37),EXACT(H128,'Data Base'!$V$37),EXACT(K128,'Data Base'!$X$37)),I128*1.25*0.5*0.5,IF(AND(EXACT(G128,'Data Base'!$T$37),EXACT(H128,'Data Base'!$V$38),EXACT(K128,'Data Base'!$X$37)),I128*1.25*1.2*0.5))))))))))))))))))))))))))),"")</f>
        <v/>
      </c>
      <c r="N128" s="94"/>
      <c r="O128" s="94"/>
    </row>
    <row r="129" spans="1:15" ht="21" customHeight="1">
      <c r="A129" s="97">
        <v>13</v>
      </c>
      <c r="B129" s="1349" t="str">
        <f t="shared" si="14"/>
        <v/>
      </c>
      <c r="C129" s="1350"/>
      <c r="D129" s="148" t="str">
        <f t="shared" si="15"/>
        <v/>
      </c>
      <c r="E129" s="1351"/>
      <c r="F129" s="1352"/>
      <c r="G129" s="165"/>
      <c r="H129" s="140"/>
      <c r="I129" s="4"/>
      <c r="J129" s="4"/>
      <c r="K129" s="140"/>
      <c r="L129" s="4" t="s">
        <v>652</v>
      </c>
      <c r="M129" s="166" t="str">
        <f>IF(AND(NOT(EXACT(D129,"")),NOT(EXACT(G129,"")),NOT(EXACT(E129,"")),NOT(EXACT(B129,"")),NOT(EXACT(I129,"")),NOT(EXACT(H129,""))),IF(AND(EXACT(G129,'Data Base'!$T$35),OR(EXACT(H129,'Data Base'!$V$36),EXACT(H129,'Data Base'!$V$35)),EXACT(K129,'Data Base'!$X$35)),I129*0.5*1*1,IF(AND(EXACT(G129,'Data Base'!$T$35),EXACT(H129,'Data Base'!$V$37),EXACT(K129,'Data Base'!$X$35)),I129*0.5*0.5*1,IF(AND(EXACT(G129,'Data Base'!$T$35),EXACT(H129,'Data Base'!$V$38),EXACT(K129,'Data Base'!$X$35)),I129*0.5*1.2*1,IF(AND(EXACT(G129,'Data Base'!$T$35),OR(EXACT(H129,'Data Base'!$V$36),EXACT(H129,'Data Base'!$V$35)),EXACT(K129,'Data Base'!$X$36)),I129*0.5*1*0.75,IF(AND(EXACT(G129,'Data Base'!$T$35),EXACT(H129,'Data Base'!$V$37),EXACT(K129,'Data Base'!$X$36)),I129*0.5*0.5*0.75,IF(AND(EXACT(G129,'Data Base'!$T$35),EXACT(H129,'Data Base'!$V$38),EXACT(K129,'Data Base'!$X$36)),I129*0.5*1.2*0.75,IF(AND(EXACT(G129,'Data Base'!$T$35),OR(EXACT(H129,'Data Base'!$V$36),EXACT(H129,'Data Base'!$V$35)),EXACT(K129,'Data Base'!$X$37)),I129*0.5*1*0.5,IF(AND(EXACT(G129,'Data Base'!$T$35),EXACT(H129,'Data Base'!$V$37),EXACT(K129,'Data Base'!$X$37)),I129*0.5*0.5*0.5,IF(AND(EXACT(G129,'Data Base'!$T$35),EXACT(H129,'Data Base'!$V$38),EXACT(K129,'Data Base'!$X$37)),I129*0.5*1.2*0.5,IF(AND(EXACT(G129,'Data Base'!$T$36),OR(EXACT(H129,'Data Base'!$V$36),EXACT(H129,'Data Base'!$V$35)),EXACT(K129,'Data Base'!$X$35)),I129*1*1*1,IF(AND(EXACT(G129,'Data Base'!$T$36),EXACT(H129,'Data Base'!$V$37),EXACT(K129,'Data Base'!$X$35)),I129*1*0.5*1,IF(AND(EXACT(G129,'Data Base'!$T$36),EXACT(H129,'Data Base'!$V$38),EXACT(K129,'Data Base'!$X$35)),I129*1*1.2*1,IF(AND(EXACT(G129,'Data Base'!$T$36),OR(EXACT(H129,'Data Base'!$V$36),EXACT(H129,'Data Base'!$V$35)),EXACT(K129,'Data Base'!$X$36)),I129*1*1*0.75,IF(AND(EXACT(G129,'Data Base'!$T$36),EXACT(H129,'Data Base'!$V$37),EXACT(K129,'Data Base'!$X$36)),I129*1*0.5*0.75,IF(AND(EXACT(G129,'Data Base'!$T$36),EXACT(H129,'Data Base'!$V$38),EXACT(K129,'Data Base'!$X$36)),I129*1*1.2*0.75,IF(AND(EXACT(G129,'Data Base'!$T$36),OR(EXACT(H129,'Data Base'!$V$36),EXACT(H129,'Data Base'!$V$35)),EXACT(K129,'Data Base'!$X$37)),I129*1*1*0.5,IF(AND(EXACT(G129,'Data Base'!$T$36),EXACT(H129,'Data Base'!$V$37),EXACT(K129,'Data Base'!$X$37)),I129*1*0.5*0.5,IF(AND(EXACT(G129,'Data Base'!$T$36),EXACT(H129,'Data Base'!$V$38),EXACT(K129,'Data Base'!$X$37)),I129*1*1.2*0.5,IF(AND(EXACT(G129,'Data Base'!$T$37),OR(EXACT(H129,'Data Base'!$V$36),EXACT(H129,'Data Base'!$V$35)),EXACT(K129,'Data Base'!$X$35)),I129*1.25*1*1,IF(AND(EXACT(G129,'Data Base'!$T$37),EXACT(H129,'Data Base'!$V$37),EXACT(K129,'Data Base'!$X$35)),I129*1.25*0.5*1,IF(AND(EXACT(G129,'Data Base'!$T$37),EXACT(H129,'Data Base'!$V$38),EXACT(K129,'Data Base'!$X$35)),I129*1.25*1.2*1,IF(AND(EXACT(G129,'Data Base'!$T$37),OR(EXACT(H129,'Data Base'!$V$36),EXACT(H129,'Data Base'!$V$35)),EXACT(K129,'Data Base'!$X$36)),I129*1.25*1*0.75,IF(AND(EXACT(G129,'Data Base'!$T$37),EXACT(H129,'Data Base'!$V$37),EXACT(K129,'Data Base'!$X$36)),I129*1.25*0.5*0.75,IF(AND(EXACT(G129,'Data Base'!$T$37),EXACT(H129,'Data Base'!$V$38),EXACT(K129,'Data Base'!$X$36)),I129*1.25*1.2*0.75,IF(AND(EXACT(G129,'Data Base'!$T$37),OR(EXACT(H129,'Data Base'!$V$36),EXACT(H129,'Data Base'!$V$35)),EXACT(K129,'Data Base'!$X$37)),I129*1.25*1*0.5,IF(AND(EXACT(G129,'Data Base'!$T$37),EXACT(H129,'Data Base'!$V$37),EXACT(K129,'Data Base'!$X$37)),I129*1.25*0.5*0.5,IF(AND(EXACT(G129,'Data Base'!$T$37),EXACT(H129,'Data Base'!$V$38),EXACT(K129,'Data Base'!$X$37)),I129*1.25*1.2*0.5))))))))))))))))))))))))))),"")</f>
        <v/>
      </c>
      <c r="N129" s="58"/>
      <c r="O129" s="58"/>
    </row>
    <row r="130" spans="1:15" ht="21" customHeight="1">
      <c r="A130" s="99">
        <v>14</v>
      </c>
      <c r="B130" s="1349" t="str">
        <f t="shared" si="14"/>
        <v/>
      </c>
      <c r="C130" s="1350"/>
      <c r="D130" s="148" t="str">
        <f t="shared" si="15"/>
        <v/>
      </c>
      <c r="E130" s="1351"/>
      <c r="F130" s="1352"/>
      <c r="G130" s="165"/>
      <c r="H130" s="140"/>
      <c r="I130" s="4"/>
      <c r="J130" s="4"/>
      <c r="K130" s="140"/>
      <c r="L130" s="4" t="s">
        <v>652</v>
      </c>
      <c r="M130" s="166" t="str">
        <f>IF(AND(NOT(EXACT(D130,"")),NOT(EXACT(G130,"")),NOT(EXACT(E130,"")),NOT(EXACT(B130,"")),NOT(EXACT(I130,"")),NOT(EXACT(H130,""))),IF(AND(EXACT(G130,'Data Base'!$T$35),OR(EXACT(H130,'Data Base'!$V$36),EXACT(H130,'Data Base'!$V$35)),EXACT(K130,'Data Base'!$X$35)),I130*0.5*1*1,IF(AND(EXACT(G130,'Data Base'!$T$35),EXACT(H130,'Data Base'!$V$37),EXACT(K130,'Data Base'!$X$35)),I130*0.5*0.5*1,IF(AND(EXACT(G130,'Data Base'!$T$35),EXACT(H130,'Data Base'!$V$38),EXACT(K130,'Data Base'!$X$35)),I130*0.5*1.2*1,IF(AND(EXACT(G130,'Data Base'!$T$35),OR(EXACT(H130,'Data Base'!$V$36),EXACT(H130,'Data Base'!$V$35)),EXACT(K130,'Data Base'!$X$36)),I130*0.5*1*0.75,IF(AND(EXACT(G130,'Data Base'!$T$35),EXACT(H130,'Data Base'!$V$37),EXACT(K130,'Data Base'!$X$36)),I130*0.5*0.5*0.75,IF(AND(EXACT(G130,'Data Base'!$T$35),EXACT(H130,'Data Base'!$V$38),EXACT(K130,'Data Base'!$X$36)),I130*0.5*1.2*0.75,IF(AND(EXACT(G130,'Data Base'!$T$35),OR(EXACT(H130,'Data Base'!$V$36),EXACT(H130,'Data Base'!$V$35)),EXACT(K130,'Data Base'!$X$37)),I130*0.5*1*0.5,IF(AND(EXACT(G130,'Data Base'!$T$35),EXACT(H130,'Data Base'!$V$37),EXACT(K130,'Data Base'!$X$37)),I130*0.5*0.5*0.5,IF(AND(EXACT(G130,'Data Base'!$T$35),EXACT(H130,'Data Base'!$V$38),EXACT(K130,'Data Base'!$X$37)),I130*0.5*1.2*0.5,IF(AND(EXACT(G130,'Data Base'!$T$36),OR(EXACT(H130,'Data Base'!$V$36),EXACT(H130,'Data Base'!$V$35)),EXACT(K130,'Data Base'!$X$35)),I130*1*1*1,IF(AND(EXACT(G130,'Data Base'!$T$36),EXACT(H130,'Data Base'!$V$37),EXACT(K130,'Data Base'!$X$35)),I130*1*0.5*1,IF(AND(EXACT(G130,'Data Base'!$T$36),EXACT(H130,'Data Base'!$V$38),EXACT(K130,'Data Base'!$X$35)),I130*1*1.2*1,IF(AND(EXACT(G130,'Data Base'!$T$36),OR(EXACT(H130,'Data Base'!$V$36),EXACT(H130,'Data Base'!$V$35)),EXACT(K130,'Data Base'!$X$36)),I130*1*1*0.75,IF(AND(EXACT(G130,'Data Base'!$T$36),EXACT(H130,'Data Base'!$V$37),EXACT(K130,'Data Base'!$X$36)),I130*1*0.5*0.75,IF(AND(EXACT(G130,'Data Base'!$T$36),EXACT(H130,'Data Base'!$V$38),EXACT(K130,'Data Base'!$X$36)),I130*1*1.2*0.75,IF(AND(EXACT(G130,'Data Base'!$T$36),OR(EXACT(H130,'Data Base'!$V$36),EXACT(H130,'Data Base'!$V$35)),EXACT(K130,'Data Base'!$X$37)),I130*1*1*0.5,IF(AND(EXACT(G130,'Data Base'!$T$36),EXACT(H130,'Data Base'!$V$37),EXACT(K130,'Data Base'!$X$37)),I130*1*0.5*0.5,IF(AND(EXACT(G130,'Data Base'!$T$36),EXACT(H130,'Data Base'!$V$38),EXACT(K130,'Data Base'!$X$37)),I130*1*1.2*0.5,IF(AND(EXACT(G130,'Data Base'!$T$37),OR(EXACT(H130,'Data Base'!$V$36),EXACT(H130,'Data Base'!$V$35)),EXACT(K130,'Data Base'!$X$35)),I130*1.25*1*1,IF(AND(EXACT(G130,'Data Base'!$T$37),EXACT(H130,'Data Base'!$V$37),EXACT(K130,'Data Base'!$X$35)),I130*1.25*0.5*1,IF(AND(EXACT(G130,'Data Base'!$T$37),EXACT(H130,'Data Base'!$V$38),EXACT(K130,'Data Base'!$X$35)),I130*1.25*1.2*1,IF(AND(EXACT(G130,'Data Base'!$T$37),OR(EXACT(H130,'Data Base'!$V$36),EXACT(H130,'Data Base'!$V$35)),EXACT(K130,'Data Base'!$X$36)),I130*1.25*1*0.75,IF(AND(EXACT(G130,'Data Base'!$T$37),EXACT(H130,'Data Base'!$V$37),EXACT(K130,'Data Base'!$X$36)),I130*1.25*0.5*0.75,IF(AND(EXACT(G130,'Data Base'!$T$37),EXACT(H130,'Data Base'!$V$38),EXACT(K130,'Data Base'!$X$36)),I130*1.25*1.2*0.75,IF(AND(EXACT(G130,'Data Base'!$T$37),OR(EXACT(H130,'Data Base'!$V$36),EXACT(H130,'Data Base'!$V$35)),EXACT(K130,'Data Base'!$X$37)),I130*1.25*1*0.5,IF(AND(EXACT(G130,'Data Base'!$T$37),EXACT(H130,'Data Base'!$V$37),EXACT(K130,'Data Base'!$X$37)),I130*1.25*0.5*0.5,IF(AND(EXACT(G130,'Data Base'!$T$37),EXACT(H130,'Data Base'!$V$38),EXACT(K130,'Data Base'!$X$37)),I130*1.25*1.2*0.5))))))))))))))))))))))))))),"")</f>
        <v/>
      </c>
      <c r="N130" s="58"/>
      <c r="O130" s="58"/>
    </row>
    <row r="131" spans="1:15" ht="21" customHeight="1" thickBot="1">
      <c r="A131" s="106">
        <v>15</v>
      </c>
      <c r="B131" s="1355" t="str">
        <f t="shared" si="14"/>
        <v/>
      </c>
      <c r="C131" s="1356"/>
      <c r="D131" s="107" t="str">
        <f t="shared" si="15"/>
        <v/>
      </c>
      <c r="E131" s="1357"/>
      <c r="F131" s="1358"/>
      <c r="G131" s="167"/>
      <c r="H131" s="108"/>
      <c r="I131" s="105"/>
      <c r="J131" s="105"/>
      <c r="K131" s="108"/>
      <c r="L131" s="105" t="s">
        <v>652</v>
      </c>
      <c r="M131" s="168" t="str">
        <f>IF(AND(NOT(EXACT(D131,"")),NOT(EXACT(G131,"")),NOT(EXACT(E131,"")),NOT(EXACT(B131,"")),NOT(EXACT(I131,"")),NOT(EXACT(H131,""))),IF(AND(EXACT(G131,'Data Base'!$T$35),OR(EXACT(H131,'Data Base'!$V$36),EXACT(H131,'Data Base'!$V$35)),EXACT(K131,'Data Base'!$X$35)),I131*0.5*1*1,IF(AND(EXACT(G131,'Data Base'!$T$35),EXACT(H131,'Data Base'!$V$37),EXACT(K131,'Data Base'!$X$35)),I131*0.5*0.5*1,IF(AND(EXACT(G131,'Data Base'!$T$35),EXACT(H131,'Data Base'!$V$38),EXACT(K131,'Data Base'!$X$35)),I131*0.5*1.2*1,IF(AND(EXACT(G131,'Data Base'!$T$35),OR(EXACT(H131,'Data Base'!$V$36),EXACT(H131,'Data Base'!$V$35)),EXACT(K131,'Data Base'!$X$36)),I131*0.5*1*0.75,IF(AND(EXACT(G131,'Data Base'!$T$35),EXACT(H131,'Data Base'!$V$37),EXACT(K131,'Data Base'!$X$36)),I131*0.5*0.5*0.75,IF(AND(EXACT(G131,'Data Base'!$T$35),EXACT(H131,'Data Base'!$V$38),EXACT(K131,'Data Base'!$X$36)),I131*0.5*1.2*0.75,IF(AND(EXACT(G131,'Data Base'!$T$35),OR(EXACT(H131,'Data Base'!$V$36),EXACT(H131,'Data Base'!$V$35)),EXACT(K131,'Data Base'!$X$37)),I131*0.5*1*0.5,IF(AND(EXACT(G131,'Data Base'!$T$35),EXACT(H131,'Data Base'!$V$37),EXACT(K131,'Data Base'!$X$37)),I131*0.5*0.5*0.5,IF(AND(EXACT(G131,'Data Base'!$T$35),EXACT(H131,'Data Base'!$V$38),EXACT(K131,'Data Base'!$X$37)),I131*0.5*1.2*0.5,IF(AND(EXACT(G131,'Data Base'!$T$36),OR(EXACT(H131,'Data Base'!$V$36),EXACT(H131,'Data Base'!$V$35)),EXACT(K131,'Data Base'!$X$35)),I131*1*1*1,IF(AND(EXACT(G131,'Data Base'!$T$36),EXACT(H131,'Data Base'!$V$37),EXACT(K131,'Data Base'!$X$35)),I131*1*0.5*1,IF(AND(EXACT(G131,'Data Base'!$T$36),EXACT(H131,'Data Base'!$V$38),EXACT(K131,'Data Base'!$X$35)),I131*1*1.2*1,IF(AND(EXACT(G131,'Data Base'!$T$36),OR(EXACT(H131,'Data Base'!$V$36),EXACT(H131,'Data Base'!$V$35)),EXACT(K131,'Data Base'!$X$36)),I131*1*1*0.75,IF(AND(EXACT(G131,'Data Base'!$T$36),EXACT(H131,'Data Base'!$V$37),EXACT(K131,'Data Base'!$X$36)),I131*1*0.5*0.75,IF(AND(EXACT(G131,'Data Base'!$T$36),EXACT(H131,'Data Base'!$V$38),EXACT(K131,'Data Base'!$X$36)),I131*1*1.2*0.75,IF(AND(EXACT(G131,'Data Base'!$T$36),OR(EXACT(H131,'Data Base'!$V$36),EXACT(H131,'Data Base'!$V$35)),EXACT(K131,'Data Base'!$X$37)),I131*1*1*0.5,IF(AND(EXACT(G131,'Data Base'!$T$36),EXACT(H131,'Data Base'!$V$37),EXACT(K131,'Data Base'!$X$37)),I131*1*0.5*0.5,IF(AND(EXACT(G131,'Data Base'!$T$36),EXACT(H131,'Data Base'!$V$38),EXACT(K131,'Data Base'!$X$37)),I131*1*1.2*0.5,IF(AND(EXACT(G131,'Data Base'!$T$37),OR(EXACT(H131,'Data Base'!$V$36),EXACT(H131,'Data Base'!$V$35)),EXACT(K131,'Data Base'!$X$35)),I131*1.25*1*1,IF(AND(EXACT(G131,'Data Base'!$T$37),EXACT(H131,'Data Base'!$V$37),EXACT(K131,'Data Base'!$X$35)),I131*1.25*0.5*1,IF(AND(EXACT(G131,'Data Base'!$T$37),EXACT(H131,'Data Base'!$V$38),EXACT(K131,'Data Base'!$X$35)),I131*1.25*1.2*1,IF(AND(EXACT(G131,'Data Base'!$T$37),OR(EXACT(H131,'Data Base'!$V$36),EXACT(H131,'Data Base'!$V$35)),EXACT(K131,'Data Base'!$X$36)),I131*1.25*1*0.75,IF(AND(EXACT(G131,'Data Base'!$T$37),EXACT(H131,'Data Base'!$V$37),EXACT(K131,'Data Base'!$X$36)),I131*1.25*0.5*0.75,IF(AND(EXACT(G131,'Data Base'!$T$37),EXACT(H131,'Data Base'!$V$38),EXACT(K131,'Data Base'!$X$36)),I131*1.25*1.2*0.75,IF(AND(EXACT(G131,'Data Base'!$T$37),OR(EXACT(H131,'Data Base'!$V$36),EXACT(H131,'Data Base'!$V$35)),EXACT(K131,'Data Base'!$X$37)),I131*1.25*1*0.5,IF(AND(EXACT(G131,'Data Base'!$T$37),EXACT(H131,'Data Base'!$V$37),EXACT(K131,'Data Base'!$X$37)),I131*1.25*0.5*0.5,IF(AND(EXACT(G131,'Data Base'!$T$37),EXACT(H131,'Data Base'!$V$38),EXACT(K131,'Data Base'!$X$37)),I131*1.25*1.2*0.5))))))))))))))))))))))))))),"")</f>
        <v/>
      </c>
      <c r="N131" s="94"/>
      <c r="O131" s="94"/>
    </row>
    <row r="132" spans="1:15" ht="21" customHeight="1" thickBot="1">
      <c r="A132" s="1359" t="s">
        <v>653</v>
      </c>
      <c r="B132" s="1360"/>
      <c r="C132" s="1360"/>
      <c r="D132" s="1360"/>
      <c r="E132" s="1360"/>
      <c r="F132" s="1360"/>
      <c r="G132" s="1360"/>
      <c r="H132" s="1360"/>
      <c r="I132" s="109">
        <f>B117</f>
        <v>0</v>
      </c>
      <c r="J132" s="109">
        <f>D117</f>
        <v>0</v>
      </c>
      <c r="K132" s="1361"/>
      <c r="L132" s="1362"/>
      <c r="M132" s="110">
        <f>IF(SUM(M117:M131)&gt;5,5,SUM(M117:M131))</f>
        <v>0</v>
      </c>
      <c r="N132" s="94"/>
      <c r="O132" s="94"/>
    </row>
    <row r="133" spans="1:15" ht="21" customHeight="1">
      <c r="A133" s="97">
        <v>1</v>
      </c>
      <c r="B133" s="1363"/>
      <c r="C133" s="1364"/>
      <c r="D133" s="104"/>
      <c r="E133" s="1353"/>
      <c r="F133" s="1354"/>
      <c r="G133" s="169"/>
      <c r="H133" s="104"/>
      <c r="I133" s="98"/>
      <c r="J133" s="98"/>
      <c r="K133" s="104"/>
      <c r="L133" s="98" t="s">
        <v>652</v>
      </c>
      <c r="M133" s="166" t="str">
        <f>IF(AND(NOT(EXACT(D133,"")),NOT(EXACT(G133,"")),NOT(EXACT(E133,"")),NOT(EXACT(B133,"")),NOT(EXACT(I133,"")),NOT(EXACT(H133,""))),IF(AND(EXACT(G133,'Data Base'!$T$35),OR(EXACT(H133,'Data Base'!$V$36),EXACT(H133,'Data Base'!$V$35)),EXACT(K133,'Data Base'!$X$35)),I133*0.5*1*1,IF(AND(EXACT(G133,'Data Base'!$T$35),EXACT(H133,'Data Base'!$V$37),EXACT(K133,'Data Base'!$X$35)),I133*0.5*0.5*1,IF(AND(EXACT(G133,'Data Base'!$T$35),EXACT(H133,'Data Base'!$V$38),EXACT(K133,'Data Base'!$X$35)),I133*0.5*1.2*1,IF(AND(EXACT(G133,'Data Base'!$T$35),OR(EXACT(H133,'Data Base'!$V$36),EXACT(H133,'Data Base'!$V$35)),EXACT(K133,'Data Base'!$X$36)),I133*0.5*1*0.75,IF(AND(EXACT(G133,'Data Base'!$T$35),EXACT(H133,'Data Base'!$V$37),EXACT(K133,'Data Base'!$X$36)),I133*0.5*0.5*0.75,IF(AND(EXACT(G133,'Data Base'!$T$35),EXACT(H133,'Data Base'!$V$38),EXACT(K133,'Data Base'!$X$36)),I133*0.5*1.2*0.75,IF(AND(EXACT(G133,'Data Base'!$T$35),OR(EXACT(H133,'Data Base'!$V$36),EXACT(H133,'Data Base'!$V$35)),EXACT(K133,'Data Base'!$X$37)),I133*0.5*1*0.5,IF(AND(EXACT(G133,'Data Base'!$T$35),EXACT(H133,'Data Base'!$V$37),EXACT(K133,'Data Base'!$X$37)),I133*0.5*0.5*0.5,IF(AND(EXACT(G133,'Data Base'!$T$35),EXACT(H133,'Data Base'!$V$38),EXACT(K133,'Data Base'!$X$37)),I133*0.5*1.2*0.5,IF(AND(EXACT(G133,'Data Base'!$T$36),OR(EXACT(H133,'Data Base'!$V$36),EXACT(H133,'Data Base'!$V$35)),EXACT(K133,'Data Base'!$X$35)),I133*1*1*1,IF(AND(EXACT(G133,'Data Base'!$T$36),EXACT(H133,'Data Base'!$V$37),EXACT(K133,'Data Base'!$X$35)),I133*1*0.5*1,IF(AND(EXACT(G133,'Data Base'!$T$36),EXACT(H133,'Data Base'!$V$38),EXACT(K133,'Data Base'!$X$35)),I133*1*1.2*1,IF(AND(EXACT(G133,'Data Base'!$T$36),OR(EXACT(H133,'Data Base'!$V$36),EXACT(H133,'Data Base'!$V$35)),EXACT(K133,'Data Base'!$X$36)),I133*1*1*0.75,IF(AND(EXACT(G133,'Data Base'!$T$36),EXACT(H133,'Data Base'!$V$37),EXACT(K133,'Data Base'!$X$36)),I133*1*0.5*0.75,IF(AND(EXACT(G133,'Data Base'!$T$36),EXACT(H133,'Data Base'!$V$38),EXACT(K133,'Data Base'!$X$36)),I133*1*1.2*0.75,IF(AND(EXACT(G133,'Data Base'!$T$36),OR(EXACT(H133,'Data Base'!$V$36),EXACT(H133,'Data Base'!$V$35)),EXACT(K133,'Data Base'!$X$37)),I133*1*1*0.5,IF(AND(EXACT(G133,'Data Base'!$T$36),EXACT(H133,'Data Base'!$V$37),EXACT(K133,'Data Base'!$X$37)),I133*1*0.5*0.5,IF(AND(EXACT(G133,'Data Base'!$T$36),EXACT(H133,'Data Base'!$V$38),EXACT(K133,'Data Base'!$X$37)),I133*1*1.2*0.5,IF(AND(EXACT(G133,'Data Base'!$T$37),OR(EXACT(H133,'Data Base'!$V$36),EXACT(H133,'Data Base'!$V$35)),EXACT(K133,'Data Base'!$X$35)),I133*1.25*1*1,IF(AND(EXACT(G133,'Data Base'!$T$37),EXACT(H133,'Data Base'!$V$37),EXACT(K133,'Data Base'!$X$35)),I133*1.25*0.5*1,IF(AND(EXACT(G133,'Data Base'!$T$37),EXACT(H133,'Data Base'!$V$38),EXACT(K133,'Data Base'!$X$35)),I133*1.25*1.2*1,IF(AND(EXACT(G133,'Data Base'!$T$37),OR(EXACT(H133,'Data Base'!$V$36),EXACT(H133,'Data Base'!$V$35)),EXACT(K133,'Data Base'!$X$36)),I133*1.25*1*0.75,IF(AND(EXACT(G133,'Data Base'!$T$37),EXACT(H133,'Data Base'!$V$37),EXACT(K133,'Data Base'!$X$36)),I133*1.25*0.5*0.75,IF(AND(EXACT(G133,'Data Base'!$T$37),EXACT(H133,'Data Base'!$V$38),EXACT(K133,'Data Base'!$X$36)),I133*1.25*1.2*0.75,IF(AND(EXACT(G133,'Data Base'!$T$37),OR(EXACT(H133,'Data Base'!$V$36),EXACT(H133,'Data Base'!$V$35)),EXACT(K133,'Data Base'!$X$37)),I133*1.25*1*0.5,IF(AND(EXACT(G133,'Data Base'!$T$37),EXACT(H133,'Data Base'!$V$37),EXACT(K133,'Data Base'!$X$37)),I133*1.25*0.5*0.5,IF(AND(EXACT(G133,'Data Base'!$T$37),EXACT(H133,'Data Base'!$V$38),EXACT(K133,'Data Base'!$X$37)),I133*1.25*1.2*0.5))))))))))))))))))))))))))),"")</f>
        <v/>
      </c>
      <c r="N133" s="94"/>
      <c r="O133" s="94"/>
    </row>
    <row r="134" spans="1:15" ht="21" customHeight="1">
      <c r="A134" s="99">
        <v>2</v>
      </c>
      <c r="B134" s="1349" t="str">
        <f t="shared" ref="B134:B147" si="16">IF(NOT(EXACT(D134,"")),B133,"")</f>
        <v/>
      </c>
      <c r="C134" s="1350"/>
      <c r="D134" s="148" t="str">
        <f t="shared" ref="D134:D147" si="17">IF(NOT(EXACT(E134,"")),D133,"")</f>
        <v/>
      </c>
      <c r="E134" s="1365"/>
      <c r="F134" s="1365"/>
      <c r="G134" s="165"/>
      <c r="H134" s="140"/>
      <c r="I134" s="4"/>
      <c r="J134" s="4"/>
      <c r="K134" s="140"/>
      <c r="L134" s="4" t="s">
        <v>652</v>
      </c>
      <c r="M134" s="166" t="str">
        <f>IF(AND(NOT(EXACT(D134,"")),NOT(EXACT(G134,"")),NOT(EXACT(E134,"")),NOT(EXACT(B134,"")),NOT(EXACT(I134,"")),NOT(EXACT(H134,""))),IF(AND(EXACT(G134,'Data Base'!$T$35),OR(EXACT(H134,'Data Base'!$V$36),EXACT(H134,'Data Base'!$V$35)),EXACT(K134,'Data Base'!$X$35)),I134*0.5*1*1,IF(AND(EXACT(G134,'Data Base'!$T$35),EXACT(H134,'Data Base'!$V$37),EXACT(K134,'Data Base'!$X$35)),I134*0.5*0.5*1,IF(AND(EXACT(G134,'Data Base'!$T$35),EXACT(H134,'Data Base'!$V$38),EXACT(K134,'Data Base'!$X$35)),I134*0.5*1.2*1,IF(AND(EXACT(G134,'Data Base'!$T$35),OR(EXACT(H134,'Data Base'!$V$36),EXACT(H134,'Data Base'!$V$35)),EXACT(K134,'Data Base'!$X$36)),I134*0.5*1*0.75,IF(AND(EXACT(G134,'Data Base'!$T$35),EXACT(H134,'Data Base'!$V$37),EXACT(K134,'Data Base'!$X$36)),I134*0.5*0.5*0.75,IF(AND(EXACT(G134,'Data Base'!$T$35),EXACT(H134,'Data Base'!$V$38),EXACT(K134,'Data Base'!$X$36)),I134*0.5*1.2*0.75,IF(AND(EXACT(G134,'Data Base'!$T$35),OR(EXACT(H134,'Data Base'!$V$36),EXACT(H134,'Data Base'!$V$35)),EXACT(K134,'Data Base'!$X$37)),I134*0.5*1*0.5,IF(AND(EXACT(G134,'Data Base'!$T$35),EXACT(H134,'Data Base'!$V$37),EXACT(K134,'Data Base'!$X$37)),I134*0.5*0.5*0.5,IF(AND(EXACT(G134,'Data Base'!$T$35),EXACT(H134,'Data Base'!$V$38),EXACT(K134,'Data Base'!$X$37)),I134*0.5*1.2*0.5,IF(AND(EXACT(G134,'Data Base'!$T$36),OR(EXACT(H134,'Data Base'!$V$36),EXACT(H134,'Data Base'!$V$35)),EXACT(K134,'Data Base'!$X$35)),I134*1*1*1,IF(AND(EXACT(G134,'Data Base'!$T$36),EXACT(H134,'Data Base'!$V$37),EXACT(K134,'Data Base'!$X$35)),I134*1*0.5*1,IF(AND(EXACT(G134,'Data Base'!$T$36),EXACT(H134,'Data Base'!$V$38),EXACT(K134,'Data Base'!$X$35)),I134*1*1.2*1,IF(AND(EXACT(G134,'Data Base'!$T$36),OR(EXACT(H134,'Data Base'!$V$36),EXACT(H134,'Data Base'!$V$35)),EXACT(K134,'Data Base'!$X$36)),I134*1*1*0.75,IF(AND(EXACT(G134,'Data Base'!$T$36),EXACT(H134,'Data Base'!$V$37),EXACT(K134,'Data Base'!$X$36)),I134*1*0.5*0.75,IF(AND(EXACT(G134,'Data Base'!$T$36),EXACT(H134,'Data Base'!$V$38),EXACT(K134,'Data Base'!$X$36)),I134*1*1.2*0.75,IF(AND(EXACT(G134,'Data Base'!$T$36),OR(EXACT(H134,'Data Base'!$V$36),EXACT(H134,'Data Base'!$V$35)),EXACT(K134,'Data Base'!$X$37)),I134*1*1*0.5,IF(AND(EXACT(G134,'Data Base'!$T$36),EXACT(H134,'Data Base'!$V$37),EXACT(K134,'Data Base'!$X$37)),I134*1*0.5*0.5,IF(AND(EXACT(G134,'Data Base'!$T$36),EXACT(H134,'Data Base'!$V$38),EXACT(K134,'Data Base'!$X$37)),I134*1*1.2*0.5,IF(AND(EXACT(G134,'Data Base'!$T$37),OR(EXACT(H134,'Data Base'!$V$36),EXACT(H134,'Data Base'!$V$35)),EXACT(K134,'Data Base'!$X$35)),I134*1.25*1*1,IF(AND(EXACT(G134,'Data Base'!$T$37),EXACT(H134,'Data Base'!$V$37),EXACT(K134,'Data Base'!$X$35)),I134*1.25*0.5*1,IF(AND(EXACT(G134,'Data Base'!$T$37),EXACT(H134,'Data Base'!$V$38),EXACT(K134,'Data Base'!$X$35)),I134*1.25*1.2*1,IF(AND(EXACT(G134,'Data Base'!$T$37),OR(EXACT(H134,'Data Base'!$V$36),EXACT(H134,'Data Base'!$V$35)),EXACT(K134,'Data Base'!$X$36)),I134*1.25*1*0.75,IF(AND(EXACT(G134,'Data Base'!$T$37),EXACT(H134,'Data Base'!$V$37),EXACT(K134,'Data Base'!$X$36)),I134*1.25*0.5*0.75,IF(AND(EXACT(G134,'Data Base'!$T$37),EXACT(H134,'Data Base'!$V$38),EXACT(K134,'Data Base'!$X$36)),I134*1.25*1.2*0.75,IF(AND(EXACT(G134,'Data Base'!$T$37),OR(EXACT(H134,'Data Base'!$V$36),EXACT(H134,'Data Base'!$V$35)),EXACT(K134,'Data Base'!$X$37)),I134*1.25*1*0.5,IF(AND(EXACT(G134,'Data Base'!$T$37),EXACT(H134,'Data Base'!$V$37),EXACT(K134,'Data Base'!$X$37)),I134*1.25*0.5*0.5,IF(AND(EXACT(G134,'Data Base'!$T$37),EXACT(H134,'Data Base'!$V$38),EXACT(K134,'Data Base'!$X$37)),I134*1.25*1.2*0.5))))))))))))))))))))))))))),"")</f>
        <v/>
      </c>
    </row>
    <row r="135" spans="1:15" ht="21" customHeight="1">
      <c r="A135" s="99">
        <v>3</v>
      </c>
      <c r="B135" s="1349" t="str">
        <f t="shared" si="16"/>
        <v/>
      </c>
      <c r="C135" s="1350"/>
      <c r="D135" s="148" t="str">
        <f t="shared" si="17"/>
        <v/>
      </c>
      <c r="E135" s="1351"/>
      <c r="F135" s="1352"/>
      <c r="G135" s="165"/>
      <c r="H135" s="140"/>
      <c r="I135" s="4"/>
      <c r="J135" s="4"/>
      <c r="K135" s="140"/>
      <c r="L135" s="4" t="s">
        <v>652</v>
      </c>
      <c r="M135" s="166" t="str">
        <f>IF(AND(NOT(EXACT(D135,"")),NOT(EXACT(G135,"")),NOT(EXACT(E135,"")),NOT(EXACT(B135,"")),NOT(EXACT(I135,"")),NOT(EXACT(H135,""))),IF(AND(EXACT(G135,'Data Base'!$T$35),OR(EXACT(H135,'Data Base'!$V$36),EXACT(H135,'Data Base'!$V$35)),EXACT(K135,'Data Base'!$X$35)),I135*0.5*1*1,IF(AND(EXACT(G135,'Data Base'!$T$35),EXACT(H135,'Data Base'!$V$37),EXACT(K135,'Data Base'!$X$35)),I135*0.5*0.5*1,IF(AND(EXACT(G135,'Data Base'!$T$35),EXACT(H135,'Data Base'!$V$38),EXACT(K135,'Data Base'!$X$35)),I135*0.5*1.2*1,IF(AND(EXACT(G135,'Data Base'!$T$35),OR(EXACT(H135,'Data Base'!$V$36),EXACT(H135,'Data Base'!$V$35)),EXACT(K135,'Data Base'!$X$36)),I135*0.5*1*0.75,IF(AND(EXACT(G135,'Data Base'!$T$35),EXACT(H135,'Data Base'!$V$37),EXACT(K135,'Data Base'!$X$36)),I135*0.5*0.5*0.75,IF(AND(EXACT(G135,'Data Base'!$T$35),EXACT(H135,'Data Base'!$V$38),EXACT(K135,'Data Base'!$X$36)),I135*0.5*1.2*0.75,IF(AND(EXACT(G135,'Data Base'!$T$35),OR(EXACT(H135,'Data Base'!$V$36),EXACT(H135,'Data Base'!$V$35)),EXACT(K135,'Data Base'!$X$37)),I135*0.5*1*0.5,IF(AND(EXACT(G135,'Data Base'!$T$35),EXACT(H135,'Data Base'!$V$37),EXACT(K135,'Data Base'!$X$37)),I135*0.5*0.5*0.5,IF(AND(EXACT(G135,'Data Base'!$T$35),EXACT(H135,'Data Base'!$V$38),EXACT(K135,'Data Base'!$X$37)),I135*0.5*1.2*0.5,IF(AND(EXACT(G135,'Data Base'!$T$36),OR(EXACT(H135,'Data Base'!$V$36),EXACT(H135,'Data Base'!$V$35)),EXACT(K135,'Data Base'!$X$35)),I135*1*1*1,IF(AND(EXACT(G135,'Data Base'!$T$36),EXACT(H135,'Data Base'!$V$37),EXACT(K135,'Data Base'!$X$35)),I135*1*0.5*1,IF(AND(EXACT(G135,'Data Base'!$T$36),EXACT(H135,'Data Base'!$V$38),EXACT(K135,'Data Base'!$X$35)),I135*1*1.2*1,IF(AND(EXACT(G135,'Data Base'!$T$36),OR(EXACT(H135,'Data Base'!$V$36),EXACT(H135,'Data Base'!$V$35)),EXACT(K135,'Data Base'!$X$36)),I135*1*1*0.75,IF(AND(EXACT(G135,'Data Base'!$T$36),EXACT(H135,'Data Base'!$V$37),EXACT(K135,'Data Base'!$X$36)),I135*1*0.5*0.75,IF(AND(EXACT(G135,'Data Base'!$T$36),EXACT(H135,'Data Base'!$V$38),EXACT(K135,'Data Base'!$X$36)),I135*1*1.2*0.75,IF(AND(EXACT(G135,'Data Base'!$T$36),OR(EXACT(H135,'Data Base'!$V$36),EXACT(H135,'Data Base'!$V$35)),EXACT(K135,'Data Base'!$X$37)),I135*1*1*0.5,IF(AND(EXACT(G135,'Data Base'!$T$36),EXACT(H135,'Data Base'!$V$37),EXACT(K135,'Data Base'!$X$37)),I135*1*0.5*0.5,IF(AND(EXACT(G135,'Data Base'!$T$36),EXACT(H135,'Data Base'!$V$38),EXACT(K135,'Data Base'!$X$37)),I135*1*1.2*0.5,IF(AND(EXACT(G135,'Data Base'!$T$37),OR(EXACT(H135,'Data Base'!$V$36),EXACT(H135,'Data Base'!$V$35)),EXACT(K135,'Data Base'!$X$35)),I135*1.25*1*1,IF(AND(EXACT(G135,'Data Base'!$T$37),EXACT(H135,'Data Base'!$V$37),EXACT(K135,'Data Base'!$X$35)),I135*1.25*0.5*1,IF(AND(EXACT(G135,'Data Base'!$T$37),EXACT(H135,'Data Base'!$V$38),EXACT(K135,'Data Base'!$X$35)),I135*1.25*1.2*1,IF(AND(EXACT(G135,'Data Base'!$T$37),OR(EXACT(H135,'Data Base'!$V$36),EXACT(H135,'Data Base'!$V$35)),EXACT(K135,'Data Base'!$X$36)),I135*1.25*1*0.75,IF(AND(EXACT(G135,'Data Base'!$T$37),EXACT(H135,'Data Base'!$V$37),EXACT(K135,'Data Base'!$X$36)),I135*1.25*0.5*0.75,IF(AND(EXACT(G135,'Data Base'!$T$37),EXACT(H135,'Data Base'!$V$38),EXACT(K135,'Data Base'!$X$36)),I135*1.25*1.2*0.75,IF(AND(EXACT(G135,'Data Base'!$T$37),OR(EXACT(H135,'Data Base'!$V$36),EXACT(H135,'Data Base'!$V$35)),EXACT(K135,'Data Base'!$X$37)),I135*1.25*1*0.5,IF(AND(EXACT(G135,'Data Base'!$T$37),EXACT(H135,'Data Base'!$V$37),EXACT(K135,'Data Base'!$X$37)),I135*1.25*0.5*0.5,IF(AND(EXACT(G135,'Data Base'!$T$37),EXACT(H135,'Data Base'!$V$38),EXACT(K135,'Data Base'!$X$37)),I135*1.25*1.2*0.5))))))))))))))))))))))))))),"")</f>
        <v/>
      </c>
    </row>
    <row r="136" spans="1:15" ht="21" customHeight="1">
      <c r="A136" s="97">
        <v>4</v>
      </c>
      <c r="B136" s="1349" t="str">
        <f t="shared" si="16"/>
        <v/>
      </c>
      <c r="C136" s="1350"/>
      <c r="D136" s="148" t="str">
        <f t="shared" si="17"/>
        <v/>
      </c>
      <c r="E136" s="1351"/>
      <c r="F136" s="1352"/>
      <c r="G136" s="165"/>
      <c r="H136" s="140"/>
      <c r="I136" s="4"/>
      <c r="J136" s="4"/>
      <c r="K136" s="140"/>
      <c r="L136" s="4" t="s">
        <v>652</v>
      </c>
      <c r="M136" s="166" t="str">
        <f>IF(AND(NOT(EXACT(D136,"")),NOT(EXACT(G136,"")),NOT(EXACT(E136,"")),NOT(EXACT(B136,"")),NOT(EXACT(I136,"")),NOT(EXACT(H136,""))),IF(AND(EXACT(G136,'Data Base'!$T$35),OR(EXACT(H136,'Data Base'!$V$36),EXACT(H136,'Data Base'!$V$35)),EXACT(K136,'Data Base'!$X$35)),I136*0.5*1*1,IF(AND(EXACT(G136,'Data Base'!$T$35),EXACT(H136,'Data Base'!$V$37),EXACT(K136,'Data Base'!$X$35)),I136*0.5*0.5*1,IF(AND(EXACT(G136,'Data Base'!$T$35),EXACT(H136,'Data Base'!$V$38),EXACT(K136,'Data Base'!$X$35)),I136*0.5*1.2*1,IF(AND(EXACT(G136,'Data Base'!$T$35),OR(EXACT(H136,'Data Base'!$V$36),EXACT(H136,'Data Base'!$V$35)),EXACT(K136,'Data Base'!$X$36)),I136*0.5*1*0.75,IF(AND(EXACT(G136,'Data Base'!$T$35),EXACT(H136,'Data Base'!$V$37),EXACT(K136,'Data Base'!$X$36)),I136*0.5*0.5*0.75,IF(AND(EXACT(G136,'Data Base'!$T$35),EXACT(H136,'Data Base'!$V$38),EXACT(K136,'Data Base'!$X$36)),I136*0.5*1.2*0.75,IF(AND(EXACT(G136,'Data Base'!$T$35),OR(EXACT(H136,'Data Base'!$V$36),EXACT(H136,'Data Base'!$V$35)),EXACT(K136,'Data Base'!$X$37)),I136*0.5*1*0.5,IF(AND(EXACT(G136,'Data Base'!$T$35),EXACT(H136,'Data Base'!$V$37),EXACT(K136,'Data Base'!$X$37)),I136*0.5*0.5*0.5,IF(AND(EXACT(G136,'Data Base'!$T$35),EXACT(H136,'Data Base'!$V$38),EXACT(K136,'Data Base'!$X$37)),I136*0.5*1.2*0.5,IF(AND(EXACT(G136,'Data Base'!$T$36),OR(EXACT(H136,'Data Base'!$V$36),EXACT(H136,'Data Base'!$V$35)),EXACT(K136,'Data Base'!$X$35)),I136*1*1*1,IF(AND(EXACT(G136,'Data Base'!$T$36),EXACT(H136,'Data Base'!$V$37),EXACT(K136,'Data Base'!$X$35)),I136*1*0.5*1,IF(AND(EXACT(G136,'Data Base'!$T$36),EXACT(H136,'Data Base'!$V$38),EXACT(K136,'Data Base'!$X$35)),I136*1*1.2*1,IF(AND(EXACT(G136,'Data Base'!$T$36),OR(EXACT(H136,'Data Base'!$V$36),EXACT(H136,'Data Base'!$V$35)),EXACT(K136,'Data Base'!$X$36)),I136*1*1*0.75,IF(AND(EXACT(G136,'Data Base'!$T$36),EXACT(H136,'Data Base'!$V$37),EXACT(K136,'Data Base'!$X$36)),I136*1*0.5*0.75,IF(AND(EXACT(G136,'Data Base'!$T$36),EXACT(H136,'Data Base'!$V$38),EXACT(K136,'Data Base'!$X$36)),I136*1*1.2*0.75,IF(AND(EXACT(G136,'Data Base'!$T$36),OR(EXACT(H136,'Data Base'!$V$36),EXACT(H136,'Data Base'!$V$35)),EXACT(K136,'Data Base'!$X$37)),I136*1*1*0.5,IF(AND(EXACT(G136,'Data Base'!$T$36),EXACT(H136,'Data Base'!$V$37),EXACT(K136,'Data Base'!$X$37)),I136*1*0.5*0.5,IF(AND(EXACT(G136,'Data Base'!$T$36),EXACT(H136,'Data Base'!$V$38),EXACT(K136,'Data Base'!$X$37)),I136*1*1.2*0.5,IF(AND(EXACT(G136,'Data Base'!$T$37),OR(EXACT(H136,'Data Base'!$V$36),EXACT(H136,'Data Base'!$V$35)),EXACT(K136,'Data Base'!$X$35)),I136*1.25*1*1,IF(AND(EXACT(G136,'Data Base'!$T$37),EXACT(H136,'Data Base'!$V$37),EXACT(K136,'Data Base'!$X$35)),I136*1.25*0.5*1,IF(AND(EXACT(G136,'Data Base'!$T$37),EXACT(H136,'Data Base'!$V$38),EXACT(K136,'Data Base'!$X$35)),I136*1.25*1.2*1,IF(AND(EXACT(G136,'Data Base'!$T$37),OR(EXACT(H136,'Data Base'!$V$36),EXACT(H136,'Data Base'!$V$35)),EXACT(K136,'Data Base'!$X$36)),I136*1.25*1*0.75,IF(AND(EXACT(G136,'Data Base'!$T$37),EXACT(H136,'Data Base'!$V$37),EXACT(K136,'Data Base'!$X$36)),I136*1.25*0.5*0.75,IF(AND(EXACT(G136,'Data Base'!$T$37),EXACT(H136,'Data Base'!$V$38),EXACT(K136,'Data Base'!$X$36)),I136*1.25*1.2*0.75,IF(AND(EXACT(G136,'Data Base'!$T$37),OR(EXACT(H136,'Data Base'!$V$36),EXACT(H136,'Data Base'!$V$35)),EXACT(K136,'Data Base'!$X$37)),I136*1.25*1*0.5,IF(AND(EXACT(G136,'Data Base'!$T$37),EXACT(H136,'Data Base'!$V$37),EXACT(K136,'Data Base'!$X$37)),I136*1.25*0.5*0.5,IF(AND(EXACT(G136,'Data Base'!$T$37),EXACT(H136,'Data Base'!$V$38),EXACT(K136,'Data Base'!$X$37)),I136*1.25*1.2*0.5))))))))))))))))))))))))))),"")</f>
        <v/>
      </c>
    </row>
    <row r="137" spans="1:15" ht="21" customHeight="1">
      <c r="A137" s="99">
        <v>5</v>
      </c>
      <c r="B137" s="1349" t="str">
        <f t="shared" si="16"/>
        <v/>
      </c>
      <c r="C137" s="1350"/>
      <c r="D137" s="148" t="str">
        <f t="shared" si="17"/>
        <v/>
      </c>
      <c r="E137" s="1351"/>
      <c r="F137" s="1352"/>
      <c r="G137" s="165"/>
      <c r="H137" s="140"/>
      <c r="I137" s="4"/>
      <c r="J137" s="4"/>
      <c r="K137" s="140"/>
      <c r="L137" s="4" t="s">
        <v>652</v>
      </c>
      <c r="M137" s="166" t="str">
        <f>IF(AND(NOT(EXACT(D137,"")),NOT(EXACT(G137,"")),NOT(EXACT(E137,"")),NOT(EXACT(B137,"")),NOT(EXACT(I137,"")),NOT(EXACT(H137,""))),IF(AND(EXACT(G137,'Data Base'!$T$35),OR(EXACT(H137,'Data Base'!$V$36),EXACT(H137,'Data Base'!$V$35)),EXACT(K137,'Data Base'!$X$35)),I137*0.5*1*1,IF(AND(EXACT(G137,'Data Base'!$T$35),EXACT(H137,'Data Base'!$V$37),EXACT(K137,'Data Base'!$X$35)),I137*0.5*0.5*1,IF(AND(EXACT(G137,'Data Base'!$T$35),EXACT(H137,'Data Base'!$V$38),EXACT(K137,'Data Base'!$X$35)),I137*0.5*1.2*1,IF(AND(EXACT(G137,'Data Base'!$T$35),OR(EXACT(H137,'Data Base'!$V$36),EXACT(H137,'Data Base'!$V$35)),EXACT(K137,'Data Base'!$X$36)),I137*0.5*1*0.75,IF(AND(EXACT(G137,'Data Base'!$T$35),EXACT(H137,'Data Base'!$V$37),EXACT(K137,'Data Base'!$X$36)),I137*0.5*0.5*0.75,IF(AND(EXACT(G137,'Data Base'!$T$35),EXACT(H137,'Data Base'!$V$38),EXACT(K137,'Data Base'!$X$36)),I137*0.5*1.2*0.75,IF(AND(EXACT(G137,'Data Base'!$T$35),OR(EXACT(H137,'Data Base'!$V$36),EXACT(H137,'Data Base'!$V$35)),EXACT(K137,'Data Base'!$X$37)),I137*0.5*1*0.5,IF(AND(EXACT(G137,'Data Base'!$T$35),EXACT(H137,'Data Base'!$V$37),EXACT(K137,'Data Base'!$X$37)),I137*0.5*0.5*0.5,IF(AND(EXACT(G137,'Data Base'!$T$35),EXACT(H137,'Data Base'!$V$38),EXACT(K137,'Data Base'!$X$37)),I137*0.5*1.2*0.5,IF(AND(EXACT(G137,'Data Base'!$T$36),OR(EXACT(H137,'Data Base'!$V$36),EXACT(H137,'Data Base'!$V$35)),EXACT(K137,'Data Base'!$X$35)),I137*1*1*1,IF(AND(EXACT(G137,'Data Base'!$T$36),EXACT(H137,'Data Base'!$V$37),EXACT(K137,'Data Base'!$X$35)),I137*1*0.5*1,IF(AND(EXACT(G137,'Data Base'!$T$36),EXACT(H137,'Data Base'!$V$38),EXACT(K137,'Data Base'!$X$35)),I137*1*1.2*1,IF(AND(EXACT(G137,'Data Base'!$T$36),OR(EXACT(H137,'Data Base'!$V$36),EXACT(H137,'Data Base'!$V$35)),EXACT(K137,'Data Base'!$X$36)),I137*1*1*0.75,IF(AND(EXACT(G137,'Data Base'!$T$36),EXACT(H137,'Data Base'!$V$37),EXACT(K137,'Data Base'!$X$36)),I137*1*0.5*0.75,IF(AND(EXACT(G137,'Data Base'!$T$36),EXACT(H137,'Data Base'!$V$38),EXACT(K137,'Data Base'!$X$36)),I137*1*1.2*0.75,IF(AND(EXACT(G137,'Data Base'!$T$36),OR(EXACT(H137,'Data Base'!$V$36),EXACT(H137,'Data Base'!$V$35)),EXACT(K137,'Data Base'!$X$37)),I137*1*1*0.5,IF(AND(EXACT(G137,'Data Base'!$T$36),EXACT(H137,'Data Base'!$V$37),EXACT(K137,'Data Base'!$X$37)),I137*1*0.5*0.5,IF(AND(EXACT(G137,'Data Base'!$T$36),EXACT(H137,'Data Base'!$V$38),EXACT(K137,'Data Base'!$X$37)),I137*1*1.2*0.5,IF(AND(EXACT(G137,'Data Base'!$T$37),OR(EXACT(H137,'Data Base'!$V$36),EXACT(H137,'Data Base'!$V$35)),EXACT(K137,'Data Base'!$X$35)),I137*1.25*1*1,IF(AND(EXACT(G137,'Data Base'!$T$37),EXACT(H137,'Data Base'!$V$37),EXACT(K137,'Data Base'!$X$35)),I137*1.25*0.5*1,IF(AND(EXACT(G137,'Data Base'!$T$37),EXACT(H137,'Data Base'!$V$38),EXACT(K137,'Data Base'!$X$35)),I137*1.25*1.2*1,IF(AND(EXACT(G137,'Data Base'!$T$37),OR(EXACT(H137,'Data Base'!$V$36),EXACT(H137,'Data Base'!$V$35)),EXACT(K137,'Data Base'!$X$36)),I137*1.25*1*0.75,IF(AND(EXACT(G137,'Data Base'!$T$37),EXACT(H137,'Data Base'!$V$37),EXACT(K137,'Data Base'!$X$36)),I137*1.25*0.5*0.75,IF(AND(EXACT(G137,'Data Base'!$T$37),EXACT(H137,'Data Base'!$V$38),EXACT(K137,'Data Base'!$X$36)),I137*1.25*1.2*0.75,IF(AND(EXACT(G137,'Data Base'!$T$37),OR(EXACT(H137,'Data Base'!$V$36),EXACT(H137,'Data Base'!$V$35)),EXACT(K137,'Data Base'!$X$37)),I137*1.25*1*0.5,IF(AND(EXACT(G137,'Data Base'!$T$37),EXACT(H137,'Data Base'!$V$37),EXACT(K137,'Data Base'!$X$37)),I137*1.25*0.5*0.5,IF(AND(EXACT(G137,'Data Base'!$T$37),EXACT(H137,'Data Base'!$V$38),EXACT(K137,'Data Base'!$X$37)),I137*1.25*1.2*0.5))))))))))))))))))))))))))),"")</f>
        <v/>
      </c>
    </row>
    <row r="138" spans="1:15" ht="21" customHeight="1">
      <c r="A138" s="99">
        <v>6</v>
      </c>
      <c r="B138" s="1349" t="str">
        <f t="shared" si="16"/>
        <v/>
      </c>
      <c r="C138" s="1350"/>
      <c r="D138" s="148" t="str">
        <f t="shared" si="17"/>
        <v/>
      </c>
      <c r="E138" s="1351"/>
      <c r="F138" s="1352"/>
      <c r="G138" s="165"/>
      <c r="H138" s="140"/>
      <c r="I138" s="4"/>
      <c r="J138" s="4"/>
      <c r="K138" s="140"/>
      <c r="L138" s="4" t="s">
        <v>652</v>
      </c>
      <c r="M138" s="166" t="str">
        <f>IF(AND(NOT(EXACT(D138,"")),NOT(EXACT(G138,"")),NOT(EXACT(E138,"")),NOT(EXACT(B138,"")),NOT(EXACT(I138,"")),NOT(EXACT(H138,""))),IF(AND(EXACT(G138,'Data Base'!$T$35),OR(EXACT(H138,'Data Base'!$V$36),EXACT(H138,'Data Base'!$V$35)),EXACT(K138,'Data Base'!$X$35)),I138*0.5*1*1,IF(AND(EXACT(G138,'Data Base'!$T$35),EXACT(H138,'Data Base'!$V$37),EXACT(K138,'Data Base'!$X$35)),I138*0.5*0.5*1,IF(AND(EXACT(G138,'Data Base'!$T$35),EXACT(H138,'Data Base'!$V$38),EXACT(K138,'Data Base'!$X$35)),I138*0.5*1.2*1,IF(AND(EXACT(G138,'Data Base'!$T$35),OR(EXACT(H138,'Data Base'!$V$36),EXACT(H138,'Data Base'!$V$35)),EXACT(K138,'Data Base'!$X$36)),I138*0.5*1*0.75,IF(AND(EXACT(G138,'Data Base'!$T$35),EXACT(H138,'Data Base'!$V$37),EXACT(K138,'Data Base'!$X$36)),I138*0.5*0.5*0.75,IF(AND(EXACT(G138,'Data Base'!$T$35),EXACT(H138,'Data Base'!$V$38),EXACT(K138,'Data Base'!$X$36)),I138*0.5*1.2*0.75,IF(AND(EXACT(G138,'Data Base'!$T$35),OR(EXACT(H138,'Data Base'!$V$36),EXACT(H138,'Data Base'!$V$35)),EXACT(K138,'Data Base'!$X$37)),I138*0.5*1*0.5,IF(AND(EXACT(G138,'Data Base'!$T$35),EXACT(H138,'Data Base'!$V$37),EXACT(K138,'Data Base'!$X$37)),I138*0.5*0.5*0.5,IF(AND(EXACT(G138,'Data Base'!$T$35),EXACT(H138,'Data Base'!$V$38),EXACT(K138,'Data Base'!$X$37)),I138*0.5*1.2*0.5,IF(AND(EXACT(G138,'Data Base'!$T$36),OR(EXACT(H138,'Data Base'!$V$36),EXACT(H138,'Data Base'!$V$35)),EXACT(K138,'Data Base'!$X$35)),I138*1*1*1,IF(AND(EXACT(G138,'Data Base'!$T$36),EXACT(H138,'Data Base'!$V$37),EXACT(K138,'Data Base'!$X$35)),I138*1*0.5*1,IF(AND(EXACT(G138,'Data Base'!$T$36),EXACT(H138,'Data Base'!$V$38),EXACT(K138,'Data Base'!$X$35)),I138*1*1.2*1,IF(AND(EXACT(G138,'Data Base'!$T$36),OR(EXACT(H138,'Data Base'!$V$36),EXACT(H138,'Data Base'!$V$35)),EXACT(K138,'Data Base'!$X$36)),I138*1*1*0.75,IF(AND(EXACT(G138,'Data Base'!$T$36),EXACT(H138,'Data Base'!$V$37),EXACT(K138,'Data Base'!$X$36)),I138*1*0.5*0.75,IF(AND(EXACT(G138,'Data Base'!$T$36),EXACT(H138,'Data Base'!$V$38),EXACT(K138,'Data Base'!$X$36)),I138*1*1.2*0.75,IF(AND(EXACT(G138,'Data Base'!$T$36),OR(EXACT(H138,'Data Base'!$V$36),EXACT(H138,'Data Base'!$V$35)),EXACT(K138,'Data Base'!$X$37)),I138*1*1*0.5,IF(AND(EXACT(G138,'Data Base'!$T$36),EXACT(H138,'Data Base'!$V$37),EXACT(K138,'Data Base'!$X$37)),I138*1*0.5*0.5,IF(AND(EXACT(G138,'Data Base'!$T$36),EXACT(H138,'Data Base'!$V$38),EXACT(K138,'Data Base'!$X$37)),I138*1*1.2*0.5,IF(AND(EXACT(G138,'Data Base'!$T$37),OR(EXACT(H138,'Data Base'!$V$36),EXACT(H138,'Data Base'!$V$35)),EXACT(K138,'Data Base'!$X$35)),I138*1.25*1*1,IF(AND(EXACT(G138,'Data Base'!$T$37),EXACT(H138,'Data Base'!$V$37),EXACT(K138,'Data Base'!$X$35)),I138*1.25*0.5*1,IF(AND(EXACT(G138,'Data Base'!$T$37),EXACT(H138,'Data Base'!$V$38),EXACT(K138,'Data Base'!$X$35)),I138*1.25*1.2*1,IF(AND(EXACT(G138,'Data Base'!$T$37),OR(EXACT(H138,'Data Base'!$V$36),EXACT(H138,'Data Base'!$V$35)),EXACT(K138,'Data Base'!$X$36)),I138*1.25*1*0.75,IF(AND(EXACT(G138,'Data Base'!$T$37),EXACT(H138,'Data Base'!$V$37),EXACT(K138,'Data Base'!$X$36)),I138*1.25*0.5*0.75,IF(AND(EXACT(G138,'Data Base'!$T$37),EXACT(H138,'Data Base'!$V$38),EXACT(K138,'Data Base'!$X$36)),I138*1.25*1.2*0.75,IF(AND(EXACT(G138,'Data Base'!$T$37),OR(EXACT(H138,'Data Base'!$V$36),EXACT(H138,'Data Base'!$V$35)),EXACT(K138,'Data Base'!$X$37)),I138*1.25*1*0.5,IF(AND(EXACT(G138,'Data Base'!$T$37),EXACT(H138,'Data Base'!$V$37),EXACT(K138,'Data Base'!$X$37)),I138*1.25*0.5*0.5,IF(AND(EXACT(G138,'Data Base'!$T$37),EXACT(H138,'Data Base'!$V$38),EXACT(K138,'Data Base'!$X$37)),I138*1.25*1.2*0.5))))))))))))))))))))))))))),"")</f>
        <v/>
      </c>
    </row>
    <row r="139" spans="1:15" ht="21" customHeight="1">
      <c r="A139" s="97">
        <v>7</v>
      </c>
      <c r="B139" s="1349" t="str">
        <f t="shared" si="16"/>
        <v/>
      </c>
      <c r="C139" s="1350"/>
      <c r="D139" s="148" t="str">
        <f t="shared" si="17"/>
        <v/>
      </c>
      <c r="E139" s="1351"/>
      <c r="F139" s="1352"/>
      <c r="G139" s="165"/>
      <c r="H139" s="140"/>
      <c r="I139" s="4"/>
      <c r="J139" s="4"/>
      <c r="K139" s="140"/>
      <c r="L139" s="4" t="s">
        <v>652</v>
      </c>
      <c r="M139" s="166" t="str">
        <f>IF(AND(NOT(EXACT(D139,"")),NOT(EXACT(G139,"")),NOT(EXACT(E139,"")),NOT(EXACT(B139,"")),NOT(EXACT(I139,"")),NOT(EXACT(H139,""))),IF(AND(EXACT(G139,'Data Base'!$T$35),OR(EXACT(H139,'Data Base'!$V$36),EXACT(H139,'Data Base'!$V$35)),EXACT(K139,'Data Base'!$X$35)),I139*0.5*1*1,IF(AND(EXACT(G139,'Data Base'!$T$35),EXACT(H139,'Data Base'!$V$37),EXACT(K139,'Data Base'!$X$35)),I139*0.5*0.5*1,IF(AND(EXACT(G139,'Data Base'!$T$35),EXACT(H139,'Data Base'!$V$38),EXACT(K139,'Data Base'!$X$35)),I139*0.5*1.2*1,IF(AND(EXACT(G139,'Data Base'!$T$35),OR(EXACT(H139,'Data Base'!$V$36),EXACT(H139,'Data Base'!$V$35)),EXACT(K139,'Data Base'!$X$36)),I139*0.5*1*0.75,IF(AND(EXACT(G139,'Data Base'!$T$35),EXACT(H139,'Data Base'!$V$37),EXACT(K139,'Data Base'!$X$36)),I139*0.5*0.5*0.75,IF(AND(EXACT(G139,'Data Base'!$T$35),EXACT(H139,'Data Base'!$V$38),EXACT(K139,'Data Base'!$X$36)),I139*0.5*1.2*0.75,IF(AND(EXACT(G139,'Data Base'!$T$35),OR(EXACT(H139,'Data Base'!$V$36),EXACT(H139,'Data Base'!$V$35)),EXACT(K139,'Data Base'!$X$37)),I139*0.5*1*0.5,IF(AND(EXACT(G139,'Data Base'!$T$35),EXACT(H139,'Data Base'!$V$37),EXACT(K139,'Data Base'!$X$37)),I139*0.5*0.5*0.5,IF(AND(EXACT(G139,'Data Base'!$T$35),EXACT(H139,'Data Base'!$V$38),EXACT(K139,'Data Base'!$X$37)),I139*0.5*1.2*0.5,IF(AND(EXACT(G139,'Data Base'!$T$36),OR(EXACT(H139,'Data Base'!$V$36),EXACT(H139,'Data Base'!$V$35)),EXACT(K139,'Data Base'!$X$35)),I139*1*1*1,IF(AND(EXACT(G139,'Data Base'!$T$36),EXACT(H139,'Data Base'!$V$37),EXACT(K139,'Data Base'!$X$35)),I139*1*0.5*1,IF(AND(EXACT(G139,'Data Base'!$T$36),EXACT(H139,'Data Base'!$V$38),EXACT(K139,'Data Base'!$X$35)),I139*1*1.2*1,IF(AND(EXACT(G139,'Data Base'!$T$36),OR(EXACT(H139,'Data Base'!$V$36),EXACT(H139,'Data Base'!$V$35)),EXACT(K139,'Data Base'!$X$36)),I139*1*1*0.75,IF(AND(EXACT(G139,'Data Base'!$T$36),EXACT(H139,'Data Base'!$V$37),EXACT(K139,'Data Base'!$X$36)),I139*1*0.5*0.75,IF(AND(EXACT(G139,'Data Base'!$T$36),EXACT(H139,'Data Base'!$V$38),EXACT(K139,'Data Base'!$X$36)),I139*1*1.2*0.75,IF(AND(EXACT(G139,'Data Base'!$T$36),OR(EXACT(H139,'Data Base'!$V$36),EXACT(H139,'Data Base'!$V$35)),EXACT(K139,'Data Base'!$X$37)),I139*1*1*0.5,IF(AND(EXACT(G139,'Data Base'!$T$36),EXACT(H139,'Data Base'!$V$37),EXACT(K139,'Data Base'!$X$37)),I139*1*0.5*0.5,IF(AND(EXACT(G139,'Data Base'!$T$36),EXACT(H139,'Data Base'!$V$38),EXACT(K139,'Data Base'!$X$37)),I139*1*1.2*0.5,IF(AND(EXACT(G139,'Data Base'!$T$37),OR(EXACT(H139,'Data Base'!$V$36),EXACT(H139,'Data Base'!$V$35)),EXACT(K139,'Data Base'!$X$35)),I139*1.25*1*1,IF(AND(EXACT(G139,'Data Base'!$T$37),EXACT(H139,'Data Base'!$V$37),EXACT(K139,'Data Base'!$X$35)),I139*1.25*0.5*1,IF(AND(EXACT(G139,'Data Base'!$T$37),EXACT(H139,'Data Base'!$V$38),EXACT(K139,'Data Base'!$X$35)),I139*1.25*1.2*1,IF(AND(EXACT(G139,'Data Base'!$T$37),OR(EXACT(H139,'Data Base'!$V$36),EXACT(H139,'Data Base'!$V$35)),EXACT(K139,'Data Base'!$X$36)),I139*1.25*1*0.75,IF(AND(EXACT(G139,'Data Base'!$T$37),EXACT(H139,'Data Base'!$V$37),EXACT(K139,'Data Base'!$X$36)),I139*1.25*0.5*0.75,IF(AND(EXACT(G139,'Data Base'!$T$37),EXACT(H139,'Data Base'!$V$38),EXACT(K139,'Data Base'!$X$36)),I139*1.25*1.2*0.75,IF(AND(EXACT(G139,'Data Base'!$T$37),OR(EXACT(H139,'Data Base'!$V$36),EXACT(H139,'Data Base'!$V$35)),EXACT(K139,'Data Base'!$X$37)),I139*1.25*1*0.5,IF(AND(EXACT(G139,'Data Base'!$T$37),EXACT(H139,'Data Base'!$V$37),EXACT(K139,'Data Base'!$X$37)),I139*1.25*0.5*0.5,IF(AND(EXACT(G139,'Data Base'!$T$37),EXACT(H139,'Data Base'!$V$38),EXACT(K139,'Data Base'!$X$37)),I139*1.25*1.2*0.5))))))))))))))))))))))))))),"")</f>
        <v/>
      </c>
    </row>
    <row r="140" spans="1:15" ht="21" customHeight="1">
      <c r="A140" s="99">
        <v>8</v>
      </c>
      <c r="B140" s="1349" t="str">
        <f t="shared" si="16"/>
        <v/>
      </c>
      <c r="C140" s="1350"/>
      <c r="D140" s="148" t="str">
        <f t="shared" si="17"/>
        <v/>
      </c>
      <c r="E140" s="1351"/>
      <c r="F140" s="1352"/>
      <c r="G140" s="165"/>
      <c r="H140" s="140"/>
      <c r="I140" s="4"/>
      <c r="J140" s="4"/>
      <c r="K140" s="140"/>
      <c r="L140" s="4" t="s">
        <v>652</v>
      </c>
      <c r="M140" s="166" t="str">
        <f>IF(AND(NOT(EXACT(D140,"")),NOT(EXACT(G140,"")),NOT(EXACT(E140,"")),NOT(EXACT(B140,"")),NOT(EXACT(I140,"")),NOT(EXACT(H140,""))),IF(AND(EXACT(G140,'Data Base'!$T$35),OR(EXACT(H140,'Data Base'!$V$36),EXACT(H140,'Data Base'!$V$35)),EXACT(K140,'Data Base'!$X$35)),I140*0.5*1*1,IF(AND(EXACT(G140,'Data Base'!$T$35),EXACT(H140,'Data Base'!$V$37),EXACT(K140,'Data Base'!$X$35)),I140*0.5*0.5*1,IF(AND(EXACT(G140,'Data Base'!$T$35),EXACT(H140,'Data Base'!$V$38),EXACT(K140,'Data Base'!$X$35)),I140*0.5*1.2*1,IF(AND(EXACT(G140,'Data Base'!$T$35),OR(EXACT(H140,'Data Base'!$V$36),EXACT(H140,'Data Base'!$V$35)),EXACT(K140,'Data Base'!$X$36)),I140*0.5*1*0.75,IF(AND(EXACT(G140,'Data Base'!$T$35),EXACT(H140,'Data Base'!$V$37),EXACT(K140,'Data Base'!$X$36)),I140*0.5*0.5*0.75,IF(AND(EXACT(G140,'Data Base'!$T$35),EXACT(H140,'Data Base'!$V$38),EXACT(K140,'Data Base'!$X$36)),I140*0.5*1.2*0.75,IF(AND(EXACT(G140,'Data Base'!$T$35),OR(EXACT(H140,'Data Base'!$V$36),EXACT(H140,'Data Base'!$V$35)),EXACT(K140,'Data Base'!$X$37)),I140*0.5*1*0.5,IF(AND(EXACT(G140,'Data Base'!$T$35),EXACT(H140,'Data Base'!$V$37),EXACT(K140,'Data Base'!$X$37)),I140*0.5*0.5*0.5,IF(AND(EXACT(G140,'Data Base'!$T$35),EXACT(H140,'Data Base'!$V$38),EXACT(K140,'Data Base'!$X$37)),I140*0.5*1.2*0.5,IF(AND(EXACT(G140,'Data Base'!$T$36),OR(EXACT(H140,'Data Base'!$V$36),EXACT(H140,'Data Base'!$V$35)),EXACT(K140,'Data Base'!$X$35)),I140*1*1*1,IF(AND(EXACT(G140,'Data Base'!$T$36),EXACT(H140,'Data Base'!$V$37),EXACT(K140,'Data Base'!$X$35)),I140*1*0.5*1,IF(AND(EXACT(G140,'Data Base'!$T$36),EXACT(H140,'Data Base'!$V$38),EXACT(K140,'Data Base'!$X$35)),I140*1*1.2*1,IF(AND(EXACT(G140,'Data Base'!$T$36),OR(EXACT(H140,'Data Base'!$V$36),EXACT(H140,'Data Base'!$V$35)),EXACT(K140,'Data Base'!$X$36)),I140*1*1*0.75,IF(AND(EXACT(G140,'Data Base'!$T$36),EXACT(H140,'Data Base'!$V$37),EXACT(K140,'Data Base'!$X$36)),I140*1*0.5*0.75,IF(AND(EXACT(G140,'Data Base'!$T$36),EXACT(H140,'Data Base'!$V$38),EXACT(K140,'Data Base'!$X$36)),I140*1*1.2*0.75,IF(AND(EXACT(G140,'Data Base'!$T$36),OR(EXACT(H140,'Data Base'!$V$36),EXACT(H140,'Data Base'!$V$35)),EXACT(K140,'Data Base'!$X$37)),I140*1*1*0.5,IF(AND(EXACT(G140,'Data Base'!$T$36),EXACT(H140,'Data Base'!$V$37),EXACT(K140,'Data Base'!$X$37)),I140*1*0.5*0.5,IF(AND(EXACT(G140,'Data Base'!$T$36),EXACT(H140,'Data Base'!$V$38),EXACT(K140,'Data Base'!$X$37)),I140*1*1.2*0.5,IF(AND(EXACT(G140,'Data Base'!$T$37),OR(EXACT(H140,'Data Base'!$V$36),EXACT(H140,'Data Base'!$V$35)),EXACT(K140,'Data Base'!$X$35)),I140*1.25*1*1,IF(AND(EXACT(G140,'Data Base'!$T$37),EXACT(H140,'Data Base'!$V$37),EXACT(K140,'Data Base'!$X$35)),I140*1.25*0.5*1,IF(AND(EXACT(G140,'Data Base'!$T$37),EXACT(H140,'Data Base'!$V$38),EXACT(K140,'Data Base'!$X$35)),I140*1.25*1.2*1,IF(AND(EXACT(G140,'Data Base'!$T$37),OR(EXACT(H140,'Data Base'!$V$36),EXACT(H140,'Data Base'!$V$35)),EXACT(K140,'Data Base'!$X$36)),I140*1.25*1*0.75,IF(AND(EXACT(G140,'Data Base'!$T$37),EXACT(H140,'Data Base'!$V$37),EXACT(K140,'Data Base'!$X$36)),I140*1.25*0.5*0.75,IF(AND(EXACT(G140,'Data Base'!$T$37),EXACT(H140,'Data Base'!$V$38),EXACT(K140,'Data Base'!$X$36)),I140*1.25*1.2*0.75,IF(AND(EXACT(G140,'Data Base'!$T$37),OR(EXACT(H140,'Data Base'!$V$36),EXACT(H140,'Data Base'!$V$35)),EXACT(K140,'Data Base'!$X$37)),I140*1.25*1*0.5,IF(AND(EXACT(G140,'Data Base'!$T$37),EXACT(H140,'Data Base'!$V$37),EXACT(K140,'Data Base'!$X$37)),I140*1.25*0.5*0.5,IF(AND(EXACT(G140,'Data Base'!$T$37),EXACT(H140,'Data Base'!$V$38),EXACT(K140,'Data Base'!$X$37)),I140*1.25*1.2*0.5))))))))))))))))))))))))))),"")</f>
        <v/>
      </c>
    </row>
    <row r="141" spans="1:15" ht="21" customHeight="1">
      <c r="A141" s="99">
        <v>9</v>
      </c>
      <c r="B141" s="1349" t="str">
        <f t="shared" si="16"/>
        <v/>
      </c>
      <c r="C141" s="1350"/>
      <c r="D141" s="148" t="str">
        <f t="shared" si="17"/>
        <v/>
      </c>
      <c r="E141" s="1351"/>
      <c r="F141" s="1352"/>
      <c r="G141" s="165"/>
      <c r="H141" s="140"/>
      <c r="I141" s="4"/>
      <c r="J141" s="4"/>
      <c r="K141" s="140"/>
      <c r="L141" s="4" t="s">
        <v>652</v>
      </c>
      <c r="M141" s="166" t="str">
        <f>IF(AND(NOT(EXACT(D141,"")),NOT(EXACT(G141,"")),NOT(EXACT(E141,"")),NOT(EXACT(B141,"")),NOT(EXACT(I141,"")),NOT(EXACT(H141,""))),IF(AND(EXACT(G141,'Data Base'!$T$35),OR(EXACT(H141,'Data Base'!$V$36),EXACT(H141,'Data Base'!$V$35)),EXACT(K141,'Data Base'!$X$35)),I141*0.5*1*1,IF(AND(EXACT(G141,'Data Base'!$T$35),EXACT(H141,'Data Base'!$V$37),EXACT(K141,'Data Base'!$X$35)),I141*0.5*0.5*1,IF(AND(EXACT(G141,'Data Base'!$T$35),EXACT(H141,'Data Base'!$V$38),EXACT(K141,'Data Base'!$X$35)),I141*0.5*1.2*1,IF(AND(EXACT(G141,'Data Base'!$T$35),OR(EXACT(H141,'Data Base'!$V$36),EXACT(H141,'Data Base'!$V$35)),EXACT(K141,'Data Base'!$X$36)),I141*0.5*1*0.75,IF(AND(EXACT(G141,'Data Base'!$T$35),EXACT(H141,'Data Base'!$V$37),EXACT(K141,'Data Base'!$X$36)),I141*0.5*0.5*0.75,IF(AND(EXACT(G141,'Data Base'!$T$35),EXACT(H141,'Data Base'!$V$38),EXACT(K141,'Data Base'!$X$36)),I141*0.5*1.2*0.75,IF(AND(EXACT(G141,'Data Base'!$T$35),OR(EXACT(H141,'Data Base'!$V$36),EXACT(H141,'Data Base'!$V$35)),EXACT(K141,'Data Base'!$X$37)),I141*0.5*1*0.5,IF(AND(EXACT(G141,'Data Base'!$T$35),EXACT(H141,'Data Base'!$V$37),EXACT(K141,'Data Base'!$X$37)),I141*0.5*0.5*0.5,IF(AND(EXACT(G141,'Data Base'!$T$35),EXACT(H141,'Data Base'!$V$38),EXACT(K141,'Data Base'!$X$37)),I141*0.5*1.2*0.5,IF(AND(EXACT(G141,'Data Base'!$T$36),OR(EXACT(H141,'Data Base'!$V$36),EXACT(H141,'Data Base'!$V$35)),EXACT(K141,'Data Base'!$X$35)),I141*1*1*1,IF(AND(EXACT(G141,'Data Base'!$T$36),EXACT(H141,'Data Base'!$V$37),EXACT(K141,'Data Base'!$X$35)),I141*1*0.5*1,IF(AND(EXACT(G141,'Data Base'!$T$36),EXACT(H141,'Data Base'!$V$38),EXACT(K141,'Data Base'!$X$35)),I141*1*1.2*1,IF(AND(EXACT(G141,'Data Base'!$T$36),OR(EXACT(H141,'Data Base'!$V$36),EXACT(H141,'Data Base'!$V$35)),EXACT(K141,'Data Base'!$X$36)),I141*1*1*0.75,IF(AND(EXACT(G141,'Data Base'!$T$36),EXACT(H141,'Data Base'!$V$37),EXACT(K141,'Data Base'!$X$36)),I141*1*0.5*0.75,IF(AND(EXACT(G141,'Data Base'!$T$36),EXACT(H141,'Data Base'!$V$38),EXACT(K141,'Data Base'!$X$36)),I141*1*1.2*0.75,IF(AND(EXACT(G141,'Data Base'!$T$36),OR(EXACT(H141,'Data Base'!$V$36),EXACT(H141,'Data Base'!$V$35)),EXACT(K141,'Data Base'!$X$37)),I141*1*1*0.5,IF(AND(EXACT(G141,'Data Base'!$T$36),EXACT(H141,'Data Base'!$V$37),EXACT(K141,'Data Base'!$X$37)),I141*1*0.5*0.5,IF(AND(EXACT(G141,'Data Base'!$T$36),EXACT(H141,'Data Base'!$V$38),EXACT(K141,'Data Base'!$X$37)),I141*1*1.2*0.5,IF(AND(EXACT(G141,'Data Base'!$T$37),OR(EXACT(H141,'Data Base'!$V$36),EXACT(H141,'Data Base'!$V$35)),EXACT(K141,'Data Base'!$X$35)),I141*1.25*1*1,IF(AND(EXACT(G141,'Data Base'!$T$37),EXACT(H141,'Data Base'!$V$37),EXACT(K141,'Data Base'!$X$35)),I141*1.25*0.5*1,IF(AND(EXACT(G141,'Data Base'!$T$37),EXACT(H141,'Data Base'!$V$38),EXACT(K141,'Data Base'!$X$35)),I141*1.25*1.2*1,IF(AND(EXACT(G141,'Data Base'!$T$37),OR(EXACT(H141,'Data Base'!$V$36),EXACT(H141,'Data Base'!$V$35)),EXACT(K141,'Data Base'!$X$36)),I141*1.25*1*0.75,IF(AND(EXACT(G141,'Data Base'!$T$37),EXACT(H141,'Data Base'!$V$37),EXACT(K141,'Data Base'!$X$36)),I141*1.25*0.5*0.75,IF(AND(EXACT(G141,'Data Base'!$T$37),EXACT(H141,'Data Base'!$V$38),EXACT(K141,'Data Base'!$X$36)),I141*1.25*1.2*0.75,IF(AND(EXACT(G141,'Data Base'!$T$37),OR(EXACT(H141,'Data Base'!$V$36),EXACT(H141,'Data Base'!$V$35)),EXACT(K141,'Data Base'!$X$37)),I141*1.25*1*0.5,IF(AND(EXACT(G141,'Data Base'!$T$37),EXACT(H141,'Data Base'!$V$37),EXACT(K141,'Data Base'!$X$37)),I141*1.25*0.5*0.5,IF(AND(EXACT(G141,'Data Base'!$T$37),EXACT(H141,'Data Base'!$V$38),EXACT(K141,'Data Base'!$X$37)),I141*1.25*1.2*0.5))))))))))))))))))))))))))),"")</f>
        <v/>
      </c>
    </row>
    <row r="142" spans="1:15" ht="21" customHeight="1">
      <c r="A142" s="97">
        <v>10</v>
      </c>
      <c r="B142" s="1349" t="str">
        <f t="shared" si="16"/>
        <v/>
      </c>
      <c r="C142" s="1350"/>
      <c r="D142" s="148" t="str">
        <f t="shared" si="17"/>
        <v/>
      </c>
      <c r="E142" s="1351"/>
      <c r="F142" s="1352"/>
      <c r="G142" s="165"/>
      <c r="H142" s="140"/>
      <c r="I142" s="4"/>
      <c r="J142" s="4"/>
      <c r="K142" s="140"/>
      <c r="L142" s="4" t="s">
        <v>652</v>
      </c>
      <c r="M142" s="166" t="str">
        <f>IF(AND(NOT(EXACT(D142,"")),NOT(EXACT(G142,"")),NOT(EXACT(E142,"")),NOT(EXACT(B142,"")),NOT(EXACT(I142,"")),NOT(EXACT(H142,""))),IF(AND(EXACT(G142,'Data Base'!$T$35),OR(EXACT(H142,'Data Base'!$V$36),EXACT(H142,'Data Base'!$V$35)),EXACT(K142,'Data Base'!$X$35)),I142*0.5*1*1,IF(AND(EXACT(G142,'Data Base'!$T$35),EXACT(H142,'Data Base'!$V$37),EXACT(K142,'Data Base'!$X$35)),I142*0.5*0.5*1,IF(AND(EXACT(G142,'Data Base'!$T$35),EXACT(H142,'Data Base'!$V$38),EXACT(K142,'Data Base'!$X$35)),I142*0.5*1.2*1,IF(AND(EXACT(G142,'Data Base'!$T$35),OR(EXACT(H142,'Data Base'!$V$36),EXACT(H142,'Data Base'!$V$35)),EXACT(K142,'Data Base'!$X$36)),I142*0.5*1*0.75,IF(AND(EXACT(G142,'Data Base'!$T$35),EXACT(H142,'Data Base'!$V$37),EXACT(K142,'Data Base'!$X$36)),I142*0.5*0.5*0.75,IF(AND(EXACT(G142,'Data Base'!$T$35),EXACT(H142,'Data Base'!$V$38),EXACT(K142,'Data Base'!$X$36)),I142*0.5*1.2*0.75,IF(AND(EXACT(G142,'Data Base'!$T$35),OR(EXACT(H142,'Data Base'!$V$36),EXACT(H142,'Data Base'!$V$35)),EXACT(K142,'Data Base'!$X$37)),I142*0.5*1*0.5,IF(AND(EXACT(G142,'Data Base'!$T$35),EXACT(H142,'Data Base'!$V$37),EXACT(K142,'Data Base'!$X$37)),I142*0.5*0.5*0.5,IF(AND(EXACT(G142,'Data Base'!$T$35),EXACT(H142,'Data Base'!$V$38),EXACT(K142,'Data Base'!$X$37)),I142*0.5*1.2*0.5,IF(AND(EXACT(G142,'Data Base'!$T$36),OR(EXACT(H142,'Data Base'!$V$36),EXACT(H142,'Data Base'!$V$35)),EXACT(K142,'Data Base'!$X$35)),I142*1*1*1,IF(AND(EXACT(G142,'Data Base'!$T$36),EXACT(H142,'Data Base'!$V$37),EXACT(K142,'Data Base'!$X$35)),I142*1*0.5*1,IF(AND(EXACT(G142,'Data Base'!$T$36),EXACT(H142,'Data Base'!$V$38),EXACT(K142,'Data Base'!$X$35)),I142*1*1.2*1,IF(AND(EXACT(G142,'Data Base'!$T$36),OR(EXACT(H142,'Data Base'!$V$36),EXACT(H142,'Data Base'!$V$35)),EXACT(K142,'Data Base'!$X$36)),I142*1*1*0.75,IF(AND(EXACT(G142,'Data Base'!$T$36),EXACT(H142,'Data Base'!$V$37),EXACT(K142,'Data Base'!$X$36)),I142*1*0.5*0.75,IF(AND(EXACT(G142,'Data Base'!$T$36),EXACT(H142,'Data Base'!$V$38),EXACT(K142,'Data Base'!$X$36)),I142*1*1.2*0.75,IF(AND(EXACT(G142,'Data Base'!$T$36),OR(EXACT(H142,'Data Base'!$V$36),EXACT(H142,'Data Base'!$V$35)),EXACT(K142,'Data Base'!$X$37)),I142*1*1*0.5,IF(AND(EXACT(G142,'Data Base'!$T$36),EXACT(H142,'Data Base'!$V$37),EXACT(K142,'Data Base'!$X$37)),I142*1*0.5*0.5,IF(AND(EXACT(G142,'Data Base'!$T$36),EXACT(H142,'Data Base'!$V$38),EXACT(K142,'Data Base'!$X$37)),I142*1*1.2*0.5,IF(AND(EXACT(G142,'Data Base'!$T$37),OR(EXACT(H142,'Data Base'!$V$36),EXACT(H142,'Data Base'!$V$35)),EXACT(K142,'Data Base'!$X$35)),I142*1.25*1*1,IF(AND(EXACT(G142,'Data Base'!$T$37),EXACT(H142,'Data Base'!$V$37),EXACT(K142,'Data Base'!$X$35)),I142*1.25*0.5*1,IF(AND(EXACT(G142,'Data Base'!$T$37),EXACT(H142,'Data Base'!$V$38),EXACT(K142,'Data Base'!$X$35)),I142*1.25*1.2*1,IF(AND(EXACT(G142,'Data Base'!$T$37),OR(EXACT(H142,'Data Base'!$V$36),EXACT(H142,'Data Base'!$V$35)),EXACT(K142,'Data Base'!$X$36)),I142*1.25*1*0.75,IF(AND(EXACT(G142,'Data Base'!$T$37),EXACT(H142,'Data Base'!$V$37),EXACT(K142,'Data Base'!$X$36)),I142*1.25*0.5*0.75,IF(AND(EXACT(G142,'Data Base'!$T$37),EXACT(H142,'Data Base'!$V$38),EXACT(K142,'Data Base'!$X$36)),I142*1.25*1.2*0.75,IF(AND(EXACT(G142,'Data Base'!$T$37),OR(EXACT(H142,'Data Base'!$V$36),EXACT(H142,'Data Base'!$V$35)),EXACT(K142,'Data Base'!$X$37)),I142*1.25*1*0.5,IF(AND(EXACT(G142,'Data Base'!$T$37),EXACT(H142,'Data Base'!$V$37),EXACT(K142,'Data Base'!$X$37)),I142*1.25*0.5*0.5,IF(AND(EXACT(G142,'Data Base'!$T$37),EXACT(H142,'Data Base'!$V$38),EXACT(K142,'Data Base'!$X$37)),I142*1.25*1.2*0.5))))))))))))))))))))))))))),"")</f>
        <v/>
      </c>
    </row>
    <row r="143" spans="1:15" ht="21" customHeight="1">
      <c r="A143" s="99">
        <v>11</v>
      </c>
      <c r="B143" s="1349" t="str">
        <f t="shared" si="16"/>
        <v/>
      </c>
      <c r="C143" s="1350"/>
      <c r="D143" s="148" t="str">
        <f t="shared" si="17"/>
        <v/>
      </c>
      <c r="E143" s="1351"/>
      <c r="F143" s="1352"/>
      <c r="G143" s="165"/>
      <c r="H143" s="140"/>
      <c r="I143" s="4"/>
      <c r="J143" s="4"/>
      <c r="K143" s="140"/>
      <c r="L143" s="4" t="s">
        <v>652</v>
      </c>
      <c r="M143" s="166" t="str">
        <f>IF(AND(NOT(EXACT(D143,"")),NOT(EXACT(G143,"")),NOT(EXACT(E143,"")),NOT(EXACT(B143,"")),NOT(EXACT(I143,"")),NOT(EXACT(H143,""))),IF(AND(EXACT(G143,'Data Base'!$T$35),OR(EXACT(H143,'Data Base'!$V$36),EXACT(H143,'Data Base'!$V$35)),EXACT(K143,'Data Base'!$X$35)),I143*0.5*1*1,IF(AND(EXACT(G143,'Data Base'!$T$35),EXACT(H143,'Data Base'!$V$37),EXACT(K143,'Data Base'!$X$35)),I143*0.5*0.5*1,IF(AND(EXACT(G143,'Data Base'!$T$35),EXACT(H143,'Data Base'!$V$38),EXACT(K143,'Data Base'!$X$35)),I143*0.5*1.2*1,IF(AND(EXACT(G143,'Data Base'!$T$35),OR(EXACT(H143,'Data Base'!$V$36),EXACT(H143,'Data Base'!$V$35)),EXACT(K143,'Data Base'!$X$36)),I143*0.5*1*0.75,IF(AND(EXACT(G143,'Data Base'!$T$35),EXACT(H143,'Data Base'!$V$37),EXACT(K143,'Data Base'!$X$36)),I143*0.5*0.5*0.75,IF(AND(EXACT(G143,'Data Base'!$T$35),EXACT(H143,'Data Base'!$V$38),EXACT(K143,'Data Base'!$X$36)),I143*0.5*1.2*0.75,IF(AND(EXACT(G143,'Data Base'!$T$35),OR(EXACT(H143,'Data Base'!$V$36),EXACT(H143,'Data Base'!$V$35)),EXACT(K143,'Data Base'!$X$37)),I143*0.5*1*0.5,IF(AND(EXACT(G143,'Data Base'!$T$35),EXACT(H143,'Data Base'!$V$37),EXACT(K143,'Data Base'!$X$37)),I143*0.5*0.5*0.5,IF(AND(EXACT(G143,'Data Base'!$T$35),EXACT(H143,'Data Base'!$V$38),EXACT(K143,'Data Base'!$X$37)),I143*0.5*1.2*0.5,IF(AND(EXACT(G143,'Data Base'!$T$36),OR(EXACT(H143,'Data Base'!$V$36),EXACT(H143,'Data Base'!$V$35)),EXACT(K143,'Data Base'!$X$35)),I143*1*1*1,IF(AND(EXACT(G143,'Data Base'!$T$36),EXACT(H143,'Data Base'!$V$37),EXACT(K143,'Data Base'!$X$35)),I143*1*0.5*1,IF(AND(EXACT(G143,'Data Base'!$T$36),EXACT(H143,'Data Base'!$V$38),EXACT(K143,'Data Base'!$X$35)),I143*1*1.2*1,IF(AND(EXACT(G143,'Data Base'!$T$36),OR(EXACT(H143,'Data Base'!$V$36),EXACT(H143,'Data Base'!$V$35)),EXACT(K143,'Data Base'!$X$36)),I143*1*1*0.75,IF(AND(EXACT(G143,'Data Base'!$T$36),EXACT(H143,'Data Base'!$V$37),EXACT(K143,'Data Base'!$X$36)),I143*1*0.5*0.75,IF(AND(EXACT(G143,'Data Base'!$T$36),EXACT(H143,'Data Base'!$V$38),EXACT(K143,'Data Base'!$X$36)),I143*1*1.2*0.75,IF(AND(EXACT(G143,'Data Base'!$T$36),OR(EXACT(H143,'Data Base'!$V$36),EXACT(H143,'Data Base'!$V$35)),EXACT(K143,'Data Base'!$X$37)),I143*1*1*0.5,IF(AND(EXACT(G143,'Data Base'!$T$36),EXACT(H143,'Data Base'!$V$37),EXACT(K143,'Data Base'!$X$37)),I143*1*0.5*0.5,IF(AND(EXACT(G143,'Data Base'!$T$36),EXACT(H143,'Data Base'!$V$38),EXACT(K143,'Data Base'!$X$37)),I143*1*1.2*0.5,IF(AND(EXACT(G143,'Data Base'!$T$37),OR(EXACT(H143,'Data Base'!$V$36),EXACT(H143,'Data Base'!$V$35)),EXACT(K143,'Data Base'!$X$35)),I143*1.25*1*1,IF(AND(EXACT(G143,'Data Base'!$T$37),EXACT(H143,'Data Base'!$V$37),EXACT(K143,'Data Base'!$X$35)),I143*1.25*0.5*1,IF(AND(EXACT(G143,'Data Base'!$T$37),EXACT(H143,'Data Base'!$V$38),EXACT(K143,'Data Base'!$X$35)),I143*1.25*1.2*1,IF(AND(EXACT(G143,'Data Base'!$T$37),OR(EXACT(H143,'Data Base'!$V$36),EXACT(H143,'Data Base'!$V$35)),EXACT(K143,'Data Base'!$X$36)),I143*1.25*1*0.75,IF(AND(EXACT(G143,'Data Base'!$T$37),EXACT(H143,'Data Base'!$V$37),EXACT(K143,'Data Base'!$X$36)),I143*1.25*0.5*0.75,IF(AND(EXACT(G143,'Data Base'!$T$37),EXACT(H143,'Data Base'!$V$38),EXACT(K143,'Data Base'!$X$36)),I143*1.25*1.2*0.75,IF(AND(EXACT(G143,'Data Base'!$T$37),OR(EXACT(H143,'Data Base'!$V$36),EXACT(H143,'Data Base'!$V$35)),EXACT(K143,'Data Base'!$X$37)),I143*1.25*1*0.5,IF(AND(EXACT(G143,'Data Base'!$T$37),EXACT(H143,'Data Base'!$V$37),EXACT(K143,'Data Base'!$X$37)),I143*1.25*0.5*0.5,IF(AND(EXACT(G143,'Data Base'!$T$37),EXACT(H143,'Data Base'!$V$38),EXACT(K143,'Data Base'!$X$37)),I143*1.25*1.2*0.5))))))))))))))))))))))))))),"")</f>
        <v/>
      </c>
    </row>
    <row r="144" spans="1:15" ht="21" customHeight="1">
      <c r="A144" s="99">
        <v>12</v>
      </c>
      <c r="B144" s="1349" t="str">
        <f t="shared" si="16"/>
        <v/>
      </c>
      <c r="C144" s="1350"/>
      <c r="D144" s="148" t="str">
        <f t="shared" si="17"/>
        <v/>
      </c>
      <c r="E144" s="1351"/>
      <c r="F144" s="1352"/>
      <c r="G144" s="165"/>
      <c r="H144" s="140"/>
      <c r="I144" s="4"/>
      <c r="J144" s="4"/>
      <c r="K144" s="140"/>
      <c r="L144" s="4" t="s">
        <v>652</v>
      </c>
      <c r="M144" s="166" t="str">
        <f>IF(AND(NOT(EXACT(D144,"")),NOT(EXACT(G144,"")),NOT(EXACT(E144,"")),NOT(EXACT(B144,"")),NOT(EXACT(I144,"")),NOT(EXACT(H144,""))),IF(AND(EXACT(G144,'Data Base'!$T$35),OR(EXACT(H144,'Data Base'!$V$36),EXACT(H144,'Data Base'!$V$35)),EXACT(K144,'Data Base'!$X$35)),I144*0.5*1*1,IF(AND(EXACT(G144,'Data Base'!$T$35),EXACT(H144,'Data Base'!$V$37),EXACT(K144,'Data Base'!$X$35)),I144*0.5*0.5*1,IF(AND(EXACT(G144,'Data Base'!$T$35),EXACT(H144,'Data Base'!$V$38),EXACT(K144,'Data Base'!$X$35)),I144*0.5*1.2*1,IF(AND(EXACT(G144,'Data Base'!$T$35),OR(EXACT(H144,'Data Base'!$V$36),EXACT(H144,'Data Base'!$V$35)),EXACT(K144,'Data Base'!$X$36)),I144*0.5*1*0.75,IF(AND(EXACT(G144,'Data Base'!$T$35),EXACT(H144,'Data Base'!$V$37),EXACT(K144,'Data Base'!$X$36)),I144*0.5*0.5*0.75,IF(AND(EXACT(G144,'Data Base'!$T$35),EXACT(H144,'Data Base'!$V$38),EXACT(K144,'Data Base'!$X$36)),I144*0.5*1.2*0.75,IF(AND(EXACT(G144,'Data Base'!$T$35),OR(EXACT(H144,'Data Base'!$V$36),EXACT(H144,'Data Base'!$V$35)),EXACT(K144,'Data Base'!$X$37)),I144*0.5*1*0.5,IF(AND(EXACT(G144,'Data Base'!$T$35),EXACT(H144,'Data Base'!$V$37),EXACT(K144,'Data Base'!$X$37)),I144*0.5*0.5*0.5,IF(AND(EXACT(G144,'Data Base'!$T$35),EXACT(H144,'Data Base'!$V$38),EXACT(K144,'Data Base'!$X$37)),I144*0.5*1.2*0.5,IF(AND(EXACT(G144,'Data Base'!$T$36),OR(EXACT(H144,'Data Base'!$V$36),EXACT(H144,'Data Base'!$V$35)),EXACT(K144,'Data Base'!$X$35)),I144*1*1*1,IF(AND(EXACT(G144,'Data Base'!$T$36),EXACT(H144,'Data Base'!$V$37),EXACT(K144,'Data Base'!$X$35)),I144*1*0.5*1,IF(AND(EXACT(G144,'Data Base'!$T$36),EXACT(H144,'Data Base'!$V$38),EXACT(K144,'Data Base'!$X$35)),I144*1*1.2*1,IF(AND(EXACT(G144,'Data Base'!$T$36),OR(EXACT(H144,'Data Base'!$V$36),EXACT(H144,'Data Base'!$V$35)),EXACT(K144,'Data Base'!$X$36)),I144*1*1*0.75,IF(AND(EXACT(G144,'Data Base'!$T$36),EXACT(H144,'Data Base'!$V$37),EXACT(K144,'Data Base'!$X$36)),I144*1*0.5*0.75,IF(AND(EXACT(G144,'Data Base'!$T$36),EXACT(H144,'Data Base'!$V$38),EXACT(K144,'Data Base'!$X$36)),I144*1*1.2*0.75,IF(AND(EXACT(G144,'Data Base'!$T$36),OR(EXACT(H144,'Data Base'!$V$36),EXACT(H144,'Data Base'!$V$35)),EXACT(K144,'Data Base'!$X$37)),I144*1*1*0.5,IF(AND(EXACT(G144,'Data Base'!$T$36),EXACT(H144,'Data Base'!$V$37),EXACT(K144,'Data Base'!$X$37)),I144*1*0.5*0.5,IF(AND(EXACT(G144,'Data Base'!$T$36),EXACT(H144,'Data Base'!$V$38),EXACT(K144,'Data Base'!$X$37)),I144*1*1.2*0.5,IF(AND(EXACT(G144,'Data Base'!$T$37),OR(EXACT(H144,'Data Base'!$V$36),EXACT(H144,'Data Base'!$V$35)),EXACT(K144,'Data Base'!$X$35)),I144*1.25*1*1,IF(AND(EXACT(G144,'Data Base'!$T$37),EXACT(H144,'Data Base'!$V$37),EXACT(K144,'Data Base'!$X$35)),I144*1.25*0.5*1,IF(AND(EXACT(G144,'Data Base'!$T$37),EXACT(H144,'Data Base'!$V$38),EXACT(K144,'Data Base'!$X$35)),I144*1.25*1.2*1,IF(AND(EXACT(G144,'Data Base'!$T$37),OR(EXACT(H144,'Data Base'!$V$36),EXACT(H144,'Data Base'!$V$35)),EXACT(K144,'Data Base'!$X$36)),I144*1.25*1*0.75,IF(AND(EXACT(G144,'Data Base'!$T$37),EXACT(H144,'Data Base'!$V$37),EXACT(K144,'Data Base'!$X$36)),I144*1.25*0.5*0.75,IF(AND(EXACT(G144,'Data Base'!$T$37),EXACT(H144,'Data Base'!$V$38),EXACT(K144,'Data Base'!$X$36)),I144*1.25*1.2*0.75,IF(AND(EXACT(G144,'Data Base'!$T$37),OR(EXACT(H144,'Data Base'!$V$36),EXACT(H144,'Data Base'!$V$35)),EXACT(K144,'Data Base'!$X$37)),I144*1.25*1*0.5,IF(AND(EXACT(G144,'Data Base'!$T$37),EXACT(H144,'Data Base'!$V$37),EXACT(K144,'Data Base'!$X$37)),I144*1.25*0.5*0.5,IF(AND(EXACT(G144,'Data Base'!$T$37),EXACT(H144,'Data Base'!$V$38),EXACT(K144,'Data Base'!$X$37)),I144*1.25*1.2*0.5))))))))))))))))))))))))))),"")</f>
        <v/>
      </c>
    </row>
    <row r="145" spans="1:13" ht="21" customHeight="1">
      <c r="A145" s="97">
        <v>13</v>
      </c>
      <c r="B145" s="1349" t="str">
        <f t="shared" si="16"/>
        <v/>
      </c>
      <c r="C145" s="1350"/>
      <c r="D145" s="148" t="str">
        <f t="shared" si="17"/>
        <v/>
      </c>
      <c r="E145" s="1351"/>
      <c r="F145" s="1352"/>
      <c r="G145" s="165"/>
      <c r="H145" s="140"/>
      <c r="I145" s="4"/>
      <c r="J145" s="4"/>
      <c r="K145" s="140"/>
      <c r="L145" s="4" t="s">
        <v>652</v>
      </c>
      <c r="M145" s="166" t="str">
        <f>IF(AND(NOT(EXACT(D145,"")),NOT(EXACT(G145,"")),NOT(EXACT(E145,"")),NOT(EXACT(B145,"")),NOT(EXACT(I145,"")),NOT(EXACT(H145,""))),IF(AND(EXACT(G145,'Data Base'!$T$35),OR(EXACT(H145,'Data Base'!$V$36),EXACT(H145,'Data Base'!$V$35)),EXACT(K145,'Data Base'!$X$35)),I145*0.5*1*1,IF(AND(EXACT(G145,'Data Base'!$T$35),EXACT(H145,'Data Base'!$V$37),EXACT(K145,'Data Base'!$X$35)),I145*0.5*0.5*1,IF(AND(EXACT(G145,'Data Base'!$T$35),EXACT(H145,'Data Base'!$V$38),EXACT(K145,'Data Base'!$X$35)),I145*0.5*1.2*1,IF(AND(EXACT(G145,'Data Base'!$T$35),OR(EXACT(H145,'Data Base'!$V$36),EXACT(H145,'Data Base'!$V$35)),EXACT(K145,'Data Base'!$X$36)),I145*0.5*1*0.75,IF(AND(EXACT(G145,'Data Base'!$T$35),EXACT(H145,'Data Base'!$V$37),EXACT(K145,'Data Base'!$X$36)),I145*0.5*0.5*0.75,IF(AND(EXACT(G145,'Data Base'!$T$35),EXACT(H145,'Data Base'!$V$38),EXACT(K145,'Data Base'!$X$36)),I145*0.5*1.2*0.75,IF(AND(EXACT(G145,'Data Base'!$T$35),OR(EXACT(H145,'Data Base'!$V$36),EXACT(H145,'Data Base'!$V$35)),EXACT(K145,'Data Base'!$X$37)),I145*0.5*1*0.5,IF(AND(EXACT(G145,'Data Base'!$T$35),EXACT(H145,'Data Base'!$V$37),EXACT(K145,'Data Base'!$X$37)),I145*0.5*0.5*0.5,IF(AND(EXACT(G145,'Data Base'!$T$35),EXACT(H145,'Data Base'!$V$38),EXACT(K145,'Data Base'!$X$37)),I145*0.5*1.2*0.5,IF(AND(EXACT(G145,'Data Base'!$T$36),OR(EXACT(H145,'Data Base'!$V$36),EXACT(H145,'Data Base'!$V$35)),EXACT(K145,'Data Base'!$X$35)),I145*1*1*1,IF(AND(EXACT(G145,'Data Base'!$T$36),EXACT(H145,'Data Base'!$V$37),EXACT(K145,'Data Base'!$X$35)),I145*1*0.5*1,IF(AND(EXACT(G145,'Data Base'!$T$36),EXACT(H145,'Data Base'!$V$38),EXACT(K145,'Data Base'!$X$35)),I145*1*1.2*1,IF(AND(EXACT(G145,'Data Base'!$T$36),OR(EXACT(H145,'Data Base'!$V$36),EXACT(H145,'Data Base'!$V$35)),EXACT(K145,'Data Base'!$X$36)),I145*1*1*0.75,IF(AND(EXACT(G145,'Data Base'!$T$36),EXACT(H145,'Data Base'!$V$37),EXACT(K145,'Data Base'!$X$36)),I145*1*0.5*0.75,IF(AND(EXACT(G145,'Data Base'!$T$36),EXACT(H145,'Data Base'!$V$38),EXACT(K145,'Data Base'!$X$36)),I145*1*1.2*0.75,IF(AND(EXACT(G145,'Data Base'!$T$36),OR(EXACT(H145,'Data Base'!$V$36),EXACT(H145,'Data Base'!$V$35)),EXACT(K145,'Data Base'!$X$37)),I145*1*1*0.5,IF(AND(EXACT(G145,'Data Base'!$T$36),EXACT(H145,'Data Base'!$V$37),EXACT(K145,'Data Base'!$X$37)),I145*1*0.5*0.5,IF(AND(EXACT(G145,'Data Base'!$T$36),EXACT(H145,'Data Base'!$V$38),EXACT(K145,'Data Base'!$X$37)),I145*1*1.2*0.5,IF(AND(EXACT(G145,'Data Base'!$T$37),OR(EXACT(H145,'Data Base'!$V$36),EXACT(H145,'Data Base'!$V$35)),EXACT(K145,'Data Base'!$X$35)),I145*1.25*1*1,IF(AND(EXACT(G145,'Data Base'!$T$37),EXACT(H145,'Data Base'!$V$37),EXACT(K145,'Data Base'!$X$35)),I145*1.25*0.5*1,IF(AND(EXACT(G145,'Data Base'!$T$37),EXACT(H145,'Data Base'!$V$38),EXACT(K145,'Data Base'!$X$35)),I145*1.25*1.2*1,IF(AND(EXACT(G145,'Data Base'!$T$37),OR(EXACT(H145,'Data Base'!$V$36),EXACT(H145,'Data Base'!$V$35)),EXACT(K145,'Data Base'!$X$36)),I145*1.25*1*0.75,IF(AND(EXACT(G145,'Data Base'!$T$37),EXACT(H145,'Data Base'!$V$37),EXACT(K145,'Data Base'!$X$36)),I145*1.25*0.5*0.75,IF(AND(EXACT(G145,'Data Base'!$T$37),EXACT(H145,'Data Base'!$V$38),EXACT(K145,'Data Base'!$X$36)),I145*1.25*1.2*0.75,IF(AND(EXACT(G145,'Data Base'!$T$37),OR(EXACT(H145,'Data Base'!$V$36),EXACT(H145,'Data Base'!$V$35)),EXACT(K145,'Data Base'!$X$37)),I145*1.25*1*0.5,IF(AND(EXACT(G145,'Data Base'!$T$37),EXACT(H145,'Data Base'!$V$37),EXACT(K145,'Data Base'!$X$37)),I145*1.25*0.5*0.5,IF(AND(EXACT(G145,'Data Base'!$T$37),EXACT(H145,'Data Base'!$V$38),EXACT(K145,'Data Base'!$X$37)),I145*1.25*1.2*0.5))))))))))))))))))))))))))),"")</f>
        <v/>
      </c>
    </row>
    <row r="146" spans="1:13" ht="21" customHeight="1">
      <c r="A146" s="99">
        <v>14</v>
      </c>
      <c r="B146" s="1349" t="str">
        <f t="shared" si="16"/>
        <v/>
      </c>
      <c r="C146" s="1350"/>
      <c r="D146" s="148" t="str">
        <f t="shared" si="17"/>
        <v/>
      </c>
      <c r="E146" s="1351"/>
      <c r="F146" s="1352"/>
      <c r="G146" s="165"/>
      <c r="H146" s="140"/>
      <c r="I146" s="4"/>
      <c r="J146" s="4"/>
      <c r="K146" s="140"/>
      <c r="L146" s="4" t="s">
        <v>652</v>
      </c>
      <c r="M146" s="166" t="str">
        <f>IF(AND(NOT(EXACT(D146,"")),NOT(EXACT(G146,"")),NOT(EXACT(E146,"")),NOT(EXACT(B146,"")),NOT(EXACT(I146,"")),NOT(EXACT(H146,""))),IF(AND(EXACT(G146,'Data Base'!$T$35),OR(EXACT(H146,'Data Base'!$V$36),EXACT(H146,'Data Base'!$V$35)),EXACT(K146,'Data Base'!$X$35)),I146*0.5*1*1,IF(AND(EXACT(G146,'Data Base'!$T$35),EXACT(H146,'Data Base'!$V$37),EXACT(K146,'Data Base'!$X$35)),I146*0.5*0.5*1,IF(AND(EXACT(G146,'Data Base'!$T$35),EXACT(H146,'Data Base'!$V$38),EXACT(K146,'Data Base'!$X$35)),I146*0.5*1.2*1,IF(AND(EXACT(G146,'Data Base'!$T$35),OR(EXACT(H146,'Data Base'!$V$36),EXACT(H146,'Data Base'!$V$35)),EXACT(K146,'Data Base'!$X$36)),I146*0.5*1*0.75,IF(AND(EXACT(G146,'Data Base'!$T$35),EXACT(H146,'Data Base'!$V$37),EXACT(K146,'Data Base'!$X$36)),I146*0.5*0.5*0.75,IF(AND(EXACT(G146,'Data Base'!$T$35),EXACT(H146,'Data Base'!$V$38),EXACT(K146,'Data Base'!$X$36)),I146*0.5*1.2*0.75,IF(AND(EXACT(G146,'Data Base'!$T$35),OR(EXACT(H146,'Data Base'!$V$36),EXACT(H146,'Data Base'!$V$35)),EXACT(K146,'Data Base'!$X$37)),I146*0.5*1*0.5,IF(AND(EXACT(G146,'Data Base'!$T$35),EXACT(H146,'Data Base'!$V$37),EXACT(K146,'Data Base'!$X$37)),I146*0.5*0.5*0.5,IF(AND(EXACT(G146,'Data Base'!$T$35),EXACT(H146,'Data Base'!$V$38),EXACT(K146,'Data Base'!$X$37)),I146*0.5*1.2*0.5,IF(AND(EXACT(G146,'Data Base'!$T$36),OR(EXACT(H146,'Data Base'!$V$36),EXACT(H146,'Data Base'!$V$35)),EXACT(K146,'Data Base'!$X$35)),I146*1*1*1,IF(AND(EXACT(G146,'Data Base'!$T$36),EXACT(H146,'Data Base'!$V$37),EXACT(K146,'Data Base'!$X$35)),I146*1*0.5*1,IF(AND(EXACT(G146,'Data Base'!$T$36),EXACT(H146,'Data Base'!$V$38),EXACT(K146,'Data Base'!$X$35)),I146*1*1.2*1,IF(AND(EXACT(G146,'Data Base'!$T$36),OR(EXACT(H146,'Data Base'!$V$36),EXACT(H146,'Data Base'!$V$35)),EXACT(K146,'Data Base'!$X$36)),I146*1*1*0.75,IF(AND(EXACT(G146,'Data Base'!$T$36),EXACT(H146,'Data Base'!$V$37),EXACT(K146,'Data Base'!$X$36)),I146*1*0.5*0.75,IF(AND(EXACT(G146,'Data Base'!$T$36),EXACT(H146,'Data Base'!$V$38),EXACT(K146,'Data Base'!$X$36)),I146*1*1.2*0.75,IF(AND(EXACT(G146,'Data Base'!$T$36),OR(EXACT(H146,'Data Base'!$V$36),EXACT(H146,'Data Base'!$V$35)),EXACT(K146,'Data Base'!$X$37)),I146*1*1*0.5,IF(AND(EXACT(G146,'Data Base'!$T$36),EXACT(H146,'Data Base'!$V$37),EXACT(K146,'Data Base'!$X$37)),I146*1*0.5*0.5,IF(AND(EXACT(G146,'Data Base'!$T$36),EXACT(H146,'Data Base'!$V$38),EXACT(K146,'Data Base'!$X$37)),I146*1*1.2*0.5,IF(AND(EXACT(G146,'Data Base'!$T$37),OR(EXACT(H146,'Data Base'!$V$36),EXACT(H146,'Data Base'!$V$35)),EXACT(K146,'Data Base'!$X$35)),I146*1.25*1*1,IF(AND(EXACT(G146,'Data Base'!$T$37),EXACT(H146,'Data Base'!$V$37),EXACT(K146,'Data Base'!$X$35)),I146*1.25*0.5*1,IF(AND(EXACT(G146,'Data Base'!$T$37),EXACT(H146,'Data Base'!$V$38),EXACT(K146,'Data Base'!$X$35)),I146*1.25*1.2*1,IF(AND(EXACT(G146,'Data Base'!$T$37),OR(EXACT(H146,'Data Base'!$V$36),EXACT(H146,'Data Base'!$V$35)),EXACT(K146,'Data Base'!$X$36)),I146*1.25*1*0.75,IF(AND(EXACT(G146,'Data Base'!$T$37),EXACT(H146,'Data Base'!$V$37),EXACT(K146,'Data Base'!$X$36)),I146*1.25*0.5*0.75,IF(AND(EXACT(G146,'Data Base'!$T$37),EXACT(H146,'Data Base'!$V$38),EXACT(K146,'Data Base'!$X$36)),I146*1.25*1.2*0.75,IF(AND(EXACT(G146,'Data Base'!$T$37),OR(EXACT(H146,'Data Base'!$V$36),EXACT(H146,'Data Base'!$V$35)),EXACT(K146,'Data Base'!$X$37)),I146*1.25*1*0.5,IF(AND(EXACT(G146,'Data Base'!$T$37),EXACT(H146,'Data Base'!$V$37),EXACT(K146,'Data Base'!$X$37)),I146*1.25*0.5*0.5,IF(AND(EXACT(G146,'Data Base'!$T$37),EXACT(H146,'Data Base'!$V$38),EXACT(K146,'Data Base'!$X$37)),I146*1.25*1.2*0.5))))))))))))))))))))))))))),"")</f>
        <v/>
      </c>
    </row>
    <row r="147" spans="1:13" ht="21" customHeight="1" thickBot="1">
      <c r="A147" s="106">
        <v>15</v>
      </c>
      <c r="B147" s="1355" t="str">
        <f t="shared" si="16"/>
        <v/>
      </c>
      <c r="C147" s="1356"/>
      <c r="D147" s="107" t="str">
        <f t="shared" si="17"/>
        <v/>
      </c>
      <c r="E147" s="1357"/>
      <c r="F147" s="1358"/>
      <c r="G147" s="167"/>
      <c r="H147" s="108"/>
      <c r="I147" s="105"/>
      <c r="J147" s="105"/>
      <c r="K147" s="108"/>
      <c r="L147" s="105" t="s">
        <v>652</v>
      </c>
      <c r="M147" s="168" t="str">
        <f>IF(AND(NOT(EXACT(D147,"")),NOT(EXACT(G147,"")),NOT(EXACT(E147,"")),NOT(EXACT(B147,"")),NOT(EXACT(I147,"")),NOT(EXACT(H147,""))),IF(AND(EXACT(G147,'Data Base'!$T$35),OR(EXACT(H147,'Data Base'!$V$36),EXACT(H147,'Data Base'!$V$35)),EXACT(K147,'Data Base'!$X$35)),I147*0.5*1*1,IF(AND(EXACT(G147,'Data Base'!$T$35),EXACT(H147,'Data Base'!$V$37),EXACT(K147,'Data Base'!$X$35)),I147*0.5*0.5*1,IF(AND(EXACT(G147,'Data Base'!$T$35),EXACT(H147,'Data Base'!$V$38),EXACT(K147,'Data Base'!$X$35)),I147*0.5*1.2*1,IF(AND(EXACT(G147,'Data Base'!$T$35),OR(EXACT(H147,'Data Base'!$V$36),EXACT(H147,'Data Base'!$V$35)),EXACT(K147,'Data Base'!$X$36)),I147*0.5*1*0.75,IF(AND(EXACT(G147,'Data Base'!$T$35),EXACT(H147,'Data Base'!$V$37),EXACT(K147,'Data Base'!$X$36)),I147*0.5*0.5*0.75,IF(AND(EXACT(G147,'Data Base'!$T$35),EXACT(H147,'Data Base'!$V$38),EXACT(K147,'Data Base'!$X$36)),I147*0.5*1.2*0.75,IF(AND(EXACT(G147,'Data Base'!$T$35),OR(EXACT(H147,'Data Base'!$V$36),EXACT(H147,'Data Base'!$V$35)),EXACT(K147,'Data Base'!$X$37)),I147*0.5*1*0.5,IF(AND(EXACT(G147,'Data Base'!$T$35),EXACT(H147,'Data Base'!$V$37),EXACT(K147,'Data Base'!$X$37)),I147*0.5*0.5*0.5,IF(AND(EXACT(G147,'Data Base'!$T$35),EXACT(H147,'Data Base'!$V$38),EXACT(K147,'Data Base'!$X$37)),I147*0.5*1.2*0.5,IF(AND(EXACT(G147,'Data Base'!$T$36),OR(EXACT(H147,'Data Base'!$V$36),EXACT(H147,'Data Base'!$V$35)),EXACT(K147,'Data Base'!$X$35)),I147*1*1*1,IF(AND(EXACT(G147,'Data Base'!$T$36),EXACT(H147,'Data Base'!$V$37),EXACT(K147,'Data Base'!$X$35)),I147*1*0.5*1,IF(AND(EXACT(G147,'Data Base'!$T$36),EXACT(H147,'Data Base'!$V$38),EXACT(K147,'Data Base'!$X$35)),I147*1*1.2*1,IF(AND(EXACT(G147,'Data Base'!$T$36),OR(EXACT(H147,'Data Base'!$V$36),EXACT(H147,'Data Base'!$V$35)),EXACT(K147,'Data Base'!$X$36)),I147*1*1*0.75,IF(AND(EXACT(G147,'Data Base'!$T$36),EXACT(H147,'Data Base'!$V$37),EXACT(K147,'Data Base'!$X$36)),I147*1*0.5*0.75,IF(AND(EXACT(G147,'Data Base'!$T$36),EXACT(H147,'Data Base'!$V$38),EXACT(K147,'Data Base'!$X$36)),I147*1*1.2*0.75,IF(AND(EXACT(G147,'Data Base'!$T$36),OR(EXACT(H147,'Data Base'!$V$36),EXACT(H147,'Data Base'!$V$35)),EXACT(K147,'Data Base'!$X$37)),I147*1*1*0.5,IF(AND(EXACT(G147,'Data Base'!$T$36),EXACT(H147,'Data Base'!$V$37),EXACT(K147,'Data Base'!$X$37)),I147*1*0.5*0.5,IF(AND(EXACT(G147,'Data Base'!$T$36),EXACT(H147,'Data Base'!$V$38),EXACT(K147,'Data Base'!$X$37)),I147*1*1.2*0.5,IF(AND(EXACT(G147,'Data Base'!$T$37),OR(EXACT(H147,'Data Base'!$V$36),EXACT(H147,'Data Base'!$V$35)),EXACT(K147,'Data Base'!$X$35)),I147*1.25*1*1,IF(AND(EXACT(G147,'Data Base'!$T$37),EXACT(H147,'Data Base'!$V$37),EXACT(K147,'Data Base'!$X$35)),I147*1.25*0.5*1,IF(AND(EXACT(G147,'Data Base'!$T$37),EXACT(H147,'Data Base'!$V$38),EXACT(K147,'Data Base'!$X$35)),I147*1.25*1.2*1,IF(AND(EXACT(G147,'Data Base'!$T$37),OR(EXACT(H147,'Data Base'!$V$36),EXACT(H147,'Data Base'!$V$35)),EXACT(K147,'Data Base'!$X$36)),I147*1.25*1*0.75,IF(AND(EXACT(G147,'Data Base'!$T$37),EXACT(H147,'Data Base'!$V$37),EXACT(K147,'Data Base'!$X$36)),I147*1.25*0.5*0.75,IF(AND(EXACT(G147,'Data Base'!$T$37),EXACT(H147,'Data Base'!$V$38),EXACT(K147,'Data Base'!$X$36)),I147*1.25*1.2*0.75,IF(AND(EXACT(G147,'Data Base'!$T$37),OR(EXACT(H147,'Data Base'!$V$36),EXACT(H147,'Data Base'!$V$35)),EXACT(K147,'Data Base'!$X$37)),I147*1.25*1*0.5,IF(AND(EXACT(G147,'Data Base'!$T$37),EXACT(H147,'Data Base'!$V$37),EXACT(K147,'Data Base'!$X$37)),I147*1.25*0.5*0.5,IF(AND(EXACT(G147,'Data Base'!$T$37),EXACT(H147,'Data Base'!$V$38),EXACT(K147,'Data Base'!$X$37)),I147*1.25*1.2*0.5))))))))))))))))))))))))))),"")</f>
        <v/>
      </c>
    </row>
    <row r="148" spans="1:13" ht="21" customHeight="1" thickBot="1">
      <c r="A148" s="1359" t="s">
        <v>653</v>
      </c>
      <c r="B148" s="1360"/>
      <c r="C148" s="1360"/>
      <c r="D148" s="1360"/>
      <c r="E148" s="1360"/>
      <c r="F148" s="1360"/>
      <c r="G148" s="1360"/>
      <c r="H148" s="1360"/>
      <c r="I148" s="109">
        <f>B133</f>
        <v>0</v>
      </c>
      <c r="J148" s="109">
        <f>D133</f>
        <v>0</v>
      </c>
      <c r="K148" s="1361"/>
      <c r="L148" s="1362"/>
      <c r="M148" s="110">
        <f>IF(SUM(M133:M147)&gt;5,5,SUM(M133:M147))</f>
        <v>0</v>
      </c>
    </row>
    <row r="149" spans="1:13" ht="21" customHeight="1">
      <c r="A149" s="97">
        <v>1</v>
      </c>
      <c r="B149" s="1363"/>
      <c r="C149" s="1364"/>
      <c r="D149" s="104"/>
      <c r="E149" s="1353"/>
      <c r="F149" s="1354"/>
      <c r="G149" s="169"/>
      <c r="H149" s="104"/>
      <c r="I149" s="98"/>
      <c r="J149" s="98"/>
      <c r="K149" s="104"/>
      <c r="L149" s="98" t="s">
        <v>652</v>
      </c>
      <c r="M149" s="166" t="str">
        <f>IF(AND(NOT(EXACT(D149,"")),NOT(EXACT(G149,"")),NOT(EXACT(E149,"")),NOT(EXACT(B149,"")),NOT(EXACT(I149,"")),NOT(EXACT(H149,""))),IF(AND(EXACT(G149,'Data Base'!$T$35),OR(EXACT(H149,'Data Base'!$V$36),EXACT(H149,'Data Base'!$V$35)),EXACT(K149,'Data Base'!$X$35)),I149*0.5*1*1,IF(AND(EXACT(G149,'Data Base'!$T$35),EXACT(H149,'Data Base'!$V$37),EXACT(K149,'Data Base'!$X$35)),I149*0.5*0.5*1,IF(AND(EXACT(G149,'Data Base'!$T$35),EXACT(H149,'Data Base'!$V$38),EXACT(K149,'Data Base'!$X$35)),I149*0.5*1.2*1,IF(AND(EXACT(G149,'Data Base'!$T$35),OR(EXACT(H149,'Data Base'!$V$36),EXACT(H149,'Data Base'!$V$35)),EXACT(K149,'Data Base'!$X$36)),I149*0.5*1*0.75,IF(AND(EXACT(G149,'Data Base'!$T$35),EXACT(H149,'Data Base'!$V$37),EXACT(K149,'Data Base'!$X$36)),I149*0.5*0.5*0.75,IF(AND(EXACT(G149,'Data Base'!$T$35),EXACT(H149,'Data Base'!$V$38),EXACT(K149,'Data Base'!$X$36)),I149*0.5*1.2*0.75,IF(AND(EXACT(G149,'Data Base'!$T$35),OR(EXACT(H149,'Data Base'!$V$36),EXACT(H149,'Data Base'!$V$35)),EXACT(K149,'Data Base'!$X$37)),I149*0.5*1*0.5,IF(AND(EXACT(G149,'Data Base'!$T$35),EXACT(H149,'Data Base'!$V$37),EXACT(K149,'Data Base'!$X$37)),I149*0.5*0.5*0.5,IF(AND(EXACT(G149,'Data Base'!$T$35),EXACT(H149,'Data Base'!$V$38),EXACT(K149,'Data Base'!$X$37)),I149*0.5*1.2*0.5,IF(AND(EXACT(G149,'Data Base'!$T$36),OR(EXACT(H149,'Data Base'!$V$36),EXACT(H149,'Data Base'!$V$35)),EXACT(K149,'Data Base'!$X$35)),I149*1*1*1,IF(AND(EXACT(G149,'Data Base'!$T$36),EXACT(H149,'Data Base'!$V$37),EXACT(K149,'Data Base'!$X$35)),I149*1*0.5*1,IF(AND(EXACT(G149,'Data Base'!$T$36),EXACT(H149,'Data Base'!$V$38),EXACT(K149,'Data Base'!$X$35)),I149*1*1.2*1,IF(AND(EXACT(G149,'Data Base'!$T$36),OR(EXACT(H149,'Data Base'!$V$36),EXACT(H149,'Data Base'!$V$35)),EXACT(K149,'Data Base'!$X$36)),I149*1*1*0.75,IF(AND(EXACT(G149,'Data Base'!$T$36),EXACT(H149,'Data Base'!$V$37),EXACT(K149,'Data Base'!$X$36)),I149*1*0.5*0.75,IF(AND(EXACT(G149,'Data Base'!$T$36),EXACT(H149,'Data Base'!$V$38),EXACT(K149,'Data Base'!$X$36)),I149*1*1.2*0.75,IF(AND(EXACT(G149,'Data Base'!$T$36),OR(EXACT(H149,'Data Base'!$V$36),EXACT(H149,'Data Base'!$V$35)),EXACT(K149,'Data Base'!$X$37)),I149*1*1*0.5,IF(AND(EXACT(G149,'Data Base'!$T$36),EXACT(H149,'Data Base'!$V$37),EXACT(K149,'Data Base'!$X$37)),I149*1*0.5*0.5,IF(AND(EXACT(G149,'Data Base'!$T$36),EXACT(H149,'Data Base'!$V$38),EXACT(K149,'Data Base'!$X$37)),I149*1*1.2*0.5,IF(AND(EXACT(G149,'Data Base'!$T$37),OR(EXACT(H149,'Data Base'!$V$36),EXACT(H149,'Data Base'!$V$35)),EXACT(K149,'Data Base'!$X$35)),I149*1.25*1*1,IF(AND(EXACT(G149,'Data Base'!$T$37),EXACT(H149,'Data Base'!$V$37),EXACT(K149,'Data Base'!$X$35)),I149*1.25*0.5*1,IF(AND(EXACT(G149,'Data Base'!$T$37),EXACT(H149,'Data Base'!$V$38),EXACT(K149,'Data Base'!$X$35)),I149*1.25*1.2*1,IF(AND(EXACT(G149,'Data Base'!$T$37),OR(EXACT(H149,'Data Base'!$V$36),EXACT(H149,'Data Base'!$V$35)),EXACT(K149,'Data Base'!$X$36)),I149*1.25*1*0.75,IF(AND(EXACT(G149,'Data Base'!$T$37),EXACT(H149,'Data Base'!$V$37),EXACT(K149,'Data Base'!$X$36)),I149*1.25*0.5*0.75,IF(AND(EXACT(G149,'Data Base'!$T$37),EXACT(H149,'Data Base'!$V$38),EXACT(K149,'Data Base'!$X$36)),I149*1.25*1.2*0.75,IF(AND(EXACT(G149,'Data Base'!$T$37),OR(EXACT(H149,'Data Base'!$V$36),EXACT(H149,'Data Base'!$V$35)),EXACT(K149,'Data Base'!$X$37)),I149*1.25*1*0.5,IF(AND(EXACT(G149,'Data Base'!$T$37),EXACT(H149,'Data Base'!$V$37),EXACT(K149,'Data Base'!$X$37)),I149*1.25*0.5*0.5,IF(AND(EXACT(G149,'Data Base'!$T$37),EXACT(H149,'Data Base'!$V$38),EXACT(K149,'Data Base'!$X$37)),I149*1.25*1.2*0.5))))))))))))))))))))))))))),"")</f>
        <v/>
      </c>
    </row>
    <row r="150" spans="1:13" ht="21" customHeight="1">
      <c r="A150" s="99">
        <v>2</v>
      </c>
      <c r="B150" s="1349" t="str">
        <f t="shared" ref="B150:B163" si="18">IF(NOT(EXACT(D150,"")),B149,"")</f>
        <v/>
      </c>
      <c r="C150" s="1350"/>
      <c r="D150" s="148" t="str">
        <f t="shared" ref="D150:D163" si="19">IF(NOT(EXACT(E150,"")),D149,"")</f>
        <v/>
      </c>
      <c r="E150" s="1365"/>
      <c r="F150" s="1365"/>
      <c r="G150" s="165"/>
      <c r="H150" s="140"/>
      <c r="I150" s="4"/>
      <c r="J150" s="4"/>
      <c r="K150" s="140"/>
      <c r="L150" s="4" t="s">
        <v>652</v>
      </c>
      <c r="M150" s="166" t="str">
        <f>IF(AND(NOT(EXACT(D150,"")),NOT(EXACT(G150,"")),NOT(EXACT(E150,"")),NOT(EXACT(B150,"")),NOT(EXACT(I150,"")),NOT(EXACT(H150,""))),IF(AND(EXACT(G150,'Data Base'!$T$35),OR(EXACT(H150,'Data Base'!$V$36),EXACT(H150,'Data Base'!$V$35)),EXACT(K150,'Data Base'!$X$35)),I150*0.5*1*1,IF(AND(EXACT(G150,'Data Base'!$T$35),EXACT(H150,'Data Base'!$V$37),EXACT(K150,'Data Base'!$X$35)),I150*0.5*0.5*1,IF(AND(EXACT(G150,'Data Base'!$T$35),EXACT(H150,'Data Base'!$V$38),EXACT(K150,'Data Base'!$X$35)),I150*0.5*1.2*1,IF(AND(EXACT(G150,'Data Base'!$T$35),OR(EXACT(H150,'Data Base'!$V$36),EXACT(H150,'Data Base'!$V$35)),EXACT(K150,'Data Base'!$X$36)),I150*0.5*1*0.75,IF(AND(EXACT(G150,'Data Base'!$T$35),EXACT(H150,'Data Base'!$V$37),EXACT(K150,'Data Base'!$X$36)),I150*0.5*0.5*0.75,IF(AND(EXACT(G150,'Data Base'!$T$35),EXACT(H150,'Data Base'!$V$38),EXACT(K150,'Data Base'!$X$36)),I150*0.5*1.2*0.75,IF(AND(EXACT(G150,'Data Base'!$T$35),OR(EXACT(H150,'Data Base'!$V$36),EXACT(H150,'Data Base'!$V$35)),EXACT(K150,'Data Base'!$X$37)),I150*0.5*1*0.5,IF(AND(EXACT(G150,'Data Base'!$T$35),EXACT(H150,'Data Base'!$V$37),EXACT(K150,'Data Base'!$X$37)),I150*0.5*0.5*0.5,IF(AND(EXACT(G150,'Data Base'!$T$35),EXACT(H150,'Data Base'!$V$38),EXACT(K150,'Data Base'!$X$37)),I150*0.5*1.2*0.5,IF(AND(EXACT(G150,'Data Base'!$T$36),OR(EXACT(H150,'Data Base'!$V$36),EXACT(H150,'Data Base'!$V$35)),EXACT(K150,'Data Base'!$X$35)),I150*1*1*1,IF(AND(EXACT(G150,'Data Base'!$T$36),EXACT(H150,'Data Base'!$V$37),EXACT(K150,'Data Base'!$X$35)),I150*1*0.5*1,IF(AND(EXACT(G150,'Data Base'!$T$36),EXACT(H150,'Data Base'!$V$38),EXACT(K150,'Data Base'!$X$35)),I150*1*1.2*1,IF(AND(EXACT(G150,'Data Base'!$T$36),OR(EXACT(H150,'Data Base'!$V$36),EXACT(H150,'Data Base'!$V$35)),EXACT(K150,'Data Base'!$X$36)),I150*1*1*0.75,IF(AND(EXACT(G150,'Data Base'!$T$36),EXACT(H150,'Data Base'!$V$37),EXACT(K150,'Data Base'!$X$36)),I150*1*0.5*0.75,IF(AND(EXACT(G150,'Data Base'!$T$36),EXACT(H150,'Data Base'!$V$38),EXACT(K150,'Data Base'!$X$36)),I150*1*1.2*0.75,IF(AND(EXACT(G150,'Data Base'!$T$36),OR(EXACT(H150,'Data Base'!$V$36),EXACT(H150,'Data Base'!$V$35)),EXACT(K150,'Data Base'!$X$37)),I150*1*1*0.5,IF(AND(EXACT(G150,'Data Base'!$T$36),EXACT(H150,'Data Base'!$V$37),EXACT(K150,'Data Base'!$X$37)),I150*1*0.5*0.5,IF(AND(EXACT(G150,'Data Base'!$T$36),EXACT(H150,'Data Base'!$V$38),EXACT(K150,'Data Base'!$X$37)),I150*1*1.2*0.5,IF(AND(EXACT(G150,'Data Base'!$T$37),OR(EXACT(H150,'Data Base'!$V$36),EXACT(H150,'Data Base'!$V$35)),EXACT(K150,'Data Base'!$X$35)),I150*1.25*1*1,IF(AND(EXACT(G150,'Data Base'!$T$37),EXACT(H150,'Data Base'!$V$37),EXACT(K150,'Data Base'!$X$35)),I150*1.25*0.5*1,IF(AND(EXACT(G150,'Data Base'!$T$37),EXACT(H150,'Data Base'!$V$38),EXACT(K150,'Data Base'!$X$35)),I150*1.25*1.2*1,IF(AND(EXACT(G150,'Data Base'!$T$37),OR(EXACT(H150,'Data Base'!$V$36),EXACT(H150,'Data Base'!$V$35)),EXACT(K150,'Data Base'!$X$36)),I150*1.25*1*0.75,IF(AND(EXACT(G150,'Data Base'!$T$37),EXACT(H150,'Data Base'!$V$37),EXACT(K150,'Data Base'!$X$36)),I150*1.25*0.5*0.75,IF(AND(EXACT(G150,'Data Base'!$T$37),EXACT(H150,'Data Base'!$V$38),EXACT(K150,'Data Base'!$X$36)),I150*1.25*1.2*0.75,IF(AND(EXACT(G150,'Data Base'!$T$37),OR(EXACT(H150,'Data Base'!$V$36),EXACT(H150,'Data Base'!$V$35)),EXACT(K150,'Data Base'!$X$37)),I150*1.25*1*0.5,IF(AND(EXACT(G150,'Data Base'!$T$37),EXACT(H150,'Data Base'!$V$37),EXACT(K150,'Data Base'!$X$37)),I150*1.25*0.5*0.5,IF(AND(EXACT(G150,'Data Base'!$T$37),EXACT(H150,'Data Base'!$V$38),EXACT(K150,'Data Base'!$X$37)),I150*1.25*1.2*0.5))))))))))))))))))))))))))),"")</f>
        <v/>
      </c>
    </row>
    <row r="151" spans="1:13" ht="21" customHeight="1">
      <c r="A151" s="99">
        <v>3</v>
      </c>
      <c r="B151" s="1349" t="str">
        <f t="shared" si="18"/>
        <v/>
      </c>
      <c r="C151" s="1350"/>
      <c r="D151" s="148" t="str">
        <f t="shared" si="19"/>
        <v/>
      </c>
      <c r="E151" s="1351"/>
      <c r="F151" s="1352"/>
      <c r="G151" s="165"/>
      <c r="H151" s="140"/>
      <c r="I151" s="4"/>
      <c r="J151" s="4"/>
      <c r="K151" s="140"/>
      <c r="L151" s="4" t="s">
        <v>652</v>
      </c>
      <c r="M151" s="166" t="str">
        <f>IF(AND(NOT(EXACT(D151,"")),NOT(EXACT(G151,"")),NOT(EXACT(E151,"")),NOT(EXACT(B151,"")),NOT(EXACT(I151,"")),NOT(EXACT(H151,""))),IF(AND(EXACT(G151,'Data Base'!$T$35),OR(EXACT(H151,'Data Base'!$V$36),EXACT(H151,'Data Base'!$V$35)),EXACT(K151,'Data Base'!$X$35)),I151*0.5*1*1,IF(AND(EXACT(G151,'Data Base'!$T$35),EXACT(H151,'Data Base'!$V$37),EXACT(K151,'Data Base'!$X$35)),I151*0.5*0.5*1,IF(AND(EXACT(G151,'Data Base'!$T$35),EXACT(H151,'Data Base'!$V$38),EXACT(K151,'Data Base'!$X$35)),I151*0.5*1.2*1,IF(AND(EXACT(G151,'Data Base'!$T$35),OR(EXACT(H151,'Data Base'!$V$36),EXACT(H151,'Data Base'!$V$35)),EXACT(K151,'Data Base'!$X$36)),I151*0.5*1*0.75,IF(AND(EXACT(G151,'Data Base'!$T$35),EXACT(H151,'Data Base'!$V$37),EXACT(K151,'Data Base'!$X$36)),I151*0.5*0.5*0.75,IF(AND(EXACT(G151,'Data Base'!$T$35),EXACT(H151,'Data Base'!$V$38),EXACT(K151,'Data Base'!$X$36)),I151*0.5*1.2*0.75,IF(AND(EXACT(G151,'Data Base'!$T$35),OR(EXACT(H151,'Data Base'!$V$36),EXACT(H151,'Data Base'!$V$35)),EXACT(K151,'Data Base'!$X$37)),I151*0.5*1*0.5,IF(AND(EXACT(G151,'Data Base'!$T$35),EXACT(H151,'Data Base'!$V$37),EXACT(K151,'Data Base'!$X$37)),I151*0.5*0.5*0.5,IF(AND(EXACT(G151,'Data Base'!$T$35),EXACT(H151,'Data Base'!$V$38),EXACT(K151,'Data Base'!$X$37)),I151*0.5*1.2*0.5,IF(AND(EXACT(G151,'Data Base'!$T$36),OR(EXACT(H151,'Data Base'!$V$36),EXACT(H151,'Data Base'!$V$35)),EXACT(K151,'Data Base'!$X$35)),I151*1*1*1,IF(AND(EXACT(G151,'Data Base'!$T$36),EXACT(H151,'Data Base'!$V$37),EXACT(K151,'Data Base'!$X$35)),I151*1*0.5*1,IF(AND(EXACT(G151,'Data Base'!$T$36),EXACT(H151,'Data Base'!$V$38),EXACT(K151,'Data Base'!$X$35)),I151*1*1.2*1,IF(AND(EXACT(G151,'Data Base'!$T$36),OR(EXACT(H151,'Data Base'!$V$36),EXACT(H151,'Data Base'!$V$35)),EXACT(K151,'Data Base'!$X$36)),I151*1*1*0.75,IF(AND(EXACT(G151,'Data Base'!$T$36),EXACT(H151,'Data Base'!$V$37),EXACT(K151,'Data Base'!$X$36)),I151*1*0.5*0.75,IF(AND(EXACT(G151,'Data Base'!$T$36),EXACT(H151,'Data Base'!$V$38),EXACT(K151,'Data Base'!$X$36)),I151*1*1.2*0.75,IF(AND(EXACT(G151,'Data Base'!$T$36),OR(EXACT(H151,'Data Base'!$V$36),EXACT(H151,'Data Base'!$V$35)),EXACT(K151,'Data Base'!$X$37)),I151*1*1*0.5,IF(AND(EXACT(G151,'Data Base'!$T$36),EXACT(H151,'Data Base'!$V$37),EXACT(K151,'Data Base'!$X$37)),I151*1*0.5*0.5,IF(AND(EXACT(G151,'Data Base'!$T$36),EXACT(H151,'Data Base'!$V$38),EXACT(K151,'Data Base'!$X$37)),I151*1*1.2*0.5,IF(AND(EXACT(G151,'Data Base'!$T$37),OR(EXACT(H151,'Data Base'!$V$36),EXACT(H151,'Data Base'!$V$35)),EXACT(K151,'Data Base'!$X$35)),I151*1.25*1*1,IF(AND(EXACT(G151,'Data Base'!$T$37),EXACT(H151,'Data Base'!$V$37),EXACT(K151,'Data Base'!$X$35)),I151*1.25*0.5*1,IF(AND(EXACT(G151,'Data Base'!$T$37),EXACT(H151,'Data Base'!$V$38),EXACT(K151,'Data Base'!$X$35)),I151*1.25*1.2*1,IF(AND(EXACT(G151,'Data Base'!$T$37),OR(EXACT(H151,'Data Base'!$V$36),EXACT(H151,'Data Base'!$V$35)),EXACT(K151,'Data Base'!$X$36)),I151*1.25*1*0.75,IF(AND(EXACT(G151,'Data Base'!$T$37),EXACT(H151,'Data Base'!$V$37),EXACT(K151,'Data Base'!$X$36)),I151*1.25*0.5*0.75,IF(AND(EXACT(G151,'Data Base'!$T$37),EXACT(H151,'Data Base'!$V$38),EXACT(K151,'Data Base'!$X$36)),I151*1.25*1.2*0.75,IF(AND(EXACT(G151,'Data Base'!$T$37),OR(EXACT(H151,'Data Base'!$V$36),EXACT(H151,'Data Base'!$V$35)),EXACT(K151,'Data Base'!$X$37)),I151*1.25*1*0.5,IF(AND(EXACT(G151,'Data Base'!$T$37),EXACT(H151,'Data Base'!$V$37),EXACT(K151,'Data Base'!$X$37)),I151*1.25*0.5*0.5,IF(AND(EXACT(G151,'Data Base'!$T$37),EXACT(H151,'Data Base'!$V$38),EXACT(K151,'Data Base'!$X$37)),I151*1.25*1.2*0.5))))))))))))))))))))))))))),"")</f>
        <v/>
      </c>
    </row>
    <row r="152" spans="1:13" ht="21" customHeight="1">
      <c r="A152" s="97">
        <v>4</v>
      </c>
      <c r="B152" s="1349" t="str">
        <f t="shared" si="18"/>
        <v/>
      </c>
      <c r="C152" s="1350"/>
      <c r="D152" s="148" t="str">
        <f t="shared" si="19"/>
        <v/>
      </c>
      <c r="E152" s="1351"/>
      <c r="F152" s="1352"/>
      <c r="G152" s="165"/>
      <c r="H152" s="140"/>
      <c r="I152" s="4"/>
      <c r="J152" s="4"/>
      <c r="K152" s="140"/>
      <c r="L152" s="4" t="s">
        <v>652</v>
      </c>
      <c r="M152" s="166" t="str">
        <f>IF(AND(NOT(EXACT(D152,"")),NOT(EXACT(G152,"")),NOT(EXACT(E152,"")),NOT(EXACT(B152,"")),NOT(EXACT(I152,"")),NOT(EXACT(H152,""))),IF(AND(EXACT(G152,'Data Base'!$T$35),OR(EXACT(H152,'Data Base'!$V$36),EXACT(H152,'Data Base'!$V$35)),EXACT(K152,'Data Base'!$X$35)),I152*0.5*1*1,IF(AND(EXACT(G152,'Data Base'!$T$35),EXACT(H152,'Data Base'!$V$37),EXACT(K152,'Data Base'!$X$35)),I152*0.5*0.5*1,IF(AND(EXACT(G152,'Data Base'!$T$35),EXACT(H152,'Data Base'!$V$38),EXACT(K152,'Data Base'!$X$35)),I152*0.5*1.2*1,IF(AND(EXACT(G152,'Data Base'!$T$35),OR(EXACT(H152,'Data Base'!$V$36),EXACT(H152,'Data Base'!$V$35)),EXACT(K152,'Data Base'!$X$36)),I152*0.5*1*0.75,IF(AND(EXACT(G152,'Data Base'!$T$35),EXACT(H152,'Data Base'!$V$37),EXACT(K152,'Data Base'!$X$36)),I152*0.5*0.5*0.75,IF(AND(EXACT(G152,'Data Base'!$T$35),EXACT(H152,'Data Base'!$V$38),EXACT(K152,'Data Base'!$X$36)),I152*0.5*1.2*0.75,IF(AND(EXACT(G152,'Data Base'!$T$35),OR(EXACT(H152,'Data Base'!$V$36),EXACT(H152,'Data Base'!$V$35)),EXACT(K152,'Data Base'!$X$37)),I152*0.5*1*0.5,IF(AND(EXACT(G152,'Data Base'!$T$35),EXACT(H152,'Data Base'!$V$37),EXACT(K152,'Data Base'!$X$37)),I152*0.5*0.5*0.5,IF(AND(EXACT(G152,'Data Base'!$T$35),EXACT(H152,'Data Base'!$V$38),EXACT(K152,'Data Base'!$X$37)),I152*0.5*1.2*0.5,IF(AND(EXACT(G152,'Data Base'!$T$36),OR(EXACT(H152,'Data Base'!$V$36),EXACT(H152,'Data Base'!$V$35)),EXACT(K152,'Data Base'!$X$35)),I152*1*1*1,IF(AND(EXACT(G152,'Data Base'!$T$36),EXACT(H152,'Data Base'!$V$37),EXACT(K152,'Data Base'!$X$35)),I152*1*0.5*1,IF(AND(EXACT(G152,'Data Base'!$T$36),EXACT(H152,'Data Base'!$V$38),EXACT(K152,'Data Base'!$X$35)),I152*1*1.2*1,IF(AND(EXACT(G152,'Data Base'!$T$36),OR(EXACT(H152,'Data Base'!$V$36),EXACT(H152,'Data Base'!$V$35)),EXACT(K152,'Data Base'!$X$36)),I152*1*1*0.75,IF(AND(EXACT(G152,'Data Base'!$T$36),EXACT(H152,'Data Base'!$V$37),EXACT(K152,'Data Base'!$X$36)),I152*1*0.5*0.75,IF(AND(EXACT(G152,'Data Base'!$T$36),EXACT(H152,'Data Base'!$V$38),EXACT(K152,'Data Base'!$X$36)),I152*1*1.2*0.75,IF(AND(EXACT(G152,'Data Base'!$T$36),OR(EXACT(H152,'Data Base'!$V$36),EXACT(H152,'Data Base'!$V$35)),EXACT(K152,'Data Base'!$X$37)),I152*1*1*0.5,IF(AND(EXACT(G152,'Data Base'!$T$36),EXACT(H152,'Data Base'!$V$37),EXACT(K152,'Data Base'!$X$37)),I152*1*0.5*0.5,IF(AND(EXACT(G152,'Data Base'!$T$36),EXACT(H152,'Data Base'!$V$38),EXACT(K152,'Data Base'!$X$37)),I152*1*1.2*0.5,IF(AND(EXACT(G152,'Data Base'!$T$37),OR(EXACT(H152,'Data Base'!$V$36),EXACT(H152,'Data Base'!$V$35)),EXACT(K152,'Data Base'!$X$35)),I152*1.25*1*1,IF(AND(EXACT(G152,'Data Base'!$T$37),EXACT(H152,'Data Base'!$V$37),EXACT(K152,'Data Base'!$X$35)),I152*1.25*0.5*1,IF(AND(EXACT(G152,'Data Base'!$T$37),EXACT(H152,'Data Base'!$V$38),EXACT(K152,'Data Base'!$X$35)),I152*1.25*1.2*1,IF(AND(EXACT(G152,'Data Base'!$T$37),OR(EXACT(H152,'Data Base'!$V$36),EXACT(H152,'Data Base'!$V$35)),EXACT(K152,'Data Base'!$X$36)),I152*1.25*1*0.75,IF(AND(EXACT(G152,'Data Base'!$T$37),EXACT(H152,'Data Base'!$V$37),EXACT(K152,'Data Base'!$X$36)),I152*1.25*0.5*0.75,IF(AND(EXACT(G152,'Data Base'!$T$37),EXACT(H152,'Data Base'!$V$38),EXACT(K152,'Data Base'!$X$36)),I152*1.25*1.2*0.75,IF(AND(EXACT(G152,'Data Base'!$T$37),OR(EXACT(H152,'Data Base'!$V$36),EXACT(H152,'Data Base'!$V$35)),EXACT(K152,'Data Base'!$X$37)),I152*1.25*1*0.5,IF(AND(EXACT(G152,'Data Base'!$T$37),EXACT(H152,'Data Base'!$V$37),EXACT(K152,'Data Base'!$X$37)),I152*1.25*0.5*0.5,IF(AND(EXACT(G152,'Data Base'!$T$37),EXACT(H152,'Data Base'!$V$38),EXACT(K152,'Data Base'!$X$37)),I152*1.25*1.2*0.5))))))))))))))))))))))))))),"")</f>
        <v/>
      </c>
    </row>
    <row r="153" spans="1:13" ht="21" customHeight="1">
      <c r="A153" s="99">
        <v>5</v>
      </c>
      <c r="B153" s="1349" t="str">
        <f t="shared" si="18"/>
        <v/>
      </c>
      <c r="C153" s="1350"/>
      <c r="D153" s="148" t="str">
        <f t="shared" si="19"/>
        <v/>
      </c>
      <c r="E153" s="1351"/>
      <c r="F153" s="1352"/>
      <c r="G153" s="165"/>
      <c r="H153" s="140"/>
      <c r="I153" s="4"/>
      <c r="J153" s="4"/>
      <c r="K153" s="140"/>
      <c r="L153" s="4" t="s">
        <v>652</v>
      </c>
      <c r="M153" s="166" t="str">
        <f>IF(AND(NOT(EXACT(D153,"")),NOT(EXACT(G153,"")),NOT(EXACT(E153,"")),NOT(EXACT(B153,"")),NOT(EXACT(I153,"")),NOT(EXACT(H153,""))),IF(AND(EXACT(G153,'Data Base'!$T$35),OR(EXACT(H153,'Data Base'!$V$36),EXACT(H153,'Data Base'!$V$35)),EXACT(K153,'Data Base'!$X$35)),I153*0.5*1*1,IF(AND(EXACT(G153,'Data Base'!$T$35),EXACT(H153,'Data Base'!$V$37),EXACT(K153,'Data Base'!$X$35)),I153*0.5*0.5*1,IF(AND(EXACT(G153,'Data Base'!$T$35),EXACT(H153,'Data Base'!$V$38),EXACT(K153,'Data Base'!$X$35)),I153*0.5*1.2*1,IF(AND(EXACT(G153,'Data Base'!$T$35),OR(EXACT(H153,'Data Base'!$V$36),EXACT(H153,'Data Base'!$V$35)),EXACT(K153,'Data Base'!$X$36)),I153*0.5*1*0.75,IF(AND(EXACT(G153,'Data Base'!$T$35),EXACT(H153,'Data Base'!$V$37),EXACT(K153,'Data Base'!$X$36)),I153*0.5*0.5*0.75,IF(AND(EXACT(G153,'Data Base'!$T$35),EXACT(H153,'Data Base'!$V$38),EXACT(K153,'Data Base'!$X$36)),I153*0.5*1.2*0.75,IF(AND(EXACT(G153,'Data Base'!$T$35),OR(EXACT(H153,'Data Base'!$V$36),EXACT(H153,'Data Base'!$V$35)),EXACT(K153,'Data Base'!$X$37)),I153*0.5*1*0.5,IF(AND(EXACT(G153,'Data Base'!$T$35),EXACT(H153,'Data Base'!$V$37),EXACT(K153,'Data Base'!$X$37)),I153*0.5*0.5*0.5,IF(AND(EXACT(G153,'Data Base'!$T$35),EXACT(H153,'Data Base'!$V$38),EXACT(K153,'Data Base'!$X$37)),I153*0.5*1.2*0.5,IF(AND(EXACT(G153,'Data Base'!$T$36),OR(EXACT(H153,'Data Base'!$V$36),EXACT(H153,'Data Base'!$V$35)),EXACT(K153,'Data Base'!$X$35)),I153*1*1*1,IF(AND(EXACT(G153,'Data Base'!$T$36),EXACT(H153,'Data Base'!$V$37),EXACT(K153,'Data Base'!$X$35)),I153*1*0.5*1,IF(AND(EXACT(G153,'Data Base'!$T$36),EXACT(H153,'Data Base'!$V$38),EXACT(K153,'Data Base'!$X$35)),I153*1*1.2*1,IF(AND(EXACT(G153,'Data Base'!$T$36),OR(EXACT(H153,'Data Base'!$V$36),EXACT(H153,'Data Base'!$V$35)),EXACT(K153,'Data Base'!$X$36)),I153*1*1*0.75,IF(AND(EXACT(G153,'Data Base'!$T$36),EXACT(H153,'Data Base'!$V$37),EXACT(K153,'Data Base'!$X$36)),I153*1*0.5*0.75,IF(AND(EXACT(G153,'Data Base'!$T$36),EXACT(H153,'Data Base'!$V$38),EXACT(K153,'Data Base'!$X$36)),I153*1*1.2*0.75,IF(AND(EXACT(G153,'Data Base'!$T$36),OR(EXACT(H153,'Data Base'!$V$36),EXACT(H153,'Data Base'!$V$35)),EXACT(K153,'Data Base'!$X$37)),I153*1*1*0.5,IF(AND(EXACT(G153,'Data Base'!$T$36),EXACT(H153,'Data Base'!$V$37),EXACT(K153,'Data Base'!$X$37)),I153*1*0.5*0.5,IF(AND(EXACT(G153,'Data Base'!$T$36),EXACT(H153,'Data Base'!$V$38),EXACT(K153,'Data Base'!$X$37)),I153*1*1.2*0.5,IF(AND(EXACT(G153,'Data Base'!$T$37),OR(EXACT(H153,'Data Base'!$V$36),EXACT(H153,'Data Base'!$V$35)),EXACT(K153,'Data Base'!$X$35)),I153*1.25*1*1,IF(AND(EXACT(G153,'Data Base'!$T$37),EXACT(H153,'Data Base'!$V$37),EXACT(K153,'Data Base'!$X$35)),I153*1.25*0.5*1,IF(AND(EXACT(G153,'Data Base'!$T$37),EXACT(H153,'Data Base'!$V$38),EXACT(K153,'Data Base'!$X$35)),I153*1.25*1.2*1,IF(AND(EXACT(G153,'Data Base'!$T$37),OR(EXACT(H153,'Data Base'!$V$36),EXACT(H153,'Data Base'!$V$35)),EXACT(K153,'Data Base'!$X$36)),I153*1.25*1*0.75,IF(AND(EXACT(G153,'Data Base'!$T$37),EXACT(H153,'Data Base'!$V$37),EXACT(K153,'Data Base'!$X$36)),I153*1.25*0.5*0.75,IF(AND(EXACT(G153,'Data Base'!$T$37),EXACT(H153,'Data Base'!$V$38),EXACT(K153,'Data Base'!$X$36)),I153*1.25*1.2*0.75,IF(AND(EXACT(G153,'Data Base'!$T$37),OR(EXACT(H153,'Data Base'!$V$36),EXACT(H153,'Data Base'!$V$35)),EXACT(K153,'Data Base'!$X$37)),I153*1.25*1*0.5,IF(AND(EXACT(G153,'Data Base'!$T$37),EXACT(H153,'Data Base'!$V$37),EXACT(K153,'Data Base'!$X$37)),I153*1.25*0.5*0.5,IF(AND(EXACT(G153,'Data Base'!$T$37),EXACT(H153,'Data Base'!$V$38),EXACT(K153,'Data Base'!$X$37)),I153*1.25*1.2*0.5))))))))))))))))))))))))))),"")</f>
        <v/>
      </c>
    </row>
    <row r="154" spans="1:13" ht="21" customHeight="1">
      <c r="A154" s="99">
        <v>6</v>
      </c>
      <c r="B154" s="1349" t="str">
        <f t="shared" si="18"/>
        <v/>
      </c>
      <c r="C154" s="1350"/>
      <c r="D154" s="148" t="str">
        <f t="shared" si="19"/>
        <v/>
      </c>
      <c r="E154" s="1351"/>
      <c r="F154" s="1352"/>
      <c r="G154" s="165"/>
      <c r="H154" s="140"/>
      <c r="I154" s="4"/>
      <c r="J154" s="4"/>
      <c r="K154" s="140"/>
      <c r="L154" s="4" t="s">
        <v>652</v>
      </c>
      <c r="M154" s="166" t="str">
        <f>IF(AND(NOT(EXACT(D154,"")),NOT(EXACT(G154,"")),NOT(EXACT(E154,"")),NOT(EXACT(B154,"")),NOT(EXACT(I154,"")),NOT(EXACT(H154,""))),IF(AND(EXACT(G154,'Data Base'!$T$35),OR(EXACT(H154,'Data Base'!$V$36),EXACT(H154,'Data Base'!$V$35)),EXACT(K154,'Data Base'!$X$35)),I154*0.5*1*1,IF(AND(EXACT(G154,'Data Base'!$T$35),EXACT(H154,'Data Base'!$V$37),EXACT(K154,'Data Base'!$X$35)),I154*0.5*0.5*1,IF(AND(EXACT(G154,'Data Base'!$T$35),EXACT(H154,'Data Base'!$V$38),EXACT(K154,'Data Base'!$X$35)),I154*0.5*1.2*1,IF(AND(EXACT(G154,'Data Base'!$T$35),OR(EXACT(H154,'Data Base'!$V$36),EXACT(H154,'Data Base'!$V$35)),EXACT(K154,'Data Base'!$X$36)),I154*0.5*1*0.75,IF(AND(EXACT(G154,'Data Base'!$T$35),EXACT(H154,'Data Base'!$V$37),EXACT(K154,'Data Base'!$X$36)),I154*0.5*0.5*0.75,IF(AND(EXACT(G154,'Data Base'!$T$35),EXACT(H154,'Data Base'!$V$38),EXACT(K154,'Data Base'!$X$36)),I154*0.5*1.2*0.75,IF(AND(EXACT(G154,'Data Base'!$T$35),OR(EXACT(H154,'Data Base'!$V$36),EXACT(H154,'Data Base'!$V$35)),EXACT(K154,'Data Base'!$X$37)),I154*0.5*1*0.5,IF(AND(EXACT(G154,'Data Base'!$T$35),EXACT(H154,'Data Base'!$V$37),EXACT(K154,'Data Base'!$X$37)),I154*0.5*0.5*0.5,IF(AND(EXACT(G154,'Data Base'!$T$35),EXACT(H154,'Data Base'!$V$38),EXACT(K154,'Data Base'!$X$37)),I154*0.5*1.2*0.5,IF(AND(EXACT(G154,'Data Base'!$T$36),OR(EXACT(H154,'Data Base'!$V$36),EXACT(H154,'Data Base'!$V$35)),EXACT(K154,'Data Base'!$X$35)),I154*1*1*1,IF(AND(EXACT(G154,'Data Base'!$T$36),EXACT(H154,'Data Base'!$V$37),EXACT(K154,'Data Base'!$X$35)),I154*1*0.5*1,IF(AND(EXACT(G154,'Data Base'!$T$36),EXACT(H154,'Data Base'!$V$38),EXACT(K154,'Data Base'!$X$35)),I154*1*1.2*1,IF(AND(EXACT(G154,'Data Base'!$T$36),OR(EXACT(H154,'Data Base'!$V$36),EXACT(H154,'Data Base'!$V$35)),EXACT(K154,'Data Base'!$X$36)),I154*1*1*0.75,IF(AND(EXACT(G154,'Data Base'!$T$36),EXACT(H154,'Data Base'!$V$37),EXACT(K154,'Data Base'!$X$36)),I154*1*0.5*0.75,IF(AND(EXACT(G154,'Data Base'!$T$36),EXACT(H154,'Data Base'!$V$38),EXACT(K154,'Data Base'!$X$36)),I154*1*1.2*0.75,IF(AND(EXACT(G154,'Data Base'!$T$36),OR(EXACT(H154,'Data Base'!$V$36),EXACT(H154,'Data Base'!$V$35)),EXACT(K154,'Data Base'!$X$37)),I154*1*1*0.5,IF(AND(EXACT(G154,'Data Base'!$T$36),EXACT(H154,'Data Base'!$V$37),EXACT(K154,'Data Base'!$X$37)),I154*1*0.5*0.5,IF(AND(EXACT(G154,'Data Base'!$T$36),EXACT(H154,'Data Base'!$V$38),EXACT(K154,'Data Base'!$X$37)),I154*1*1.2*0.5,IF(AND(EXACT(G154,'Data Base'!$T$37),OR(EXACT(H154,'Data Base'!$V$36),EXACT(H154,'Data Base'!$V$35)),EXACT(K154,'Data Base'!$X$35)),I154*1.25*1*1,IF(AND(EXACT(G154,'Data Base'!$T$37),EXACT(H154,'Data Base'!$V$37),EXACT(K154,'Data Base'!$X$35)),I154*1.25*0.5*1,IF(AND(EXACT(G154,'Data Base'!$T$37),EXACT(H154,'Data Base'!$V$38),EXACT(K154,'Data Base'!$X$35)),I154*1.25*1.2*1,IF(AND(EXACT(G154,'Data Base'!$T$37),OR(EXACT(H154,'Data Base'!$V$36),EXACT(H154,'Data Base'!$V$35)),EXACT(K154,'Data Base'!$X$36)),I154*1.25*1*0.75,IF(AND(EXACT(G154,'Data Base'!$T$37),EXACT(H154,'Data Base'!$V$37),EXACT(K154,'Data Base'!$X$36)),I154*1.25*0.5*0.75,IF(AND(EXACT(G154,'Data Base'!$T$37),EXACT(H154,'Data Base'!$V$38),EXACT(K154,'Data Base'!$X$36)),I154*1.25*1.2*0.75,IF(AND(EXACT(G154,'Data Base'!$T$37),OR(EXACT(H154,'Data Base'!$V$36),EXACT(H154,'Data Base'!$V$35)),EXACT(K154,'Data Base'!$X$37)),I154*1.25*1*0.5,IF(AND(EXACT(G154,'Data Base'!$T$37),EXACT(H154,'Data Base'!$V$37),EXACT(K154,'Data Base'!$X$37)),I154*1.25*0.5*0.5,IF(AND(EXACT(G154,'Data Base'!$T$37),EXACT(H154,'Data Base'!$V$38),EXACT(K154,'Data Base'!$X$37)),I154*1.25*1.2*0.5))))))))))))))))))))))))))),"")</f>
        <v/>
      </c>
    </row>
    <row r="155" spans="1:13" ht="21" customHeight="1">
      <c r="A155" s="97">
        <v>7</v>
      </c>
      <c r="B155" s="1349" t="str">
        <f t="shared" si="18"/>
        <v/>
      </c>
      <c r="C155" s="1350"/>
      <c r="D155" s="148" t="str">
        <f t="shared" si="19"/>
        <v/>
      </c>
      <c r="E155" s="1351"/>
      <c r="F155" s="1352"/>
      <c r="G155" s="165"/>
      <c r="H155" s="140"/>
      <c r="I155" s="4"/>
      <c r="J155" s="4"/>
      <c r="K155" s="140"/>
      <c r="L155" s="4" t="s">
        <v>652</v>
      </c>
      <c r="M155" s="166" t="str">
        <f>IF(AND(NOT(EXACT(D155,"")),NOT(EXACT(G155,"")),NOT(EXACT(E155,"")),NOT(EXACT(B155,"")),NOT(EXACT(I155,"")),NOT(EXACT(H155,""))),IF(AND(EXACT(G155,'Data Base'!$T$35),OR(EXACT(H155,'Data Base'!$V$36),EXACT(H155,'Data Base'!$V$35)),EXACT(K155,'Data Base'!$X$35)),I155*0.5*1*1,IF(AND(EXACT(G155,'Data Base'!$T$35),EXACT(H155,'Data Base'!$V$37),EXACT(K155,'Data Base'!$X$35)),I155*0.5*0.5*1,IF(AND(EXACT(G155,'Data Base'!$T$35),EXACT(H155,'Data Base'!$V$38),EXACT(K155,'Data Base'!$X$35)),I155*0.5*1.2*1,IF(AND(EXACT(G155,'Data Base'!$T$35),OR(EXACT(H155,'Data Base'!$V$36),EXACT(H155,'Data Base'!$V$35)),EXACT(K155,'Data Base'!$X$36)),I155*0.5*1*0.75,IF(AND(EXACT(G155,'Data Base'!$T$35),EXACT(H155,'Data Base'!$V$37),EXACT(K155,'Data Base'!$X$36)),I155*0.5*0.5*0.75,IF(AND(EXACT(G155,'Data Base'!$T$35),EXACT(H155,'Data Base'!$V$38),EXACT(K155,'Data Base'!$X$36)),I155*0.5*1.2*0.75,IF(AND(EXACT(G155,'Data Base'!$T$35),OR(EXACT(H155,'Data Base'!$V$36),EXACT(H155,'Data Base'!$V$35)),EXACT(K155,'Data Base'!$X$37)),I155*0.5*1*0.5,IF(AND(EXACT(G155,'Data Base'!$T$35),EXACT(H155,'Data Base'!$V$37),EXACT(K155,'Data Base'!$X$37)),I155*0.5*0.5*0.5,IF(AND(EXACT(G155,'Data Base'!$T$35),EXACT(H155,'Data Base'!$V$38),EXACT(K155,'Data Base'!$X$37)),I155*0.5*1.2*0.5,IF(AND(EXACT(G155,'Data Base'!$T$36),OR(EXACT(H155,'Data Base'!$V$36),EXACT(H155,'Data Base'!$V$35)),EXACT(K155,'Data Base'!$X$35)),I155*1*1*1,IF(AND(EXACT(G155,'Data Base'!$T$36),EXACT(H155,'Data Base'!$V$37),EXACT(K155,'Data Base'!$X$35)),I155*1*0.5*1,IF(AND(EXACT(G155,'Data Base'!$T$36),EXACT(H155,'Data Base'!$V$38),EXACT(K155,'Data Base'!$X$35)),I155*1*1.2*1,IF(AND(EXACT(G155,'Data Base'!$T$36),OR(EXACT(H155,'Data Base'!$V$36),EXACT(H155,'Data Base'!$V$35)),EXACT(K155,'Data Base'!$X$36)),I155*1*1*0.75,IF(AND(EXACT(G155,'Data Base'!$T$36),EXACT(H155,'Data Base'!$V$37),EXACT(K155,'Data Base'!$X$36)),I155*1*0.5*0.75,IF(AND(EXACT(G155,'Data Base'!$T$36),EXACT(H155,'Data Base'!$V$38),EXACT(K155,'Data Base'!$X$36)),I155*1*1.2*0.75,IF(AND(EXACT(G155,'Data Base'!$T$36),OR(EXACT(H155,'Data Base'!$V$36),EXACT(H155,'Data Base'!$V$35)),EXACT(K155,'Data Base'!$X$37)),I155*1*1*0.5,IF(AND(EXACT(G155,'Data Base'!$T$36),EXACT(H155,'Data Base'!$V$37),EXACT(K155,'Data Base'!$X$37)),I155*1*0.5*0.5,IF(AND(EXACT(G155,'Data Base'!$T$36),EXACT(H155,'Data Base'!$V$38),EXACT(K155,'Data Base'!$X$37)),I155*1*1.2*0.5,IF(AND(EXACT(G155,'Data Base'!$T$37),OR(EXACT(H155,'Data Base'!$V$36),EXACT(H155,'Data Base'!$V$35)),EXACT(K155,'Data Base'!$X$35)),I155*1.25*1*1,IF(AND(EXACT(G155,'Data Base'!$T$37),EXACT(H155,'Data Base'!$V$37),EXACT(K155,'Data Base'!$X$35)),I155*1.25*0.5*1,IF(AND(EXACT(G155,'Data Base'!$T$37),EXACT(H155,'Data Base'!$V$38),EXACT(K155,'Data Base'!$X$35)),I155*1.25*1.2*1,IF(AND(EXACT(G155,'Data Base'!$T$37),OR(EXACT(H155,'Data Base'!$V$36),EXACT(H155,'Data Base'!$V$35)),EXACT(K155,'Data Base'!$X$36)),I155*1.25*1*0.75,IF(AND(EXACT(G155,'Data Base'!$T$37),EXACT(H155,'Data Base'!$V$37),EXACT(K155,'Data Base'!$X$36)),I155*1.25*0.5*0.75,IF(AND(EXACT(G155,'Data Base'!$T$37),EXACT(H155,'Data Base'!$V$38),EXACT(K155,'Data Base'!$X$36)),I155*1.25*1.2*0.75,IF(AND(EXACT(G155,'Data Base'!$T$37),OR(EXACT(H155,'Data Base'!$V$36),EXACT(H155,'Data Base'!$V$35)),EXACT(K155,'Data Base'!$X$37)),I155*1.25*1*0.5,IF(AND(EXACT(G155,'Data Base'!$T$37),EXACT(H155,'Data Base'!$V$37),EXACT(K155,'Data Base'!$X$37)),I155*1.25*0.5*0.5,IF(AND(EXACT(G155,'Data Base'!$T$37),EXACT(H155,'Data Base'!$V$38),EXACT(K155,'Data Base'!$X$37)),I155*1.25*1.2*0.5))))))))))))))))))))))))))),"")</f>
        <v/>
      </c>
    </row>
    <row r="156" spans="1:13" ht="21" customHeight="1">
      <c r="A156" s="99">
        <v>8</v>
      </c>
      <c r="B156" s="1349" t="str">
        <f t="shared" si="18"/>
        <v/>
      </c>
      <c r="C156" s="1350"/>
      <c r="D156" s="148" t="str">
        <f t="shared" si="19"/>
        <v/>
      </c>
      <c r="E156" s="1351"/>
      <c r="F156" s="1352"/>
      <c r="G156" s="165"/>
      <c r="H156" s="140"/>
      <c r="I156" s="4"/>
      <c r="J156" s="4"/>
      <c r="K156" s="140"/>
      <c r="L156" s="4" t="s">
        <v>652</v>
      </c>
      <c r="M156" s="166" t="str">
        <f>IF(AND(NOT(EXACT(D156,"")),NOT(EXACT(G156,"")),NOT(EXACT(E156,"")),NOT(EXACT(B156,"")),NOT(EXACT(I156,"")),NOT(EXACT(H156,""))),IF(AND(EXACT(G156,'Data Base'!$T$35),OR(EXACT(H156,'Data Base'!$V$36),EXACT(H156,'Data Base'!$V$35)),EXACT(K156,'Data Base'!$X$35)),I156*0.5*1*1,IF(AND(EXACT(G156,'Data Base'!$T$35),EXACT(H156,'Data Base'!$V$37),EXACT(K156,'Data Base'!$X$35)),I156*0.5*0.5*1,IF(AND(EXACT(G156,'Data Base'!$T$35),EXACT(H156,'Data Base'!$V$38),EXACT(K156,'Data Base'!$X$35)),I156*0.5*1.2*1,IF(AND(EXACT(G156,'Data Base'!$T$35),OR(EXACT(H156,'Data Base'!$V$36),EXACT(H156,'Data Base'!$V$35)),EXACT(K156,'Data Base'!$X$36)),I156*0.5*1*0.75,IF(AND(EXACT(G156,'Data Base'!$T$35),EXACT(H156,'Data Base'!$V$37),EXACT(K156,'Data Base'!$X$36)),I156*0.5*0.5*0.75,IF(AND(EXACT(G156,'Data Base'!$T$35),EXACT(H156,'Data Base'!$V$38),EXACT(K156,'Data Base'!$X$36)),I156*0.5*1.2*0.75,IF(AND(EXACT(G156,'Data Base'!$T$35),OR(EXACT(H156,'Data Base'!$V$36),EXACT(H156,'Data Base'!$V$35)),EXACT(K156,'Data Base'!$X$37)),I156*0.5*1*0.5,IF(AND(EXACT(G156,'Data Base'!$T$35),EXACT(H156,'Data Base'!$V$37),EXACT(K156,'Data Base'!$X$37)),I156*0.5*0.5*0.5,IF(AND(EXACT(G156,'Data Base'!$T$35),EXACT(H156,'Data Base'!$V$38),EXACT(K156,'Data Base'!$X$37)),I156*0.5*1.2*0.5,IF(AND(EXACT(G156,'Data Base'!$T$36),OR(EXACT(H156,'Data Base'!$V$36),EXACT(H156,'Data Base'!$V$35)),EXACT(K156,'Data Base'!$X$35)),I156*1*1*1,IF(AND(EXACT(G156,'Data Base'!$T$36),EXACT(H156,'Data Base'!$V$37),EXACT(K156,'Data Base'!$X$35)),I156*1*0.5*1,IF(AND(EXACT(G156,'Data Base'!$T$36),EXACT(H156,'Data Base'!$V$38),EXACT(K156,'Data Base'!$X$35)),I156*1*1.2*1,IF(AND(EXACT(G156,'Data Base'!$T$36),OR(EXACT(H156,'Data Base'!$V$36),EXACT(H156,'Data Base'!$V$35)),EXACT(K156,'Data Base'!$X$36)),I156*1*1*0.75,IF(AND(EXACT(G156,'Data Base'!$T$36),EXACT(H156,'Data Base'!$V$37),EXACT(K156,'Data Base'!$X$36)),I156*1*0.5*0.75,IF(AND(EXACT(G156,'Data Base'!$T$36),EXACT(H156,'Data Base'!$V$38),EXACT(K156,'Data Base'!$X$36)),I156*1*1.2*0.75,IF(AND(EXACT(G156,'Data Base'!$T$36),OR(EXACT(H156,'Data Base'!$V$36),EXACT(H156,'Data Base'!$V$35)),EXACT(K156,'Data Base'!$X$37)),I156*1*1*0.5,IF(AND(EXACT(G156,'Data Base'!$T$36),EXACT(H156,'Data Base'!$V$37),EXACT(K156,'Data Base'!$X$37)),I156*1*0.5*0.5,IF(AND(EXACT(G156,'Data Base'!$T$36),EXACT(H156,'Data Base'!$V$38),EXACT(K156,'Data Base'!$X$37)),I156*1*1.2*0.5,IF(AND(EXACT(G156,'Data Base'!$T$37),OR(EXACT(H156,'Data Base'!$V$36),EXACT(H156,'Data Base'!$V$35)),EXACT(K156,'Data Base'!$X$35)),I156*1.25*1*1,IF(AND(EXACT(G156,'Data Base'!$T$37),EXACT(H156,'Data Base'!$V$37),EXACT(K156,'Data Base'!$X$35)),I156*1.25*0.5*1,IF(AND(EXACT(G156,'Data Base'!$T$37),EXACT(H156,'Data Base'!$V$38),EXACT(K156,'Data Base'!$X$35)),I156*1.25*1.2*1,IF(AND(EXACT(G156,'Data Base'!$T$37),OR(EXACT(H156,'Data Base'!$V$36),EXACT(H156,'Data Base'!$V$35)),EXACT(K156,'Data Base'!$X$36)),I156*1.25*1*0.75,IF(AND(EXACT(G156,'Data Base'!$T$37),EXACT(H156,'Data Base'!$V$37),EXACT(K156,'Data Base'!$X$36)),I156*1.25*0.5*0.75,IF(AND(EXACT(G156,'Data Base'!$T$37),EXACT(H156,'Data Base'!$V$38),EXACT(K156,'Data Base'!$X$36)),I156*1.25*1.2*0.75,IF(AND(EXACT(G156,'Data Base'!$T$37),OR(EXACT(H156,'Data Base'!$V$36),EXACT(H156,'Data Base'!$V$35)),EXACT(K156,'Data Base'!$X$37)),I156*1.25*1*0.5,IF(AND(EXACT(G156,'Data Base'!$T$37),EXACT(H156,'Data Base'!$V$37),EXACT(K156,'Data Base'!$X$37)),I156*1.25*0.5*0.5,IF(AND(EXACT(G156,'Data Base'!$T$37),EXACT(H156,'Data Base'!$V$38),EXACT(K156,'Data Base'!$X$37)),I156*1.25*1.2*0.5))))))))))))))))))))))))))),"")</f>
        <v/>
      </c>
    </row>
    <row r="157" spans="1:13" ht="21" customHeight="1">
      <c r="A157" s="99">
        <v>9</v>
      </c>
      <c r="B157" s="1349" t="str">
        <f t="shared" si="18"/>
        <v/>
      </c>
      <c r="C157" s="1350"/>
      <c r="D157" s="148" t="str">
        <f t="shared" si="19"/>
        <v/>
      </c>
      <c r="E157" s="1351"/>
      <c r="F157" s="1352"/>
      <c r="G157" s="165"/>
      <c r="H157" s="140"/>
      <c r="I157" s="4"/>
      <c r="J157" s="4"/>
      <c r="K157" s="140"/>
      <c r="L157" s="4" t="s">
        <v>652</v>
      </c>
      <c r="M157" s="166" t="str">
        <f>IF(AND(NOT(EXACT(D157,"")),NOT(EXACT(G157,"")),NOT(EXACT(E157,"")),NOT(EXACT(B157,"")),NOT(EXACT(I157,"")),NOT(EXACT(H157,""))),IF(AND(EXACT(G157,'Data Base'!$T$35),OR(EXACT(H157,'Data Base'!$V$36),EXACT(H157,'Data Base'!$V$35)),EXACT(K157,'Data Base'!$X$35)),I157*0.5*1*1,IF(AND(EXACT(G157,'Data Base'!$T$35),EXACT(H157,'Data Base'!$V$37),EXACT(K157,'Data Base'!$X$35)),I157*0.5*0.5*1,IF(AND(EXACT(G157,'Data Base'!$T$35),EXACT(H157,'Data Base'!$V$38),EXACT(K157,'Data Base'!$X$35)),I157*0.5*1.2*1,IF(AND(EXACT(G157,'Data Base'!$T$35),OR(EXACT(H157,'Data Base'!$V$36),EXACT(H157,'Data Base'!$V$35)),EXACT(K157,'Data Base'!$X$36)),I157*0.5*1*0.75,IF(AND(EXACT(G157,'Data Base'!$T$35),EXACT(H157,'Data Base'!$V$37),EXACT(K157,'Data Base'!$X$36)),I157*0.5*0.5*0.75,IF(AND(EXACT(G157,'Data Base'!$T$35),EXACT(H157,'Data Base'!$V$38),EXACT(K157,'Data Base'!$X$36)),I157*0.5*1.2*0.75,IF(AND(EXACT(G157,'Data Base'!$T$35),OR(EXACT(H157,'Data Base'!$V$36),EXACT(H157,'Data Base'!$V$35)),EXACT(K157,'Data Base'!$X$37)),I157*0.5*1*0.5,IF(AND(EXACT(G157,'Data Base'!$T$35),EXACT(H157,'Data Base'!$V$37),EXACT(K157,'Data Base'!$X$37)),I157*0.5*0.5*0.5,IF(AND(EXACT(G157,'Data Base'!$T$35),EXACT(H157,'Data Base'!$V$38),EXACT(K157,'Data Base'!$X$37)),I157*0.5*1.2*0.5,IF(AND(EXACT(G157,'Data Base'!$T$36),OR(EXACT(H157,'Data Base'!$V$36),EXACT(H157,'Data Base'!$V$35)),EXACT(K157,'Data Base'!$X$35)),I157*1*1*1,IF(AND(EXACT(G157,'Data Base'!$T$36),EXACT(H157,'Data Base'!$V$37),EXACT(K157,'Data Base'!$X$35)),I157*1*0.5*1,IF(AND(EXACT(G157,'Data Base'!$T$36),EXACT(H157,'Data Base'!$V$38),EXACT(K157,'Data Base'!$X$35)),I157*1*1.2*1,IF(AND(EXACT(G157,'Data Base'!$T$36),OR(EXACT(H157,'Data Base'!$V$36),EXACT(H157,'Data Base'!$V$35)),EXACT(K157,'Data Base'!$X$36)),I157*1*1*0.75,IF(AND(EXACT(G157,'Data Base'!$T$36),EXACT(H157,'Data Base'!$V$37),EXACT(K157,'Data Base'!$X$36)),I157*1*0.5*0.75,IF(AND(EXACT(G157,'Data Base'!$T$36),EXACT(H157,'Data Base'!$V$38),EXACT(K157,'Data Base'!$X$36)),I157*1*1.2*0.75,IF(AND(EXACT(G157,'Data Base'!$T$36),OR(EXACT(H157,'Data Base'!$V$36),EXACT(H157,'Data Base'!$V$35)),EXACT(K157,'Data Base'!$X$37)),I157*1*1*0.5,IF(AND(EXACT(G157,'Data Base'!$T$36),EXACT(H157,'Data Base'!$V$37),EXACT(K157,'Data Base'!$X$37)),I157*1*0.5*0.5,IF(AND(EXACT(G157,'Data Base'!$T$36),EXACT(H157,'Data Base'!$V$38),EXACT(K157,'Data Base'!$X$37)),I157*1*1.2*0.5,IF(AND(EXACT(G157,'Data Base'!$T$37),OR(EXACT(H157,'Data Base'!$V$36),EXACT(H157,'Data Base'!$V$35)),EXACT(K157,'Data Base'!$X$35)),I157*1.25*1*1,IF(AND(EXACT(G157,'Data Base'!$T$37),EXACT(H157,'Data Base'!$V$37),EXACT(K157,'Data Base'!$X$35)),I157*1.25*0.5*1,IF(AND(EXACT(G157,'Data Base'!$T$37),EXACT(H157,'Data Base'!$V$38),EXACT(K157,'Data Base'!$X$35)),I157*1.25*1.2*1,IF(AND(EXACT(G157,'Data Base'!$T$37),OR(EXACT(H157,'Data Base'!$V$36),EXACT(H157,'Data Base'!$V$35)),EXACT(K157,'Data Base'!$X$36)),I157*1.25*1*0.75,IF(AND(EXACT(G157,'Data Base'!$T$37),EXACT(H157,'Data Base'!$V$37),EXACT(K157,'Data Base'!$X$36)),I157*1.25*0.5*0.75,IF(AND(EXACT(G157,'Data Base'!$T$37),EXACT(H157,'Data Base'!$V$38),EXACT(K157,'Data Base'!$X$36)),I157*1.25*1.2*0.75,IF(AND(EXACT(G157,'Data Base'!$T$37),OR(EXACT(H157,'Data Base'!$V$36),EXACT(H157,'Data Base'!$V$35)),EXACT(K157,'Data Base'!$X$37)),I157*1.25*1*0.5,IF(AND(EXACT(G157,'Data Base'!$T$37),EXACT(H157,'Data Base'!$V$37),EXACT(K157,'Data Base'!$X$37)),I157*1.25*0.5*0.5,IF(AND(EXACT(G157,'Data Base'!$T$37),EXACT(H157,'Data Base'!$V$38),EXACT(K157,'Data Base'!$X$37)),I157*1.25*1.2*0.5))))))))))))))))))))))))))),"")</f>
        <v/>
      </c>
    </row>
    <row r="158" spans="1:13" ht="21" customHeight="1">
      <c r="A158" s="97">
        <v>10</v>
      </c>
      <c r="B158" s="1349" t="str">
        <f t="shared" si="18"/>
        <v/>
      </c>
      <c r="C158" s="1350"/>
      <c r="D158" s="148" t="str">
        <f t="shared" si="19"/>
        <v/>
      </c>
      <c r="E158" s="1351"/>
      <c r="F158" s="1352"/>
      <c r="G158" s="165"/>
      <c r="H158" s="140"/>
      <c r="I158" s="4"/>
      <c r="J158" s="4"/>
      <c r="K158" s="140"/>
      <c r="L158" s="4" t="s">
        <v>652</v>
      </c>
      <c r="M158" s="166" t="str">
        <f>IF(AND(NOT(EXACT(D158,"")),NOT(EXACT(G158,"")),NOT(EXACT(E158,"")),NOT(EXACT(B158,"")),NOT(EXACT(I158,"")),NOT(EXACT(H158,""))),IF(AND(EXACT(G158,'Data Base'!$T$35),OR(EXACT(H158,'Data Base'!$V$36),EXACT(H158,'Data Base'!$V$35)),EXACT(K158,'Data Base'!$X$35)),I158*0.5*1*1,IF(AND(EXACT(G158,'Data Base'!$T$35),EXACT(H158,'Data Base'!$V$37),EXACT(K158,'Data Base'!$X$35)),I158*0.5*0.5*1,IF(AND(EXACT(G158,'Data Base'!$T$35),EXACT(H158,'Data Base'!$V$38),EXACT(K158,'Data Base'!$X$35)),I158*0.5*1.2*1,IF(AND(EXACT(G158,'Data Base'!$T$35),OR(EXACT(H158,'Data Base'!$V$36),EXACT(H158,'Data Base'!$V$35)),EXACT(K158,'Data Base'!$X$36)),I158*0.5*1*0.75,IF(AND(EXACT(G158,'Data Base'!$T$35),EXACT(H158,'Data Base'!$V$37),EXACT(K158,'Data Base'!$X$36)),I158*0.5*0.5*0.75,IF(AND(EXACT(G158,'Data Base'!$T$35),EXACT(H158,'Data Base'!$V$38),EXACT(K158,'Data Base'!$X$36)),I158*0.5*1.2*0.75,IF(AND(EXACT(G158,'Data Base'!$T$35),OR(EXACT(H158,'Data Base'!$V$36),EXACT(H158,'Data Base'!$V$35)),EXACT(K158,'Data Base'!$X$37)),I158*0.5*1*0.5,IF(AND(EXACT(G158,'Data Base'!$T$35),EXACT(H158,'Data Base'!$V$37),EXACT(K158,'Data Base'!$X$37)),I158*0.5*0.5*0.5,IF(AND(EXACT(G158,'Data Base'!$T$35),EXACT(H158,'Data Base'!$V$38),EXACT(K158,'Data Base'!$X$37)),I158*0.5*1.2*0.5,IF(AND(EXACT(G158,'Data Base'!$T$36),OR(EXACT(H158,'Data Base'!$V$36),EXACT(H158,'Data Base'!$V$35)),EXACT(K158,'Data Base'!$X$35)),I158*1*1*1,IF(AND(EXACT(G158,'Data Base'!$T$36),EXACT(H158,'Data Base'!$V$37),EXACT(K158,'Data Base'!$X$35)),I158*1*0.5*1,IF(AND(EXACT(G158,'Data Base'!$T$36),EXACT(H158,'Data Base'!$V$38),EXACT(K158,'Data Base'!$X$35)),I158*1*1.2*1,IF(AND(EXACT(G158,'Data Base'!$T$36),OR(EXACT(H158,'Data Base'!$V$36),EXACT(H158,'Data Base'!$V$35)),EXACT(K158,'Data Base'!$X$36)),I158*1*1*0.75,IF(AND(EXACT(G158,'Data Base'!$T$36),EXACT(H158,'Data Base'!$V$37),EXACT(K158,'Data Base'!$X$36)),I158*1*0.5*0.75,IF(AND(EXACT(G158,'Data Base'!$T$36),EXACT(H158,'Data Base'!$V$38),EXACT(K158,'Data Base'!$X$36)),I158*1*1.2*0.75,IF(AND(EXACT(G158,'Data Base'!$T$36),OR(EXACT(H158,'Data Base'!$V$36),EXACT(H158,'Data Base'!$V$35)),EXACT(K158,'Data Base'!$X$37)),I158*1*1*0.5,IF(AND(EXACT(G158,'Data Base'!$T$36),EXACT(H158,'Data Base'!$V$37),EXACT(K158,'Data Base'!$X$37)),I158*1*0.5*0.5,IF(AND(EXACT(G158,'Data Base'!$T$36),EXACT(H158,'Data Base'!$V$38),EXACT(K158,'Data Base'!$X$37)),I158*1*1.2*0.5,IF(AND(EXACT(G158,'Data Base'!$T$37),OR(EXACT(H158,'Data Base'!$V$36),EXACT(H158,'Data Base'!$V$35)),EXACT(K158,'Data Base'!$X$35)),I158*1.25*1*1,IF(AND(EXACT(G158,'Data Base'!$T$37),EXACT(H158,'Data Base'!$V$37),EXACT(K158,'Data Base'!$X$35)),I158*1.25*0.5*1,IF(AND(EXACT(G158,'Data Base'!$T$37),EXACT(H158,'Data Base'!$V$38),EXACT(K158,'Data Base'!$X$35)),I158*1.25*1.2*1,IF(AND(EXACT(G158,'Data Base'!$T$37),OR(EXACT(H158,'Data Base'!$V$36),EXACT(H158,'Data Base'!$V$35)),EXACT(K158,'Data Base'!$X$36)),I158*1.25*1*0.75,IF(AND(EXACT(G158,'Data Base'!$T$37),EXACT(H158,'Data Base'!$V$37),EXACT(K158,'Data Base'!$X$36)),I158*1.25*0.5*0.75,IF(AND(EXACT(G158,'Data Base'!$T$37),EXACT(H158,'Data Base'!$V$38),EXACT(K158,'Data Base'!$X$36)),I158*1.25*1.2*0.75,IF(AND(EXACT(G158,'Data Base'!$T$37),OR(EXACT(H158,'Data Base'!$V$36),EXACT(H158,'Data Base'!$V$35)),EXACT(K158,'Data Base'!$X$37)),I158*1.25*1*0.5,IF(AND(EXACT(G158,'Data Base'!$T$37),EXACT(H158,'Data Base'!$V$37),EXACT(K158,'Data Base'!$X$37)),I158*1.25*0.5*0.5,IF(AND(EXACT(G158,'Data Base'!$T$37),EXACT(H158,'Data Base'!$V$38),EXACT(K158,'Data Base'!$X$37)),I158*1.25*1.2*0.5))))))))))))))))))))))))))),"")</f>
        <v/>
      </c>
    </row>
    <row r="159" spans="1:13" ht="21" customHeight="1">
      <c r="A159" s="99">
        <v>11</v>
      </c>
      <c r="B159" s="1349" t="str">
        <f t="shared" si="18"/>
        <v/>
      </c>
      <c r="C159" s="1350"/>
      <c r="D159" s="148" t="str">
        <f t="shared" si="19"/>
        <v/>
      </c>
      <c r="E159" s="1351"/>
      <c r="F159" s="1352"/>
      <c r="G159" s="165"/>
      <c r="H159" s="140"/>
      <c r="I159" s="4"/>
      <c r="J159" s="4"/>
      <c r="K159" s="140"/>
      <c r="L159" s="4" t="s">
        <v>652</v>
      </c>
      <c r="M159" s="166" t="str">
        <f>IF(AND(NOT(EXACT(D159,"")),NOT(EXACT(G159,"")),NOT(EXACT(E159,"")),NOT(EXACT(B159,"")),NOT(EXACT(I159,"")),NOT(EXACT(H159,""))),IF(AND(EXACT(G159,'Data Base'!$T$35),OR(EXACT(H159,'Data Base'!$V$36),EXACT(H159,'Data Base'!$V$35)),EXACT(K159,'Data Base'!$X$35)),I159*0.5*1*1,IF(AND(EXACT(G159,'Data Base'!$T$35),EXACT(H159,'Data Base'!$V$37),EXACT(K159,'Data Base'!$X$35)),I159*0.5*0.5*1,IF(AND(EXACT(G159,'Data Base'!$T$35),EXACT(H159,'Data Base'!$V$38),EXACT(K159,'Data Base'!$X$35)),I159*0.5*1.2*1,IF(AND(EXACT(G159,'Data Base'!$T$35),OR(EXACT(H159,'Data Base'!$V$36),EXACT(H159,'Data Base'!$V$35)),EXACT(K159,'Data Base'!$X$36)),I159*0.5*1*0.75,IF(AND(EXACT(G159,'Data Base'!$T$35),EXACT(H159,'Data Base'!$V$37),EXACT(K159,'Data Base'!$X$36)),I159*0.5*0.5*0.75,IF(AND(EXACT(G159,'Data Base'!$T$35),EXACT(H159,'Data Base'!$V$38),EXACT(K159,'Data Base'!$X$36)),I159*0.5*1.2*0.75,IF(AND(EXACT(G159,'Data Base'!$T$35),OR(EXACT(H159,'Data Base'!$V$36),EXACT(H159,'Data Base'!$V$35)),EXACT(K159,'Data Base'!$X$37)),I159*0.5*1*0.5,IF(AND(EXACT(G159,'Data Base'!$T$35),EXACT(H159,'Data Base'!$V$37),EXACT(K159,'Data Base'!$X$37)),I159*0.5*0.5*0.5,IF(AND(EXACT(G159,'Data Base'!$T$35),EXACT(H159,'Data Base'!$V$38),EXACT(K159,'Data Base'!$X$37)),I159*0.5*1.2*0.5,IF(AND(EXACT(G159,'Data Base'!$T$36),OR(EXACT(H159,'Data Base'!$V$36),EXACT(H159,'Data Base'!$V$35)),EXACT(K159,'Data Base'!$X$35)),I159*1*1*1,IF(AND(EXACT(G159,'Data Base'!$T$36),EXACT(H159,'Data Base'!$V$37),EXACT(K159,'Data Base'!$X$35)),I159*1*0.5*1,IF(AND(EXACT(G159,'Data Base'!$T$36),EXACT(H159,'Data Base'!$V$38),EXACT(K159,'Data Base'!$X$35)),I159*1*1.2*1,IF(AND(EXACT(G159,'Data Base'!$T$36),OR(EXACT(H159,'Data Base'!$V$36),EXACT(H159,'Data Base'!$V$35)),EXACT(K159,'Data Base'!$X$36)),I159*1*1*0.75,IF(AND(EXACT(G159,'Data Base'!$T$36),EXACT(H159,'Data Base'!$V$37),EXACT(K159,'Data Base'!$X$36)),I159*1*0.5*0.75,IF(AND(EXACT(G159,'Data Base'!$T$36),EXACT(H159,'Data Base'!$V$38),EXACT(K159,'Data Base'!$X$36)),I159*1*1.2*0.75,IF(AND(EXACT(G159,'Data Base'!$T$36),OR(EXACT(H159,'Data Base'!$V$36),EXACT(H159,'Data Base'!$V$35)),EXACT(K159,'Data Base'!$X$37)),I159*1*1*0.5,IF(AND(EXACT(G159,'Data Base'!$T$36),EXACT(H159,'Data Base'!$V$37),EXACT(K159,'Data Base'!$X$37)),I159*1*0.5*0.5,IF(AND(EXACT(G159,'Data Base'!$T$36),EXACT(H159,'Data Base'!$V$38),EXACT(K159,'Data Base'!$X$37)),I159*1*1.2*0.5,IF(AND(EXACT(G159,'Data Base'!$T$37),OR(EXACT(H159,'Data Base'!$V$36),EXACT(H159,'Data Base'!$V$35)),EXACT(K159,'Data Base'!$X$35)),I159*1.25*1*1,IF(AND(EXACT(G159,'Data Base'!$T$37),EXACT(H159,'Data Base'!$V$37),EXACT(K159,'Data Base'!$X$35)),I159*1.25*0.5*1,IF(AND(EXACT(G159,'Data Base'!$T$37),EXACT(H159,'Data Base'!$V$38),EXACT(K159,'Data Base'!$X$35)),I159*1.25*1.2*1,IF(AND(EXACT(G159,'Data Base'!$T$37),OR(EXACT(H159,'Data Base'!$V$36),EXACT(H159,'Data Base'!$V$35)),EXACT(K159,'Data Base'!$X$36)),I159*1.25*1*0.75,IF(AND(EXACT(G159,'Data Base'!$T$37),EXACT(H159,'Data Base'!$V$37),EXACT(K159,'Data Base'!$X$36)),I159*1.25*0.5*0.75,IF(AND(EXACT(G159,'Data Base'!$T$37),EXACT(H159,'Data Base'!$V$38),EXACT(K159,'Data Base'!$X$36)),I159*1.25*1.2*0.75,IF(AND(EXACT(G159,'Data Base'!$T$37),OR(EXACT(H159,'Data Base'!$V$36),EXACT(H159,'Data Base'!$V$35)),EXACT(K159,'Data Base'!$X$37)),I159*1.25*1*0.5,IF(AND(EXACT(G159,'Data Base'!$T$37),EXACT(H159,'Data Base'!$V$37),EXACT(K159,'Data Base'!$X$37)),I159*1.25*0.5*0.5,IF(AND(EXACT(G159,'Data Base'!$T$37),EXACT(H159,'Data Base'!$V$38),EXACT(K159,'Data Base'!$X$37)),I159*1.25*1.2*0.5))))))))))))))))))))))))))),"")</f>
        <v/>
      </c>
    </row>
    <row r="160" spans="1:13" ht="21" customHeight="1">
      <c r="A160" s="99">
        <v>12</v>
      </c>
      <c r="B160" s="1349" t="str">
        <f t="shared" si="18"/>
        <v/>
      </c>
      <c r="C160" s="1350"/>
      <c r="D160" s="148" t="str">
        <f t="shared" si="19"/>
        <v/>
      </c>
      <c r="E160" s="1351"/>
      <c r="F160" s="1352"/>
      <c r="G160" s="165"/>
      <c r="H160" s="140"/>
      <c r="I160" s="4"/>
      <c r="J160" s="4"/>
      <c r="K160" s="140"/>
      <c r="L160" s="4" t="s">
        <v>652</v>
      </c>
      <c r="M160" s="166" t="str">
        <f>IF(AND(NOT(EXACT(D160,"")),NOT(EXACT(G160,"")),NOT(EXACT(E160,"")),NOT(EXACT(B160,"")),NOT(EXACT(I160,"")),NOT(EXACT(H160,""))),IF(AND(EXACT(G160,'Data Base'!$T$35),OR(EXACT(H160,'Data Base'!$V$36),EXACT(H160,'Data Base'!$V$35)),EXACT(K160,'Data Base'!$X$35)),I160*0.5*1*1,IF(AND(EXACT(G160,'Data Base'!$T$35),EXACT(H160,'Data Base'!$V$37),EXACT(K160,'Data Base'!$X$35)),I160*0.5*0.5*1,IF(AND(EXACT(G160,'Data Base'!$T$35),EXACT(H160,'Data Base'!$V$38),EXACT(K160,'Data Base'!$X$35)),I160*0.5*1.2*1,IF(AND(EXACT(G160,'Data Base'!$T$35),OR(EXACT(H160,'Data Base'!$V$36),EXACT(H160,'Data Base'!$V$35)),EXACT(K160,'Data Base'!$X$36)),I160*0.5*1*0.75,IF(AND(EXACT(G160,'Data Base'!$T$35),EXACT(H160,'Data Base'!$V$37),EXACT(K160,'Data Base'!$X$36)),I160*0.5*0.5*0.75,IF(AND(EXACT(G160,'Data Base'!$T$35),EXACT(H160,'Data Base'!$V$38),EXACT(K160,'Data Base'!$X$36)),I160*0.5*1.2*0.75,IF(AND(EXACT(G160,'Data Base'!$T$35),OR(EXACT(H160,'Data Base'!$V$36),EXACT(H160,'Data Base'!$V$35)),EXACT(K160,'Data Base'!$X$37)),I160*0.5*1*0.5,IF(AND(EXACT(G160,'Data Base'!$T$35),EXACT(H160,'Data Base'!$V$37),EXACT(K160,'Data Base'!$X$37)),I160*0.5*0.5*0.5,IF(AND(EXACT(G160,'Data Base'!$T$35),EXACT(H160,'Data Base'!$V$38),EXACT(K160,'Data Base'!$X$37)),I160*0.5*1.2*0.5,IF(AND(EXACT(G160,'Data Base'!$T$36),OR(EXACT(H160,'Data Base'!$V$36),EXACT(H160,'Data Base'!$V$35)),EXACT(K160,'Data Base'!$X$35)),I160*1*1*1,IF(AND(EXACT(G160,'Data Base'!$T$36),EXACT(H160,'Data Base'!$V$37),EXACT(K160,'Data Base'!$X$35)),I160*1*0.5*1,IF(AND(EXACT(G160,'Data Base'!$T$36),EXACT(H160,'Data Base'!$V$38),EXACT(K160,'Data Base'!$X$35)),I160*1*1.2*1,IF(AND(EXACT(G160,'Data Base'!$T$36),OR(EXACT(H160,'Data Base'!$V$36),EXACT(H160,'Data Base'!$V$35)),EXACT(K160,'Data Base'!$X$36)),I160*1*1*0.75,IF(AND(EXACT(G160,'Data Base'!$T$36),EXACT(H160,'Data Base'!$V$37),EXACT(K160,'Data Base'!$X$36)),I160*1*0.5*0.75,IF(AND(EXACT(G160,'Data Base'!$T$36),EXACT(H160,'Data Base'!$V$38),EXACT(K160,'Data Base'!$X$36)),I160*1*1.2*0.75,IF(AND(EXACT(G160,'Data Base'!$T$36),OR(EXACT(H160,'Data Base'!$V$36),EXACT(H160,'Data Base'!$V$35)),EXACT(K160,'Data Base'!$X$37)),I160*1*1*0.5,IF(AND(EXACT(G160,'Data Base'!$T$36),EXACT(H160,'Data Base'!$V$37),EXACT(K160,'Data Base'!$X$37)),I160*1*0.5*0.5,IF(AND(EXACT(G160,'Data Base'!$T$36),EXACT(H160,'Data Base'!$V$38),EXACT(K160,'Data Base'!$X$37)),I160*1*1.2*0.5,IF(AND(EXACT(G160,'Data Base'!$T$37),OR(EXACT(H160,'Data Base'!$V$36),EXACT(H160,'Data Base'!$V$35)),EXACT(K160,'Data Base'!$X$35)),I160*1.25*1*1,IF(AND(EXACT(G160,'Data Base'!$T$37),EXACT(H160,'Data Base'!$V$37),EXACT(K160,'Data Base'!$X$35)),I160*1.25*0.5*1,IF(AND(EXACT(G160,'Data Base'!$T$37),EXACT(H160,'Data Base'!$V$38),EXACT(K160,'Data Base'!$X$35)),I160*1.25*1.2*1,IF(AND(EXACT(G160,'Data Base'!$T$37),OR(EXACT(H160,'Data Base'!$V$36),EXACT(H160,'Data Base'!$V$35)),EXACT(K160,'Data Base'!$X$36)),I160*1.25*1*0.75,IF(AND(EXACT(G160,'Data Base'!$T$37),EXACT(H160,'Data Base'!$V$37),EXACT(K160,'Data Base'!$X$36)),I160*1.25*0.5*0.75,IF(AND(EXACT(G160,'Data Base'!$T$37),EXACT(H160,'Data Base'!$V$38),EXACT(K160,'Data Base'!$X$36)),I160*1.25*1.2*0.75,IF(AND(EXACT(G160,'Data Base'!$T$37),OR(EXACT(H160,'Data Base'!$V$36),EXACT(H160,'Data Base'!$V$35)),EXACT(K160,'Data Base'!$X$37)),I160*1.25*1*0.5,IF(AND(EXACT(G160,'Data Base'!$T$37),EXACT(H160,'Data Base'!$V$37),EXACT(K160,'Data Base'!$X$37)),I160*1.25*0.5*0.5,IF(AND(EXACT(G160,'Data Base'!$T$37),EXACT(H160,'Data Base'!$V$38),EXACT(K160,'Data Base'!$X$37)),I160*1.25*1.2*0.5))))))))))))))))))))))))))),"")</f>
        <v/>
      </c>
    </row>
    <row r="161" spans="1:13" ht="21" customHeight="1">
      <c r="A161" s="97">
        <v>13</v>
      </c>
      <c r="B161" s="1349" t="str">
        <f t="shared" si="18"/>
        <v/>
      </c>
      <c r="C161" s="1350"/>
      <c r="D161" s="148" t="str">
        <f t="shared" si="19"/>
        <v/>
      </c>
      <c r="E161" s="1351"/>
      <c r="F161" s="1352"/>
      <c r="G161" s="165"/>
      <c r="H161" s="140"/>
      <c r="I161" s="4"/>
      <c r="J161" s="4"/>
      <c r="K161" s="140"/>
      <c r="L161" s="4" t="s">
        <v>652</v>
      </c>
      <c r="M161" s="166" t="str">
        <f>IF(AND(NOT(EXACT(D161,"")),NOT(EXACT(G161,"")),NOT(EXACT(E161,"")),NOT(EXACT(B161,"")),NOT(EXACT(I161,"")),NOT(EXACT(H161,""))),IF(AND(EXACT(G161,'Data Base'!$T$35),OR(EXACT(H161,'Data Base'!$V$36),EXACT(H161,'Data Base'!$V$35)),EXACT(K161,'Data Base'!$X$35)),I161*0.5*1*1,IF(AND(EXACT(G161,'Data Base'!$T$35),EXACT(H161,'Data Base'!$V$37),EXACT(K161,'Data Base'!$X$35)),I161*0.5*0.5*1,IF(AND(EXACT(G161,'Data Base'!$T$35),EXACT(H161,'Data Base'!$V$38),EXACT(K161,'Data Base'!$X$35)),I161*0.5*1.2*1,IF(AND(EXACT(G161,'Data Base'!$T$35),OR(EXACT(H161,'Data Base'!$V$36),EXACT(H161,'Data Base'!$V$35)),EXACT(K161,'Data Base'!$X$36)),I161*0.5*1*0.75,IF(AND(EXACT(G161,'Data Base'!$T$35),EXACT(H161,'Data Base'!$V$37),EXACT(K161,'Data Base'!$X$36)),I161*0.5*0.5*0.75,IF(AND(EXACT(G161,'Data Base'!$T$35),EXACT(H161,'Data Base'!$V$38),EXACT(K161,'Data Base'!$X$36)),I161*0.5*1.2*0.75,IF(AND(EXACT(G161,'Data Base'!$T$35),OR(EXACT(H161,'Data Base'!$V$36),EXACT(H161,'Data Base'!$V$35)),EXACT(K161,'Data Base'!$X$37)),I161*0.5*1*0.5,IF(AND(EXACT(G161,'Data Base'!$T$35),EXACT(H161,'Data Base'!$V$37),EXACT(K161,'Data Base'!$X$37)),I161*0.5*0.5*0.5,IF(AND(EXACT(G161,'Data Base'!$T$35),EXACT(H161,'Data Base'!$V$38),EXACT(K161,'Data Base'!$X$37)),I161*0.5*1.2*0.5,IF(AND(EXACT(G161,'Data Base'!$T$36),OR(EXACT(H161,'Data Base'!$V$36),EXACT(H161,'Data Base'!$V$35)),EXACT(K161,'Data Base'!$X$35)),I161*1*1*1,IF(AND(EXACT(G161,'Data Base'!$T$36),EXACT(H161,'Data Base'!$V$37),EXACT(K161,'Data Base'!$X$35)),I161*1*0.5*1,IF(AND(EXACT(G161,'Data Base'!$T$36),EXACT(H161,'Data Base'!$V$38),EXACT(K161,'Data Base'!$X$35)),I161*1*1.2*1,IF(AND(EXACT(G161,'Data Base'!$T$36),OR(EXACT(H161,'Data Base'!$V$36),EXACT(H161,'Data Base'!$V$35)),EXACT(K161,'Data Base'!$X$36)),I161*1*1*0.75,IF(AND(EXACT(G161,'Data Base'!$T$36),EXACT(H161,'Data Base'!$V$37),EXACT(K161,'Data Base'!$X$36)),I161*1*0.5*0.75,IF(AND(EXACT(G161,'Data Base'!$T$36),EXACT(H161,'Data Base'!$V$38),EXACT(K161,'Data Base'!$X$36)),I161*1*1.2*0.75,IF(AND(EXACT(G161,'Data Base'!$T$36),OR(EXACT(H161,'Data Base'!$V$36),EXACT(H161,'Data Base'!$V$35)),EXACT(K161,'Data Base'!$X$37)),I161*1*1*0.5,IF(AND(EXACT(G161,'Data Base'!$T$36),EXACT(H161,'Data Base'!$V$37),EXACT(K161,'Data Base'!$X$37)),I161*1*0.5*0.5,IF(AND(EXACT(G161,'Data Base'!$T$36),EXACT(H161,'Data Base'!$V$38),EXACT(K161,'Data Base'!$X$37)),I161*1*1.2*0.5,IF(AND(EXACT(G161,'Data Base'!$T$37),OR(EXACT(H161,'Data Base'!$V$36),EXACT(H161,'Data Base'!$V$35)),EXACT(K161,'Data Base'!$X$35)),I161*1.25*1*1,IF(AND(EXACT(G161,'Data Base'!$T$37),EXACT(H161,'Data Base'!$V$37),EXACT(K161,'Data Base'!$X$35)),I161*1.25*0.5*1,IF(AND(EXACT(G161,'Data Base'!$T$37),EXACT(H161,'Data Base'!$V$38),EXACT(K161,'Data Base'!$X$35)),I161*1.25*1.2*1,IF(AND(EXACT(G161,'Data Base'!$T$37),OR(EXACT(H161,'Data Base'!$V$36),EXACT(H161,'Data Base'!$V$35)),EXACT(K161,'Data Base'!$X$36)),I161*1.25*1*0.75,IF(AND(EXACT(G161,'Data Base'!$T$37),EXACT(H161,'Data Base'!$V$37),EXACT(K161,'Data Base'!$X$36)),I161*1.25*0.5*0.75,IF(AND(EXACT(G161,'Data Base'!$T$37),EXACT(H161,'Data Base'!$V$38),EXACT(K161,'Data Base'!$X$36)),I161*1.25*1.2*0.75,IF(AND(EXACT(G161,'Data Base'!$T$37),OR(EXACT(H161,'Data Base'!$V$36),EXACT(H161,'Data Base'!$V$35)),EXACT(K161,'Data Base'!$X$37)),I161*1.25*1*0.5,IF(AND(EXACT(G161,'Data Base'!$T$37),EXACT(H161,'Data Base'!$V$37),EXACT(K161,'Data Base'!$X$37)),I161*1.25*0.5*0.5,IF(AND(EXACT(G161,'Data Base'!$T$37),EXACT(H161,'Data Base'!$V$38),EXACT(K161,'Data Base'!$X$37)),I161*1.25*1.2*0.5))))))))))))))))))))))))))),"")</f>
        <v/>
      </c>
    </row>
    <row r="162" spans="1:13" ht="21" customHeight="1">
      <c r="A162" s="99">
        <v>14</v>
      </c>
      <c r="B162" s="1349" t="str">
        <f t="shared" si="18"/>
        <v/>
      </c>
      <c r="C162" s="1350"/>
      <c r="D162" s="148" t="str">
        <f t="shared" si="19"/>
        <v/>
      </c>
      <c r="E162" s="1351"/>
      <c r="F162" s="1352"/>
      <c r="G162" s="165"/>
      <c r="H162" s="140"/>
      <c r="I162" s="4"/>
      <c r="J162" s="4"/>
      <c r="K162" s="140"/>
      <c r="L162" s="4" t="s">
        <v>652</v>
      </c>
      <c r="M162" s="166" t="str">
        <f>IF(AND(NOT(EXACT(D162,"")),NOT(EXACT(G162,"")),NOT(EXACT(E162,"")),NOT(EXACT(B162,"")),NOT(EXACT(I162,"")),NOT(EXACT(H162,""))),IF(AND(EXACT(G162,'Data Base'!$T$35),OR(EXACT(H162,'Data Base'!$V$36),EXACT(H162,'Data Base'!$V$35)),EXACT(K162,'Data Base'!$X$35)),I162*0.5*1*1,IF(AND(EXACT(G162,'Data Base'!$T$35),EXACT(H162,'Data Base'!$V$37),EXACT(K162,'Data Base'!$X$35)),I162*0.5*0.5*1,IF(AND(EXACT(G162,'Data Base'!$T$35),EXACT(H162,'Data Base'!$V$38),EXACT(K162,'Data Base'!$X$35)),I162*0.5*1.2*1,IF(AND(EXACT(G162,'Data Base'!$T$35),OR(EXACT(H162,'Data Base'!$V$36),EXACT(H162,'Data Base'!$V$35)),EXACT(K162,'Data Base'!$X$36)),I162*0.5*1*0.75,IF(AND(EXACT(G162,'Data Base'!$T$35),EXACT(H162,'Data Base'!$V$37),EXACT(K162,'Data Base'!$X$36)),I162*0.5*0.5*0.75,IF(AND(EXACT(G162,'Data Base'!$T$35),EXACT(H162,'Data Base'!$V$38),EXACT(K162,'Data Base'!$X$36)),I162*0.5*1.2*0.75,IF(AND(EXACT(G162,'Data Base'!$T$35),OR(EXACT(H162,'Data Base'!$V$36),EXACT(H162,'Data Base'!$V$35)),EXACT(K162,'Data Base'!$X$37)),I162*0.5*1*0.5,IF(AND(EXACT(G162,'Data Base'!$T$35),EXACT(H162,'Data Base'!$V$37),EXACT(K162,'Data Base'!$X$37)),I162*0.5*0.5*0.5,IF(AND(EXACT(G162,'Data Base'!$T$35),EXACT(H162,'Data Base'!$V$38),EXACT(K162,'Data Base'!$X$37)),I162*0.5*1.2*0.5,IF(AND(EXACT(G162,'Data Base'!$T$36),OR(EXACT(H162,'Data Base'!$V$36),EXACT(H162,'Data Base'!$V$35)),EXACT(K162,'Data Base'!$X$35)),I162*1*1*1,IF(AND(EXACT(G162,'Data Base'!$T$36),EXACT(H162,'Data Base'!$V$37),EXACT(K162,'Data Base'!$X$35)),I162*1*0.5*1,IF(AND(EXACT(G162,'Data Base'!$T$36),EXACT(H162,'Data Base'!$V$38),EXACT(K162,'Data Base'!$X$35)),I162*1*1.2*1,IF(AND(EXACT(G162,'Data Base'!$T$36),OR(EXACT(H162,'Data Base'!$V$36),EXACT(H162,'Data Base'!$V$35)),EXACT(K162,'Data Base'!$X$36)),I162*1*1*0.75,IF(AND(EXACT(G162,'Data Base'!$T$36),EXACT(H162,'Data Base'!$V$37),EXACT(K162,'Data Base'!$X$36)),I162*1*0.5*0.75,IF(AND(EXACT(G162,'Data Base'!$T$36),EXACT(H162,'Data Base'!$V$38),EXACT(K162,'Data Base'!$X$36)),I162*1*1.2*0.75,IF(AND(EXACT(G162,'Data Base'!$T$36),OR(EXACT(H162,'Data Base'!$V$36),EXACT(H162,'Data Base'!$V$35)),EXACT(K162,'Data Base'!$X$37)),I162*1*1*0.5,IF(AND(EXACT(G162,'Data Base'!$T$36),EXACT(H162,'Data Base'!$V$37),EXACT(K162,'Data Base'!$X$37)),I162*1*0.5*0.5,IF(AND(EXACT(G162,'Data Base'!$T$36),EXACT(H162,'Data Base'!$V$38),EXACT(K162,'Data Base'!$X$37)),I162*1*1.2*0.5,IF(AND(EXACT(G162,'Data Base'!$T$37),OR(EXACT(H162,'Data Base'!$V$36),EXACT(H162,'Data Base'!$V$35)),EXACT(K162,'Data Base'!$X$35)),I162*1.25*1*1,IF(AND(EXACT(G162,'Data Base'!$T$37),EXACT(H162,'Data Base'!$V$37),EXACT(K162,'Data Base'!$X$35)),I162*1.25*0.5*1,IF(AND(EXACT(G162,'Data Base'!$T$37),EXACT(H162,'Data Base'!$V$38),EXACT(K162,'Data Base'!$X$35)),I162*1.25*1.2*1,IF(AND(EXACT(G162,'Data Base'!$T$37),OR(EXACT(H162,'Data Base'!$V$36),EXACT(H162,'Data Base'!$V$35)),EXACT(K162,'Data Base'!$X$36)),I162*1.25*1*0.75,IF(AND(EXACT(G162,'Data Base'!$T$37),EXACT(H162,'Data Base'!$V$37),EXACT(K162,'Data Base'!$X$36)),I162*1.25*0.5*0.75,IF(AND(EXACT(G162,'Data Base'!$T$37),EXACT(H162,'Data Base'!$V$38),EXACT(K162,'Data Base'!$X$36)),I162*1.25*1.2*0.75,IF(AND(EXACT(G162,'Data Base'!$T$37),OR(EXACT(H162,'Data Base'!$V$36),EXACT(H162,'Data Base'!$V$35)),EXACT(K162,'Data Base'!$X$37)),I162*1.25*1*0.5,IF(AND(EXACT(G162,'Data Base'!$T$37),EXACT(H162,'Data Base'!$V$37),EXACT(K162,'Data Base'!$X$37)),I162*1.25*0.5*0.5,IF(AND(EXACT(G162,'Data Base'!$T$37),EXACT(H162,'Data Base'!$V$38),EXACT(K162,'Data Base'!$X$37)),I162*1.25*1.2*0.5))))))))))))))))))))))))))),"")</f>
        <v/>
      </c>
    </row>
    <row r="163" spans="1:13" ht="21" customHeight="1" thickBot="1">
      <c r="A163" s="106">
        <v>15</v>
      </c>
      <c r="B163" s="1355" t="str">
        <f t="shared" si="18"/>
        <v/>
      </c>
      <c r="C163" s="1356"/>
      <c r="D163" s="107" t="str">
        <f t="shared" si="19"/>
        <v/>
      </c>
      <c r="E163" s="1357"/>
      <c r="F163" s="1358"/>
      <c r="G163" s="167"/>
      <c r="H163" s="108"/>
      <c r="I163" s="105"/>
      <c r="J163" s="105"/>
      <c r="K163" s="108"/>
      <c r="L163" s="105" t="s">
        <v>652</v>
      </c>
      <c r="M163" s="168" t="str">
        <f>IF(AND(NOT(EXACT(D163,"")),NOT(EXACT(G163,"")),NOT(EXACT(E163,"")),NOT(EXACT(B163,"")),NOT(EXACT(I163,"")),NOT(EXACT(H163,""))),IF(AND(EXACT(G163,'Data Base'!$T$35),OR(EXACT(H163,'Data Base'!$V$36),EXACT(H163,'Data Base'!$V$35)),EXACT(K163,'Data Base'!$X$35)),I163*0.5*1*1,IF(AND(EXACT(G163,'Data Base'!$T$35),EXACT(H163,'Data Base'!$V$37),EXACT(K163,'Data Base'!$X$35)),I163*0.5*0.5*1,IF(AND(EXACT(G163,'Data Base'!$T$35),EXACT(H163,'Data Base'!$V$38),EXACT(K163,'Data Base'!$X$35)),I163*0.5*1.2*1,IF(AND(EXACT(G163,'Data Base'!$T$35),OR(EXACT(H163,'Data Base'!$V$36),EXACT(H163,'Data Base'!$V$35)),EXACT(K163,'Data Base'!$X$36)),I163*0.5*1*0.75,IF(AND(EXACT(G163,'Data Base'!$T$35),EXACT(H163,'Data Base'!$V$37),EXACT(K163,'Data Base'!$X$36)),I163*0.5*0.5*0.75,IF(AND(EXACT(G163,'Data Base'!$T$35),EXACT(H163,'Data Base'!$V$38),EXACT(K163,'Data Base'!$X$36)),I163*0.5*1.2*0.75,IF(AND(EXACT(G163,'Data Base'!$T$35),OR(EXACT(H163,'Data Base'!$V$36),EXACT(H163,'Data Base'!$V$35)),EXACT(K163,'Data Base'!$X$37)),I163*0.5*1*0.5,IF(AND(EXACT(G163,'Data Base'!$T$35),EXACT(H163,'Data Base'!$V$37),EXACT(K163,'Data Base'!$X$37)),I163*0.5*0.5*0.5,IF(AND(EXACT(G163,'Data Base'!$T$35),EXACT(H163,'Data Base'!$V$38),EXACT(K163,'Data Base'!$X$37)),I163*0.5*1.2*0.5,IF(AND(EXACT(G163,'Data Base'!$T$36),OR(EXACT(H163,'Data Base'!$V$36),EXACT(H163,'Data Base'!$V$35)),EXACT(K163,'Data Base'!$X$35)),I163*1*1*1,IF(AND(EXACT(G163,'Data Base'!$T$36),EXACT(H163,'Data Base'!$V$37),EXACT(K163,'Data Base'!$X$35)),I163*1*0.5*1,IF(AND(EXACT(G163,'Data Base'!$T$36),EXACT(H163,'Data Base'!$V$38),EXACT(K163,'Data Base'!$X$35)),I163*1*1.2*1,IF(AND(EXACT(G163,'Data Base'!$T$36),OR(EXACT(H163,'Data Base'!$V$36),EXACT(H163,'Data Base'!$V$35)),EXACT(K163,'Data Base'!$X$36)),I163*1*1*0.75,IF(AND(EXACT(G163,'Data Base'!$T$36),EXACT(H163,'Data Base'!$V$37),EXACT(K163,'Data Base'!$X$36)),I163*1*0.5*0.75,IF(AND(EXACT(G163,'Data Base'!$T$36),EXACT(H163,'Data Base'!$V$38),EXACT(K163,'Data Base'!$X$36)),I163*1*1.2*0.75,IF(AND(EXACT(G163,'Data Base'!$T$36),OR(EXACT(H163,'Data Base'!$V$36),EXACT(H163,'Data Base'!$V$35)),EXACT(K163,'Data Base'!$X$37)),I163*1*1*0.5,IF(AND(EXACT(G163,'Data Base'!$T$36),EXACT(H163,'Data Base'!$V$37),EXACT(K163,'Data Base'!$X$37)),I163*1*0.5*0.5,IF(AND(EXACT(G163,'Data Base'!$T$36),EXACT(H163,'Data Base'!$V$38),EXACT(K163,'Data Base'!$X$37)),I163*1*1.2*0.5,IF(AND(EXACT(G163,'Data Base'!$T$37),OR(EXACT(H163,'Data Base'!$V$36),EXACT(H163,'Data Base'!$V$35)),EXACT(K163,'Data Base'!$X$35)),I163*1.25*1*1,IF(AND(EXACT(G163,'Data Base'!$T$37),EXACT(H163,'Data Base'!$V$37),EXACT(K163,'Data Base'!$X$35)),I163*1.25*0.5*1,IF(AND(EXACT(G163,'Data Base'!$T$37),EXACT(H163,'Data Base'!$V$38),EXACT(K163,'Data Base'!$X$35)),I163*1.25*1.2*1,IF(AND(EXACT(G163,'Data Base'!$T$37),OR(EXACT(H163,'Data Base'!$V$36),EXACT(H163,'Data Base'!$V$35)),EXACT(K163,'Data Base'!$X$36)),I163*1.25*1*0.75,IF(AND(EXACT(G163,'Data Base'!$T$37),EXACT(H163,'Data Base'!$V$37),EXACT(K163,'Data Base'!$X$36)),I163*1.25*0.5*0.75,IF(AND(EXACT(G163,'Data Base'!$T$37),EXACT(H163,'Data Base'!$V$38),EXACT(K163,'Data Base'!$X$36)),I163*1.25*1.2*0.75,IF(AND(EXACT(G163,'Data Base'!$T$37),OR(EXACT(H163,'Data Base'!$V$36),EXACT(H163,'Data Base'!$V$35)),EXACT(K163,'Data Base'!$X$37)),I163*1.25*1*0.5,IF(AND(EXACT(G163,'Data Base'!$T$37),EXACT(H163,'Data Base'!$V$37),EXACT(K163,'Data Base'!$X$37)),I163*1.25*0.5*0.5,IF(AND(EXACT(G163,'Data Base'!$T$37),EXACT(H163,'Data Base'!$V$38),EXACT(K163,'Data Base'!$X$37)),I163*1.25*1.2*0.5))))))))))))))))))))))))))),"")</f>
        <v/>
      </c>
    </row>
    <row r="164" spans="1:13" ht="21" customHeight="1" thickBot="1">
      <c r="A164" s="1359" t="s">
        <v>653</v>
      </c>
      <c r="B164" s="1360"/>
      <c r="C164" s="1360"/>
      <c r="D164" s="1360"/>
      <c r="E164" s="1360"/>
      <c r="F164" s="1360"/>
      <c r="G164" s="1360"/>
      <c r="H164" s="1360"/>
      <c r="I164" s="109">
        <f>B149</f>
        <v>0</v>
      </c>
      <c r="J164" s="109">
        <f>D149</f>
        <v>0</v>
      </c>
      <c r="K164" s="1361"/>
      <c r="L164" s="1362"/>
      <c r="M164" s="110">
        <f>IF(SUM(M149:M163)&gt;5,5,SUM(M149:M163))</f>
        <v>0</v>
      </c>
    </row>
    <row r="165" spans="1:13" ht="21" customHeight="1">
      <c r="A165" s="97">
        <v>1</v>
      </c>
      <c r="B165" s="1363"/>
      <c r="C165" s="1364"/>
      <c r="D165" s="104"/>
      <c r="E165" s="1353"/>
      <c r="F165" s="1354"/>
      <c r="G165" s="169"/>
      <c r="H165" s="104"/>
      <c r="I165" s="98"/>
      <c r="J165" s="98"/>
      <c r="K165" s="104"/>
      <c r="L165" s="98" t="s">
        <v>652</v>
      </c>
      <c r="M165" s="166" t="str">
        <f>IF(AND(NOT(EXACT(D165,"")),NOT(EXACT(G165,"")),NOT(EXACT(E165,"")),NOT(EXACT(B165,"")),NOT(EXACT(I165,"")),NOT(EXACT(H165,""))),IF(AND(EXACT(G165,'Data Base'!$T$35),OR(EXACT(H165,'Data Base'!$V$36),EXACT(H165,'Data Base'!$V$35)),EXACT(K165,'Data Base'!$X$35)),I165*0.5*1*1,IF(AND(EXACT(G165,'Data Base'!$T$35),EXACT(H165,'Data Base'!$V$37),EXACT(K165,'Data Base'!$X$35)),I165*0.5*0.5*1,IF(AND(EXACT(G165,'Data Base'!$T$35),EXACT(H165,'Data Base'!$V$38),EXACT(K165,'Data Base'!$X$35)),I165*0.5*1.2*1,IF(AND(EXACT(G165,'Data Base'!$T$35),OR(EXACT(H165,'Data Base'!$V$36),EXACT(H165,'Data Base'!$V$35)),EXACT(K165,'Data Base'!$X$36)),I165*0.5*1*0.75,IF(AND(EXACT(G165,'Data Base'!$T$35),EXACT(H165,'Data Base'!$V$37),EXACT(K165,'Data Base'!$X$36)),I165*0.5*0.5*0.75,IF(AND(EXACT(G165,'Data Base'!$T$35),EXACT(H165,'Data Base'!$V$38),EXACT(K165,'Data Base'!$X$36)),I165*0.5*1.2*0.75,IF(AND(EXACT(G165,'Data Base'!$T$35),OR(EXACT(H165,'Data Base'!$V$36),EXACT(H165,'Data Base'!$V$35)),EXACT(K165,'Data Base'!$X$37)),I165*0.5*1*0.5,IF(AND(EXACT(G165,'Data Base'!$T$35),EXACT(H165,'Data Base'!$V$37),EXACT(K165,'Data Base'!$X$37)),I165*0.5*0.5*0.5,IF(AND(EXACT(G165,'Data Base'!$T$35),EXACT(H165,'Data Base'!$V$38),EXACT(K165,'Data Base'!$X$37)),I165*0.5*1.2*0.5,IF(AND(EXACT(G165,'Data Base'!$T$36),OR(EXACT(H165,'Data Base'!$V$36),EXACT(H165,'Data Base'!$V$35)),EXACT(K165,'Data Base'!$X$35)),I165*1*1*1,IF(AND(EXACT(G165,'Data Base'!$T$36),EXACT(H165,'Data Base'!$V$37),EXACT(K165,'Data Base'!$X$35)),I165*1*0.5*1,IF(AND(EXACT(G165,'Data Base'!$T$36),EXACT(H165,'Data Base'!$V$38),EXACT(K165,'Data Base'!$X$35)),I165*1*1.2*1,IF(AND(EXACT(G165,'Data Base'!$T$36),OR(EXACT(H165,'Data Base'!$V$36),EXACT(H165,'Data Base'!$V$35)),EXACT(K165,'Data Base'!$X$36)),I165*1*1*0.75,IF(AND(EXACT(G165,'Data Base'!$T$36),EXACT(H165,'Data Base'!$V$37),EXACT(K165,'Data Base'!$X$36)),I165*1*0.5*0.75,IF(AND(EXACT(G165,'Data Base'!$T$36),EXACT(H165,'Data Base'!$V$38),EXACT(K165,'Data Base'!$X$36)),I165*1*1.2*0.75,IF(AND(EXACT(G165,'Data Base'!$T$36),OR(EXACT(H165,'Data Base'!$V$36),EXACT(H165,'Data Base'!$V$35)),EXACT(K165,'Data Base'!$X$37)),I165*1*1*0.5,IF(AND(EXACT(G165,'Data Base'!$T$36),EXACT(H165,'Data Base'!$V$37),EXACT(K165,'Data Base'!$X$37)),I165*1*0.5*0.5,IF(AND(EXACT(G165,'Data Base'!$T$36),EXACT(H165,'Data Base'!$V$38),EXACT(K165,'Data Base'!$X$37)),I165*1*1.2*0.5,IF(AND(EXACT(G165,'Data Base'!$T$37),OR(EXACT(H165,'Data Base'!$V$36),EXACT(H165,'Data Base'!$V$35)),EXACT(K165,'Data Base'!$X$35)),I165*1.25*1*1,IF(AND(EXACT(G165,'Data Base'!$T$37),EXACT(H165,'Data Base'!$V$37),EXACT(K165,'Data Base'!$X$35)),I165*1.25*0.5*1,IF(AND(EXACT(G165,'Data Base'!$T$37),EXACT(H165,'Data Base'!$V$38),EXACT(K165,'Data Base'!$X$35)),I165*1.25*1.2*1,IF(AND(EXACT(G165,'Data Base'!$T$37),OR(EXACT(H165,'Data Base'!$V$36),EXACT(H165,'Data Base'!$V$35)),EXACT(K165,'Data Base'!$X$36)),I165*1.25*1*0.75,IF(AND(EXACT(G165,'Data Base'!$T$37),EXACT(H165,'Data Base'!$V$37),EXACT(K165,'Data Base'!$X$36)),I165*1.25*0.5*0.75,IF(AND(EXACT(G165,'Data Base'!$T$37),EXACT(H165,'Data Base'!$V$38),EXACT(K165,'Data Base'!$X$36)),I165*1.25*1.2*0.75,IF(AND(EXACT(G165,'Data Base'!$T$37),OR(EXACT(H165,'Data Base'!$V$36),EXACT(H165,'Data Base'!$V$35)),EXACT(K165,'Data Base'!$X$37)),I165*1.25*1*0.5,IF(AND(EXACT(G165,'Data Base'!$T$37),EXACT(H165,'Data Base'!$V$37),EXACT(K165,'Data Base'!$X$37)),I165*1.25*0.5*0.5,IF(AND(EXACT(G165,'Data Base'!$T$37),EXACT(H165,'Data Base'!$V$38),EXACT(K165,'Data Base'!$X$37)),I165*1.25*1.2*0.5))))))))))))))))))))))))))),"")</f>
        <v/>
      </c>
    </row>
    <row r="166" spans="1:13" ht="21" customHeight="1">
      <c r="A166" s="99">
        <v>2</v>
      </c>
      <c r="B166" s="1349" t="str">
        <f t="shared" ref="B166:B179" si="20">IF(NOT(EXACT(D166,"")),B165,"")</f>
        <v/>
      </c>
      <c r="C166" s="1350"/>
      <c r="D166" s="148" t="str">
        <f t="shared" ref="D166:D179" si="21">IF(NOT(EXACT(E166,"")),D165,"")</f>
        <v/>
      </c>
      <c r="E166" s="1365"/>
      <c r="F166" s="1365"/>
      <c r="G166" s="165"/>
      <c r="H166" s="140"/>
      <c r="I166" s="4"/>
      <c r="J166" s="4"/>
      <c r="K166" s="140"/>
      <c r="L166" s="4" t="s">
        <v>652</v>
      </c>
      <c r="M166" s="166" t="str">
        <f>IF(AND(NOT(EXACT(D166,"")),NOT(EXACT(G166,"")),NOT(EXACT(E166,"")),NOT(EXACT(B166,"")),NOT(EXACT(I166,"")),NOT(EXACT(H166,""))),IF(AND(EXACT(G166,'Data Base'!$T$35),OR(EXACT(H166,'Data Base'!$V$36),EXACT(H166,'Data Base'!$V$35)),EXACT(K166,'Data Base'!$X$35)),I166*0.5*1*1,IF(AND(EXACT(G166,'Data Base'!$T$35),EXACT(H166,'Data Base'!$V$37),EXACT(K166,'Data Base'!$X$35)),I166*0.5*0.5*1,IF(AND(EXACT(G166,'Data Base'!$T$35),EXACT(H166,'Data Base'!$V$38),EXACT(K166,'Data Base'!$X$35)),I166*0.5*1.2*1,IF(AND(EXACT(G166,'Data Base'!$T$35),OR(EXACT(H166,'Data Base'!$V$36),EXACT(H166,'Data Base'!$V$35)),EXACT(K166,'Data Base'!$X$36)),I166*0.5*1*0.75,IF(AND(EXACT(G166,'Data Base'!$T$35),EXACT(H166,'Data Base'!$V$37),EXACT(K166,'Data Base'!$X$36)),I166*0.5*0.5*0.75,IF(AND(EXACT(G166,'Data Base'!$T$35),EXACT(H166,'Data Base'!$V$38),EXACT(K166,'Data Base'!$X$36)),I166*0.5*1.2*0.75,IF(AND(EXACT(G166,'Data Base'!$T$35),OR(EXACT(H166,'Data Base'!$V$36),EXACT(H166,'Data Base'!$V$35)),EXACT(K166,'Data Base'!$X$37)),I166*0.5*1*0.5,IF(AND(EXACT(G166,'Data Base'!$T$35),EXACT(H166,'Data Base'!$V$37),EXACT(K166,'Data Base'!$X$37)),I166*0.5*0.5*0.5,IF(AND(EXACT(G166,'Data Base'!$T$35),EXACT(H166,'Data Base'!$V$38),EXACT(K166,'Data Base'!$X$37)),I166*0.5*1.2*0.5,IF(AND(EXACT(G166,'Data Base'!$T$36),OR(EXACT(H166,'Data Base'!$V$36),EXACT(H166,'Data Base'!$V$35)),EXACT(K166,'Data Base'!$X$35)),I166*1*1*1,IF(AND(EXACT(G166,'Data Base'!$T$36),EXACT(H166,'Data Base'!$V$37),EXACT(K166,'Data Base'!$X$35)),I166*1*0.5*1,IF(AND(EXACT(G166,'Data Base'!$T$36),EXACT(H166,'Data Base'!$V$38),EXACT(K166,'Data Base'!$X$35)),I166*1*1.2*1,IF(AND(EXACT(G166,'Data Base'!$T$36),OR(EXACT(H166,'Data Base'!$V$36),EXACT(H166,'Data Base'!$V$35)),EXACT(K166,'Data Base'!$X$36)),I166*1*1*0.75,IF(AND(EXACT(G166,'Data Base'!$T$36),EXACT(H166,'Data Base'!$V$37),EXACT(K166,'Data Base'!$X$36)),I166*1*0.5*0.75,IF(AND(EXACT(G166,'Data Base'!$T$36),EXACT(H166,'Data Base'!$V$38),EXACT(K166,'Data Base'!$X$36)),I166*1*1.2*0.75,IF(AND(EXACT(G166,'Data Base'!$T$36),OR(EXACT(H166,'Data Base'!$V$36),EXACT(H166,'Data Base'!$V$35)),EXACT(K166,'Data Base'!$X$37)),I166*1*1*0.5,IF(AND(EXACT(G166,'Data Base'!$T$36),EXACT(H166,'Data Base'!$V$37),EXACT(K166,'Data Base'!$X$37)),I166*1*0.5*0.5,IF(AND(EXACT(G166,'Data Base'!$T$36),EXACT(H166,'Data Base'!$V$38),EXACT(K166,'Data Base'!$X$37)),I166*1*1.2*0.5,IF(AND(EXACT(G166,'Data Base'!$T$37),OR(EXACT(H166,'Data Base'!$V$36),EXACT(H166,'Data Base'!$V$35)),EXACT(K166,'Data Base'!$X$35)),I166*1.25*1*1,IF(AND(EXACT(G166,'Data Base'!$T$37),EXACT(H166,'Data Base'!$V$37),EXACT(K166,'Data Base'!$X$35)),I166*1.25*0.5*1,IF(AND(EXACT(G166,'Data Base'!$T$37),EXACT(H166,'Data Base'!$V$38),EXACT(K166,'Data Base'!$X$35)),I166*1.25*1.2*1,IF(AND(EXACT(G166,'Data Base'!$T$37),OR(EXACT(H166,'Data Base'!$V$36),EXACT(H166,'Data Base'!$V$35)),EXACT(K166,'Data Base'!$X$36)),I166*1.25*1*0.75,IF(AND(EXACT(G166,'Data Base'!$T$37),EXACT(H166,'Data Base'!$V$37),EXACT(K166,'Data Base'!$X$36)),I166*1.25*0.5*0.75,IF(AND(EXACT(G166,'Data Base'!$T$37),EXACT(H166,'Data Base'!$V$38),EXACT(K166,'Data Base'!$X$36)),I166*1.25*1.2*0.75,IF(AND(EXACT(G166,'Data Base'!$T$37),OR(EXACT(H166,'Data Base'!$V$36),EXACT(H166,'Data Base'!$V$35)),EXACT(K166,'Data Base'!$X$37)),I166*1.25*1*0.5,IF(AND(EXACT(G166,'Data Base'!$T$37),EXACT(H166,'Data Base'!$V$37),EXACT(K166,'Data Base'!$X$37)),I166*1.25*0.5*0.5,IF(AND(EXACT(G166,'Data Base'!$T$37),EXACT(H166,'Data Base'!$V$38),EXACT(K166,'Data Base'!$X$37)),I166*1.25*1.2*0.5))))))))))))))))))))))))))),"")</f>
        <v/>
      </c>
    </row>
    <row r="167" spans="1:13" ht="21" customHeight="1">
      <c r="A167" s="99">
        <v>3</v>
      </c>
      <c r="B167" s="1349" t="str">
        <f t="shared" si="20"/>
        <v/>
      </c>
      <c r="C167" s="1350"/>
      <c r="D167" s="148" t="str">
        <f t="shared" si="21"/>
        <v/>
      </c>
      <c r="E167" s="1351"/>
      <c r="F167" s="1352"/>
      <c r="G167" s="165"/>
      <c r="H167" s="140"/>
      <c r="I167" s="4"/>
      <c r="J167" s="4"/>
      <c r="K167" s="140"/>
      <c r="L167" s="4" t="s">
        <v>652</v>
      </c>
      <c r="M167" s="166" t="str">
        <f>IF(AND(NOT(EXACT(D167,"")),NOT(EXACT(G167,"")),NOT(EXACT(E167,"")),NOT(EXACT(B167,"")),NOT(EXACT(I167,"")),NOT(EXACT(H167,""))),IF(AND(EXACT(G167,'Data Base'!$T$35),OR(EXACT(H167,'Data Base'!$V$36),EXACT(H167,'Data Base'!$V$35)),EXACT(K167,'Data Base'!$X$35)),I167*0.5*1*1,IF(AND(EXACT(G167,'Data Base'!$T$35),EXACT(H167,'Data Base'!$V$37),EXACT(K167,'Data Base'!$X$35)),I167*0.5*0.5*1,IF(AND(EXACT(G167,'Data Base'!$T$35),EXACT(H167,'Data Base'!$V$38),EXACT(K167,'Data Base'!$X$35)),I167*0.5*1.2*1,IF(AND(EXACT(G167,'Data Base'!$T$35),OR(EXACT(H167,'Data Base'!$V$36),EXACT(H167,'Data Base'!$V$35)),EXACT(K167,'Data Base'!$X$36)),I167*0.5*1*0.75,IF(AND(EXACT(G167,'Data Base'!$T$35),EXACT(H167,'Data Base'!$V$37),EXACT(K167,'Data Base'!$X$36)),I167*0.5*0.5*0.75,IF(AND(EXACT(G167,'Data Base'!$T$35),EXACT(H167,'Data Base'!$V$38),EXACT(K167,'Data Base'!$X$36)),I167*0.5*1.2*0.75,IF(AND(EXACT(G167,'Data Base'!$T$35),OR(EXACT(H167,'Data Base'!$V$36),EXACT(H167,'Data Base'!$V$35)),EXACT(K167,'Data Base'!$X$37)),I167*0.5*1*0.5,IF(AND(EXACT(G167,'Data Base'!$T$35),EXACT(H167,'Data Base'!$V$37),EXACT(K167,'Data Base'!$X$37)),I167*0.5*0.5*0.5,IF(AND(EXACT(G167,'Data Base'!$T$35),EXACT(H167,'Data Base'!$V$38),EXACT(K167,'Data Base'!$X$37)),I167*0.5*1.2*0.5,IF(AND(EXACT(G167,'Data Base'!$T$36),OR(EXACT(H167,'Data Base'!$V$36),EXACT(H167,'Data Base'!$V$35)),EXACT(K167,'Data Base'!$X$35)),I167*1*1*1,IF(AND(EXACT(G167,'Data Base'!$T$36),EXACT(H167,'Data Base'!$V$37),EXACT(K167,'Data Base'!$X$35)),I167*1*0.5*1,IF(AND(EXACT(G167,'Data Base'!$T$36),EXACT(H167,'Data Base'!$V$38),EXACT(K167,'Data Base'!$X$35)),I167*1*1.2*1,IF(AND(EXACT(G167,'Data Base'!$T$36),OR(EXACT(H167,'Data Base'!$V$36),EXACT(H167,'Data Base'!$V$35)),EXACT(K167,'Data Base'!$X$36)),I167*1*1*0.75,IF(AND(EXACT(G167,'Data Base'!$T$36),EXACT(H167,'Data Base'!$V$37),EXACT(K167,'Data Base'!$X$36)),I167*1*0.5*0.75,IF(AND(EXACT(G167,'Data Base'!$T$36),EXACT(H167,'Data Base'!$V$38),EXACT(K167,'Data Base'!$X$36)),I167*1*1.2*0.75,IF(AND(EXACT(G167,'Data Base'!$T$36),OR(EXACT(H167,'Data Base'!$V$36),EXACT(H167,'Data Base'!$V$35)),EXACT(K167,'Data Base'!$X$37)),I167*1*1*0.5,IF(AND(EXACT(G167,'Data Base'!$T$36),EXACT(H167,'Data Base'!$V$37),EXACT(K167,'Data Base'!$X$37)),I167*1*0.5*0.5,IF(AND(EXACT(G167,'Data Base'!$T$36),EXACT(H167,'Data Base'!$V$38),EXACT(K167,'Data Base'!$X$37)),I167*1*1.2*0.5,IF(AND(EXACT(G167,'Data Base'!$T$37),OR(EXACT(H167,'Data Base'!$V$36),EXACT(H167,'Data Base'!$V$35)),EXACT(K167,'Data Base'!$X$35)),I167*1.25*1*1,IF(AND(EXACT(G167,'Data Base'!$T$37),EXACT(H167,'Data Base'!$V$37),EXACT(K167,'Data Base'!$X$35)),I167*1.25*0.5*1,IF(AND(EXACT(G167,'Data Base'!$T$37),EXACT(H167,'Data Base'!$V$38),EXACT(K167,'Data Base'!$X$35)),I167*1.25*1.2*1,IF(AND(EXACT(G167,'Data Base'!$T$37),OR(EXACT(H167,'Data Base'!$V$36),EXACT(H167,'Data Base'!$V$35)),EXACT(K167,'Data Base'!$X$36)),I167*1.25*1*0.75,IF(AND(EXACT(G167,'Data Base'!$T$37),EXACT(H167,'Data Base'!$V$37),EXACT(K167,'Data Base'!$X$36)),I167*1.25*0.5*0.75,IF(AND(EXACT(G167,'Data Base'!$T$37),EXACT(H167,'Data Base'!$V$38),EXACT(K167,'Data Base'!$X$36)),I167*1.25*1.2*0.75,IF(AND(EXACT(G167,'Data Base'!$T$37),OR(EXACT(H167,'Data Base'!$V$36),EXACT(H167,'Data Base'!$V$35)),EXACT(K167,'Data Base'!$X$37)),I167*1.25*1*0.5,IF(AND(EXACT(G167,'Data Base'!$T$37),EXACT(H167,'Data Base'!$V$37),EXACT(K167,'Data Base'!$X$37)),I167*1.25*0.5*0.5,IF(AND(EXACT(G167,'Data Base'!$T$37),EXACT(H167,'Data Base'!$V$38),EXACT(K167,'Data Base'!$X$37)),I167*1.25*1.2*0.5))))))))))))))))))))))))))),"")</f>
        <v/>
      </c>
    </row>
    <row r="168" spans="1:13" ht="21" customHeight="1">
      <c r="A168" s="97">
        <v>4</v>
      </c>
      <c r="B168" s="1349" t="str">
        <f t="shared" si="20"/>
        <v/>
      </c>
      <c r="C168" s="1350"/>
      <c r="D168" s="148" t="str">
        <f t="shared" si="21"/>
        <v/>
      </c>
      <c r="E168" s="1351"/>
      <c r="F168" s="1352"/>
      <c r="G168" s="165"/>
      <c r="H168" s="140"/>
      <c r="I168" s="4"/>
      <c r="J168" s="4"/>
      <c r="K168" s="140"/>
      <c r="L168" s="4" t="s">
        <v>652</v>
      </c>
      <c r="M168" s="166" t="str">
        <f>IF(AND(NOT(EXACT(D168,"")),NOT(EXACT(G168,"")),NOT(EXACT(E168,"")),NOT(EXACT(B168,"")),NOT(EXACT(I168,"")),NOT(EXACT(H168,""))),IF(AND(EXACT(G168,'Data Base'!$T$35),OR(EXACT(H168,'Data Base'!$V$36),EXACT(H168,'Data Base'!$V$35)),EXACT(K168,'Data Base'!$X$35)),I168*0.5*1*1,IF(AND(EXACT(G168,'Data Base'!$T$35),EXACT(H168,'Data Base'!$V$37),EXACT(K168,'Data Base'!$X$35)),I168*0.5*0.5*1,IF(AND(EXACT(G168,'Data Base'!$T$35),EXACT(H168,'Data Base'!$V$38),EXACT(K168,'Data Base'!$X$35)),I168*0.5*1.2*1,IF(AND(EXACT(G168,'Data Base'!$T$35),OR(EXACT(H168,'Data Base'!$V$36),EXACT(H168,'Data Base'!$V$35)),EXACT(K168,'Data Base'!$X$36)),I168*0.5*1*0.75,IF(AND(EXACT(G168,'Data Base'!$T$35),EXACT(H168,'Data Base'!$V$37),EXACT(K168,'Data Base'!$X$36)),I168*0.5*0.5*0.75,IF(AND(EXACT(G168,'Data Base'!$T$35),EXACT(H168,'Data Base'!$V$38),EXACT(K168,'Data Base'!$X$36)),I168*0.5*1.2*0.75,IF(AND(EXACT(G168,'Data Base'!$T$35),OR(EXACT(H168,'Data Base'!$V$36),EXACT(H168,'Data Base'!$V$35)),EXACT(K168,'Data Base'!$X$37)),I168*0.5*1*0.5,IF(AND(EXACT(G168,'Data Base'!$T$35),EXACT(H168,'Data Base'!$V$37),EXACT(K168,'Data Base'!$X$37)),I168*0.5*0.5*0.5,IF(AND(EXACT(G168,'Data Base'!$T$35),EXACT(H168,'Data Base'!$V$38),EXACT(K168,'Data Base'!$X$37)),I168*0.5*1.2*0.5,IF(AND(EXACT(G168,'Data Base'!$T$36),OR(EXACT(H168,'Data Base'!$V$36),EXACT(H168,'Data Base'!$V$35)),EXACT(K168,'Data Base'!$X$35)),I168*1*1*1,IF(AND(EXACT(G168,'Data Base'!$T$36),EXACT(H168,'Data Base'!$V$37),EXACT(K168,'Data Base'!$X$35)),I168*1*0.5*1,IF(AND(EXACT(G168,'Data Base'!$T$36),EXACT(H168,'Data Base'!$V$38),EXACT(K168,'Data Base'!$X$35)),I168*1*1.2*1,IF(AND(EXACT(G168,'Data Base'!$T$36),OR(EXACT(H168,'Data Base'!$V$36),EXACT(H168,'Data Base'!$V$35)),EXACT(K168,'Data Base'!$X$36)),I168*1*1*0.75,IF(AND(EXACT(G168,'Data Base'!$T$36),EXACT(H168,'Data Base'!$V$37),EXACT(K168,'Data Base'!$X$36)),I168*1*0.5*0.75,IF(AND(EXACT(G168,'Data Base'!$T$36),EXACT(H168,'Data Base'!$V$38),EXACT(K168,'Data Base'!$X$36)),I168*1*1.2*0.75,IF(AND(EXACT(G168,'Data Base'!$T$36),OR(EXACT(H168,'Data Base'!$V$36),EXACT(H168,'Data Base'!$V$35)),EXACT(K168,'Data Base'!$X$37)),I168*1*1*0.5,IF(AND(EXACT(G168,'Data Base'!$T$36),EXACT(H168,'Data Base'!$V$37),EXACT(K168,'Data Base'!$X$37)),I168*1*0.5*0.5,IF(AND(EXACT(G168,'Data Base'!$T$36),EXACT(H168,'Data Base'!$V$38),EXACT(K168,'Data Base'!$X$37)),I168*1*1.2*0.5,IF(AND(EXACT(G168,'Data Base'!$T$37),OR(EXACT(H168,'Data Base'!$V$36),EXACT(H168,'Data Base'!$V$35)),EXACT(K168,'Data Base'!$X$35)),I168*1.25*1*1,IF(AND(EXACT(G168,'Data Base'!$T$37),EXACT(H168,'Data Base'!$V$37),EXACT(K168,'Data Base'!$X$35)),I168*1.25*0.5*1,IF(AND(EXACT(G168,'Data Base'!$T$37),EXACT(H168,'Data Base'!$V$38),EXACT(K168,'Data Base'!$X$35)),I168*1.25*1.2*1,IF(AND(EXACT(G168,'Data Base'!$T$37),OR(EXACT(H168,'Data Base'!$V$36),EXACT(H168,'Data Base'!$V$35)),EXACT(K168,'Data Base'!$X$36)),I168*1.25*1*0.75,IF(AND(EXACT(G168,'Data Base'!$T$37),EXACT(H168,'Data Base'!$V$37),EXACT(K168,'Data Base'!$X$36)),I168*1.25*0.5*0.75,IF(AND(EXACT(G168,'Data Base'!$T$37),EXACT(H168,'Data Base'!$V$38),EXACT(K168,'Data Base'!$X$36)),I168*1.25*1.2*0.75,IF(AND(EXACT(G168,'Data Base'!$T$37),OR(EXACT(H168,'Data Base'!$V$36),EXACT(H168,'Data Base'!$V$35)),EXACT(K168,'Data Base'!$X$37)),I168*1.25*1*0.5,IF(AND(EXACT(G168,'Data Base'!$T$37),EXACT(H168,'Data Base'!$V$37),EXACT(K168,'Data Base'!$X$37)),I168*1.25*0.5*0.5,IF(AND(EXACT(G168,'Data Base'!$T$37),EXACT(H168,'Data Base'!$V$38),EXACT(K168,'Data Base'!$X$37)),I168*1.25*1.2*0.5))))))))))))))))))))))))))),"")</f>
        <v/>
      </c>
    </row>
    <row r="169" spans="1:13" ht="21" customHeight="1">
      <c r="A169" s="99">
        <v>5</v>
      </c>
      <c r="B169" s="1349" t="str">
        <f t="shared" si="20"/>
        <v/>
      </c>
      <c r="C169" s="1350"/>
      <c r="D169" s="148" t="str">
        <f t="shared" si="21"/>
        <v/>
      </c>
      <c r="E169" s="1351"/>
      <c r="F169" s="1352"/>
      <c r="G169" s="165"/>
      <c r="H169" s="140"/>
      <c r="I169" s="4"/>
      <c r="J169" s="4"/>
      <c r="K169" s="140"/>
      <c r="L169" s="4" t="s">
        <v>652</v>
      </c>
      <c r="M169" s="166" t="str">
        <f>IF(AND(NOT(EXACT(D169,"")),NOT(EXACT(G169,"")),NOT(EXACT(E169,"")),NOT(EXACT(B169,"")),NOT(EXACT(I169,"")),NOT(EXACT(H169,""))),IF(AND(EXACT(G169,'Data Base'!$T$35),OR(EXACT(H169,'Data Base'!$V$36),EXACT(H169,'Data Base'!$V$35)),EXACT(K169,'Data Base'!$X$35)),I169*0.5*1*1,IF(AND(EXACT(G169,'Data Base'!$T$35),EXACT(H169,'Data Base'!$V$37),EXACT(K169,'Data Base'!$X$35)),I169*0.5*0.5*1,IF(AND(EXACT(G169,'Data Base'!$T$35),EXACT(H169,'Data Base'!$V$38),EXACT(K169,'Data Base'!$X$35)),I169*0.5*1.2*1,IF(AND(EXACT(G169,'Data Base'!$T$35),OR(EXACT(H169,'Data Base'!$V$36),EXACT(H169,'Data Base'!$V$35)),EXACT(K169,'Data Base'!$X$36)),I169*0.5*1*0.75,IF(AND(EXACT(G169,'Data Base'!$T$35),EXACT(H169,'Data Base'!$V$37),EXACT(K169,'Data Base'!$X$36)),I169*0.5*0.5*0.75,IF(AND(EXACT(G169,'Data Base'!$T$35),EXACT(H169,'Data Base'!$V$38),EXACT(K169,'Data Base'!$X$36)),I169*0.5*1.2*0.75,IF(AND(EXACT(G169,'Data Base'!$T$35),OR(EXACT(H169,'Data Base'!$V$36),EXACT(H169,'Data Base'!$V$35)),EXACT(K169,'Data Base'!$X$37)),I169*0.5*1*0.5,IF(AND(EXACT(G169,'Data Base'!$T$35),EXACT(H169,'Data Base'!$V$37),EXACT(K169,'Data Base'!$X$37)),I169*0.5*0.5*0.5,IF(AND(EXACT(G169,'Data Base'!$T$35),EXACT(H169,'Data Base'!$V$38),EXACT(K169,'Data Base'!$X$37)),I169*0.5*1.2*0.5,IF(AND(EXACT(G169,'Data Base'!$T$36),OR(EXACT(H169,'Data Base'!$V$36),EXACT(H169,'Data Base'!$V$35)),EXACT(K169,'Data Base'!$X$35)),I169*1*1*1,IF(AND(EXACT(G169,'Data Base'!$T$36),EXACT(H169,'Data Base'!$V$37),EXACT(K169,'Data Base'!$X$35)),I169*1*0.5*1,IF(AND(EXACT(G169,'Data Base'!$T$36),EXACT(H169,'Data Base'!$V$38),EXACT(K169,'Data Base'!$X$35)),I169*1*1.2*1,IF(AND(EXACT(G169,'Data Base'!$T$36),OR(EXACT(H169,'Data Base'!$V$36),EXACT(H169,'Data Base'!$V$35)),EXACT(K169,'Data Base'!$X$36)),I169*1*1*0.75,IF(AND(EXACT(G169,'Data Base'!$T$36),EXACT(H169,'Data Base'!$V$37),EXACT(K169,'Data Base'!$X$36)),I169*1*0.5*0.75,IF(AND(EXACT(G169,'Data Base'!$T$36),EXACT(H169,'Data Base'!$V$38),EXACT(K169,'Data Base'!$X$36)),I169*1*1.2*0.75,IF(AND(EXACT(G169,'Data Base'!$T$36),OR(EXACT(H169,'Data Base'!$V$36),EXACT(H169,'Data Base'!$V$35)),EXACT(K169,'Data Base'!$X$37)),I169*1*1*0.5,IF(AND(EXACT(G169,'Data Base'!$T$36),EXACT(H169,'Data Base'!$V$37),EXACT(K169,'Data Base'!$X$37)),I169*1*0.5*0.5,IF(AND(EXACT(G169,'Data Base'!$T$36),EXACT(H169,'Data Base'!$V$38),EXACT(K169,'Data Base'!$X$37)),I169*1*1.2*0.5,IF(AND(EXACT(G169,'Data Base'!$T$37),OR(EXACT(H169,'Data Base'!$V$36),EXACT(H169,'Data Base'!$V$35)),EXACT(K169,'Data Base'!$X$35)),I169*1.25*1*1,IF(AND(EXACT(G169,'Data Base'!$T$37),EXACT(H169,'Data Base'!$V$37),EXACT(K169,'Data Base'!$X$35)),I169*1.25*0.5*1,IF(AND(EXACT(G169,'Data Base'!$T$37),EXACT(H169,'Data Base'!$V$38),EXACT(K169,'Data Base'!$X$35)),I169*1.25*1.2*1,IF(AND(EXACT(G169,'Data Base'!$T$37),OR(EXACT(H169,'Data Base'!$V$36),EXACT(H169,'Data Base'!$V$35)),EXACT(K169,'Data Base'!$X$36)),I169*1.25*1*0.75,IF(AND(EXACT(G169,'Data Base'!$T$37),EXACT(H169,'Data Base'!$V$37),EXACT(K169,'Data Base'!$X$36)),I169*1.25*0.5*0.75,IF(AND(EXACT(G169,'Data Base'!$T$37),EXACT(H169,'Data Base'!$V$38),EXACT(K169,'Data Base'!$X$36)),I169*1.25*1.2*0.75,IF(AND(EXACT(G169,'Data Base'!$T$37),OR(EXACT(H169,'Data Base'!$V$36),EXACT(H169,'Data Base'!$V$35)),EXACT(K169,'Data Base'!$X$37)),I169*1.25*1*0.5,IF(AND(EXACT(G169,'Data Base'!$T$37),EXACT(H169,'Data Base'!$V$37),EXACT(K169,'Data Base'!$X$37)),I169*1.25*0.5*0.5,IF(AND(EXACT(G169,'Data Base'!$T$37),EXACT(H169,'Data Base'!$V$38),EXACT(K169,'Data Base'!$X$37)),I169*1.25*1.2*0.5))))))))))))))))))))))))))),"")</f>
        <v/>
      </c>
    </row>
    <row r="170" spans="1:13" ht="21" customHeight="1">
      <c r="A170" s="99">
        <v>6</v>
      </c>
      <c r="B170" s="1349" t="str">
        <f t="shared" si="20"/>
        <v/>
      </c>
      <c r="C170" s="1350"/>
      <c r="D170" s="148" t="str">
        <f t="shared" si="21"/>
        <v/>
      </c>
      <c r="E170" s="1351"/>
      <c r="F170" s="1352"/>
      <c r="G170" s="165"/>
      <c r="H170" s="140"/>
      <c r="I170" s="4"/>
      <c r="J170" s="4"/>
      <c r="K170" s="140"/>
      <c r="L170" s="4" t="s">
        <v>652</v>
      </c>
      <c r="M170" s="166" t="str">
        <f>IF(AND(NOT(EXACT(D170,"")),NOT(EXACT(G170,"")),NOT(EXACT(E170,"")),NOT(EXACT(B170,"")),NOT(EXACT(I170,"")),NOT(EXACT(H170,""))),IF(AND(EXACT(G170,'Data Base'!$T$35),OR(EXACT(H170,'Data Base'!$V$36),EXACT(H170,'Data Base'!$V$35)),EXACT(K170,'Data Base'!$X$35)),I170*0.5*1*1,IF(AND(EXACT(G170,'Data Base'!$T$35),EXACT(H170,'Data Base'!$V$37),EXACT(K170,'Data Base'!$X$35)),I170*0.5*0.5*1,IF(AND(EXACT(G170,'Data Base'!$T$35),EXACT(H170,'Data Base'!$V$38),EXACT(K170,'Data Base'!$X$35)),I170*0.5*1.2*1,IF(AND(EXACT(G170,'Data Base'!$T$35),OR(EXACT(H170,'Data Base'!$V$36),EXACT(H170,'Data Base'!$V$35)),EXACT(K170,'Data Base'!$X$36)),I170*0.5*1*0.75,IF(AND(EXACT(G170,'Data Base'!$T$35),EXACT(H170,'Data Base'!$V$37),EXACT(K170,'Data Base'!$X$36)),I170*0.5*0.5*0.75,IF(AND(EXACT(G170,'Data Base'!$T$35),EXACT(H170,'Data Base'!$V$38),EXACT(K170,'Data Base'!$X$36)),I170*0.5*1.2*0.75,IF(AND(EXACT(G170,'Data Base'!$T$35),OR(EXACT(H170,'Data Base'!$V$36),EXACT(H170,'Data Base'!$V$35)),EXACT(K170,'Data Base'!$X$37)),I170*0.5*1*0.5,IF(AND(EXACT(G170,'Data Base'!$T$35),EXACT(H170,'Data Base'!$V$37),EXACT(K170,'Data Base'!$X$37)),I170*0.5*0.5*0.5,IF(AND(EXACT(G170,'Data Base'!$T$35),EXACT(H170,'Data Base'!$V$38),EXACT(K170,'Data Base'!$X$37)),I170*0.5*1.2*0.5,IF(AND(EXACT(G170,'Data Base'!$T$36),OR(EXACT(H170,'Data Base'!$V$36),EXACT(H170,'Data Base'!$V$35)),EXACT(K170,'Data Base'!$X$35)),I170*1*1*1,IF(AND(EXACT(G170,'Data Base'!$T$36),EXACT(H170,'Data Base'!$V$37),EXACT(K170,'Data Base'!$X$35)),I170*1*0.5*1,IF(AND(EXACT(G170,'Data Base'!$T$36),EXACT(H170,'Data Base'!$V$38),EXACT(K170,'Data Base'!$X$35)),I170*1*1.2*1,IF(AND(EXACT(G170,'Data Base'!$T$36),OR(EXACT(H170,'Data Base'!$V$36),EXACT(H170,'Data Base'!$V$35)),EXACT(K170,'Data Base'!$X$36)),I170*1*1*0.75,IF(AND(EXACT(G170,'Data Base'!$T$36),EXACT(H170,'Data Base'!$V$37),EXACT(K170,'Data Base'!$X$36)),I170*1*0.5*0.75,IF(AND(EXACT(G170,'Data Base'!$T$36),EXACT(H170,'Data Base'!$V$38),EXACT(K170,'Data Base'!$X$36)),I170*1*1.2*0.75,IF(AND(EXACT(G170,'Data Base'!$T$36),OR(EXACT(H170,'Data Base'!$V$36),EXACT(H170,'Data Base'!$V$35)),EXACT(K170,'Data Base'!$X$37)),I170*1*1*0.5,IF(AND(EXACT(G170,'Data Base'!$T$36),EXACT(H170,'Data Base'!$V$37),EXACT(K170,'Data Base'!$X$37)),I170*1*0.5*0.5,IF(AND(EXACT(G170,'Data Base'!$T$36),EXACT(H170,'Data Base'!$V$38),EXACT(K170,'Data Base'!$X$37)),I170*1*1.2*0.5,IF(AND(EXACT(G170,'Data Base'!$T$37),OR(EXACT(H170,'Data Base'!$V$36),EXACT(H170,'Data Base'!$V$35)),EXACT(K170,'Data Base'!$X$35)),I170*1.25*1*1,IF(AND(EXACT(G170,'Data Base'!$T$37),EXACT(H170,'Data Base'!$V$37),EXACT(K170,'Data Base'!$X$35)),I170*1.25*0.5*1,IF(AND(EXACT(G170,'Data Base'!$T$37),EXACT(H170,'Data Base'!$V$38),EXACT(K170,'Data Base'!$X$35)),I170*1.25*1.2*1,IF(AND(EXACT(G170,'Data Base'!$T$37),OR(EXACT(H170,'Data Base'!$V$36),EXACT(H170,'Data Base'!$V$35)),EXACT(K170,'Data Base'!$X$36)),I170*1.25*1*0.75,IF(AND(EXACT(G170,'Data Base'!$T$37),EXACT(H170,'Data Base'!$V$37),EXACT(K170,'Data Base'!$X$36)),I170*1.25*0.5*0.75,IF(AND(EXACT(G170,'Data Base'!$T$37),EXACT(H170,'Data Base'!$V$38),EXACT(K170,'Data Base'!$X$36)),I170*1.25*1.2*0.75,IF(AND(EXACT(G170,'Data Base'!$T$37),OR(EXACT(H170,'Data Base'!$V$36),EXACT(H170,'Data Base'!$V$35)),EXACT(K170,'Data Base'!$X$37)),I170*1.25*1*0.5,IF(AND(EXACT(G170,'Data Base'!$T$37),EXACT(H170,'Data Base'!$V$37),EXACT(K170,'Data Base'!$X$37)),I170*1.25*0.5*0.5,IF(AND(EXACT(G170,'Data Base'!$T$37),EXACT(H170,'Data Base'!$V$38),EXACT(K170,'Data Base'!$X$37)),I170*1.25*1.2*0.5))))))))))))))))))))))))))),"")</f>
        <v/>
      </c>
    </row>
    <row r="171" spans="1:13" ht="21" customHeight="1">
      <c r="A171" s="97">
        <v>7</v>
      </c>
      <c r="B171" s="1349" t="str">
        <f t="shared" si="20"/>
        <v/>
      </c>
      <c r="C171" s="1350"/>
      <c r="D171" s="148" t="str">
        <f t="shared" si="21"/>
        <v/>
      </c>
      <c r="E171" s="1351"/>
      <c r="F171" s="1352"/>
      <c r="G171" s="165"/>
      <c r="H171" s="140"/>
      <c r="I171" s="4"/>
      <c r="J171" s="4"/>
      <c r="K171" s="140"/>
      <c r="L171" s="4" t="s">
        <v>652</v>
      </c>
      <c r="M171" s="166" t="str">
        <f>IF(AND(NOT(EXACT(D171,"")),NOT(EXACT(G171,"")),NOT(EXACT(E171,"")),NOT(EXACT(B171,"")),NOT(EXACT(I171,"")),NOT(EXACT(H171,""))),IF(AND(EXACT(G171,'Data Base'!$T$35),OR(EXACT(H171,'Data Base'!$V$36),EXACT(H171,'Data Base'!$V$35)),EXACT(K171,'Data Base'!$X$35)),I171*0.5*1*1,IF(AND(EXACT(G171,'Data Base'!$T$35),EXACT(H171,'Data Base'!$V$37),EXACT(K171,'Data Base'!$X$35)),I171*0.5*0.5*1,IF(AND(EXACT(G171,'Data Base'!$T$35),EXACT(H171,'Data Base'!$V$38),EXACT(K171,'Data Base'!$X$35)),I171*0.5*1.2*1,IF(AND(EXACT(G171,'Data Base'!$T$35),OR(EXACT(H171,'Data Base'!$V$36),EXACT(H171,'Data Base'!$V$35)),EXACT(K171,'Data Base'!$X$36)),I171*0.5*1*0.75,IF(AND(EXACT(G171,'Data Base'!$T$35),EXACT(H171,'Data Base'!$V$37),EXACT(K171,'Data Base'!$X$36)),I171*0.5*0.5*0.75,IF(AND(EXACT(G171,'Data Base'!$T$35),EXACT(H171,'Data Base'!$V$38),EXACT(K171,'Data Base'!$X$36)),I171*0.5*1.2*0.75,IF(AND(EXACT(G171,'Data Base'!$T$35),OR(EXACT(H171,'Data Base'!$V$36),EXACT(H171,'Data Base'!$V$35)),EXACT(K171,'Data Base'!$X$37)),I171*0.5*1*0.5,IF(AND(EXACT(G171,'Data Base'!$T$35),EXACT(H171,'Data Base'!$V$37),EXACT(K171,'Data Base'!$X$37)),I171*0.5*0.5*0.5,IF(AND(EXACT(G171,'Data Base'!$T$35),EXACT(H171,'Data Base'!$V$38),EXACT(K171,'Data Base'!$X$37)),I171*0.5*1.2*0.5,IF(AND(EXACT(G171,'Data Base'!$T$36),OR(EXACT(H171,'Data Base'!$V$36),EXACT(H171,'Data Base'!$V$35)),EXACT(K171,'Data Base'!$X$35)),I171*1*1*1,IF(AND(EXACT(G171,'Data Base'!$T$36),EXACT(H171,'Data Base'!$V$37),EXACT(K171,'Data Base'!$X$35)),I171*1*0.5*1,IF(AND(EXACT(G171,'Data Base'!$T$36),EXACT(H171,'Data Base'!$V$38),EXACT(K171,'Data Base'!$X$35)),I171*1*1.2*1,IF(AND(EXACT(G171,'Data Base'!$T$36),OR(EXACT(H171,'Data Base'!$V$36),EXACT(H171,'Data Base'!$V$35)),EXACT(K171,'Data Base'!$X$36)),I171*1*1*0.75,IF(AND(EXACT(G171,'Data Base'!$T$36),EXACT(H171,'Data Base'!$V$37),EXACT(K171,'Data Base'!$X$36)),I171*1*0.5*0.75,IF(AND(EXACT(G171,'Data Base'!$T$36),EXACT(H171,'Data Base'!$V$38),EXACT(K171,'Data Base'!$X$36)),I171*1*1.2*0.75,IF(AND(EXACT(G171,'Data Base'!$T$36),OR(EXACT(H171,'Data Base'!$V$36),EXACT(H171,'Data Base'!$V$35)),EXACT(K171,'Data Base'!$X$37)),I171*1*1*0.5,IF(AND(EXACT(G171,'Data Base'!$T$36),EXACT(H171,'Data Base'!$V$37),EXACT(K171,'Data Base'!$X$37)),I171*1*0.5*0.5,IF(AND(EXACT(G171,'Data Base'!$T$36),EXACT(H171,'Data Base'!$V$38),EXACT(K171,'Data Base'!$X$37)),I171*1*1.2*0.5,IF(AND(EXACT(G171,'Data Base'!$T$37),OR(EXACT(H171,'Data Base'!$V$36),EXACT(H171,'Data Base'!$V$35)),EXACT(K171,'Data Base'!$X$35)),I171*1.25*1*1,IF(AND(EXACT(G171,'Data Base'!$T$37),EXACT(H171,'Data Base'!$V$37),EXACT(K171,'Data Base'!$X$35)),I171*1.25*0.5*1,IF(AND(EXACT(G171,'Data Base'!$T$37),EXACT(H171,'Data Base'!$V$38),EXACT(K171,'Data Base'!$X$35)),I171*1.25*1.2*1,IF(AND(EXACT(G171,'Data Base'!$T$37),OR(EXACT(H171,'Data Base'!$V$36),EXACT(H171,'Data Base'!$V$35)),EXACT(K171,'Data Base'!$X$36)),I171*1.25*1*0.75,IF(AND(EXACT(G171,'Data Base'!$T$37),EXACT(H171,'Data Base'!$V$37),EXACT(K171,'Data Base'!$X$36)),I171*1.25*0.5*0.75,IF(AND(EXACT(G171,'Data Base'!$T$37),EXACT(H171,'Data Base'!$V$38),EXACT(K171,'Data Base'!$X$36)),I171*1.25*1.2*0.75,IF(AND(EXACT(G171,'Data Base'!$T$37),OR(EXACT(H171,'Data Base'!$V$36),EXACT(H171,'Data Base'!$V$35)),EXACT(K171,'Data Base'!$X$37)),I171*1.25*1*0.5,IF(AND(EXACT(G171,'Data Base'!$T$37),EXACT(H171,'Data Base'!$V$37),EXACT(K171,'Data Base'!$X$37)),I171*1.25*0.5*0.5,IF(AND(EXACT(G171,'Data Base'!$T$37),EXACT(H171,'Data Base'!$V$38),EXACT(K171,'Data Base'!$X$37)),I171*1.25*1.2*0.5))))))))))))))))))))))))))),"")</f>
        <v/>
      </c>
    </row>
    <row r="172" spans="1:13" ht="21" customHeight="1">
      <c r="A172" s="99">
        <v>8</v>
      </c>
      <c r="B172" s="1349" t="str">
        <f t="shared" si="20"/>
        <v/>
      </c>
      <c r="C172" s="1350"/>
      <c r="D172" s="148" t="str">
        <f t="shared" si="21"/>
        <v/>
      </c>
      <c r="E172" s="1351"/>
      <c r="F172" s="1352"/>
      <c r="G172" s="165"/>
      <c r="H172" s="140"/>
      <c r="I172" s="4"/>
      <c r="J172" s="4"/>
      <c r="K172" s="140"/>
      <c r="L172" s="4" t="s">
        <v>652</v>
      </c>
      <c r="M172" s="166" t="str">
        <f>IF(AND(NOT(EXACT(D172,"")),NOT(EXACT(G172,"")),NOT(EXACT(E172,"")),NOT(EXACT(B172,"")),NOT(EXACT(I172,"")),NOT(EXACT(H172,""))),IF(AND(EXACT(G172,'Data Base'!$T$35),OR(EXACT(H172,'Data Base'!$V$36),EXACT(H172,'Data Base'!$V$35)),EXACT(K172,'Data Base'!$X$35)),I172*0.5*1*1,IF(AND(EXACT(G172,'Data Base'!$T$35),EXACT(H172,'Data Base'!$V$37),EXACT(K172,'Data Base'!$X$35)),I172*0.5*0.5*1,IF(AND(EXACT(G172,'Data Base'!$T$35),EXACT(H172,'Data Base'!$V$38),EXACT(K172,'Data Base'!$X$35)),I172*0.5*1.2*1,IF(AND(EXACT(G172,'Data Base'!$T$35),OR(EXACT(H172,'Data Base'!$V$36),EXACT(H172,'Data Base'!$V$35)),EXACT(K172,'Data Base'!$X$36)),I172*0.5*1*0.75,IF(AND(EXACT(G172,'Data Base'!$T$35),EXACT(H172,'Data Base'!$V$37),EXACT(K172,'Data Base'!$X$36)),I172*0.5*0.5*0.75,IF(AND(EXACT(G172,'Data Base'!$T$35),EXACT(H172,'Data Base'!$V$38),EXACT(K172,'Data Base'!$X$36)),I172*0.5*1.2*0.75,IF(AND(EXACT(G172,'Data Base'!$T$35),OR(EXACT(H172,'Data Base'!$V$36),EXACT(H172,'Data Base'!$V$35)),EXACT(K172,'Data Base'!$X$37)),I172*0.5*1*0.5,IF(AND(EXACT(G172,'Data Base'!$T$35),EXACT(H172,'Data Base'!$V$37),EXACT(K172,'Data Base'!$X$37)),I172*0.5*0.5*0.5,IF(AND(EXACT(G172,'Data Base'!$T$35),EXACT(H172,'Data Base'!$V$38),EXACT(K172,'Data Base'!$X$37)),I172*0.5*1.2*0.5,IF(AND(EXACT(G172,'Data Base'!$T$36),OR(EXACT(H172,'Data Base'!$V$36),EXACT(H172,'Data Base'!$V$35)),EXACT(K172,'Data Base'!$X$35)),I172*1*1*1,IF(AND(EXACT(G172,'Data Base'!$T$36),EXACT(H172,'Data Base'!$V$37),EXACT(K172,'Data Base'!$X$35)),I172*1*0.5*1,IF(AND(EXACT(G172,'Data Base'!$T$36),EXACT(H172,'Data Base'!$V$38),EXACT(K172,'Data Base'!$X$35)),I172*1*1.2*1,IF(AND(EXACT(G172,'Data Base'!$T$36),OR(EXACT(H172,'Data Base'!$V$36),EXACT(H172,'Data Base'!$V$35)),EXACT(K172,'Data Base'!$X$36)),I172*1*1*0.75,IF(AND(EXACT(G172,'Data Base'!$T$36),EXACT(H172,'Data Base'!$V$37),EXACT(K172,'Data Base'!$X$36)),I172*1*0.5*0.75,IF(AND(EXACT(G172,'Data Base'!$T$36),EXACT(H172,'Data Base'!$V$38),EXACT(K172,'Data Base'!$X$36)),I172*1*1.2*0.75,IF(AND(EXACT(G172,'Data Base'!$T$36),OR(EXACT(H172,'Data Base'!$V$36),EXACT(H172,'Data Base'!$V$35)),EXACT(K172,'Data Base'!$X$37)),I172*1*1*0.5,IF(AND(EXACT(G172,'Data Base'!$T$36),EXACT(H172,'Data Base'!$V$37),EXACT(K172,'Data Base'!$X$37)),I172*1*0.5*0.5,IF(AND(EXACT(G172,'Data Base'!$T$36),EXACT(H172,'Data Base'!$V$38),EXACT(K172,'Data Base'!$X$37)),I172*1*1.2*0.5,IF(AND(EXACT(G172,'Data Base'!$T$37),OR(EXACT(H172,'Data Base'!$V$36),EXACT(H172,'Data Base'!$V$35)),EXACT(K172,'Data Base'!$X$35)),I172*1.25*1*1,IF(AND(EXACT(G172,'Data Base'!$T$37),EXACT(H172,'Data Base'!$V$37),EXACT(K172,'Data Base'!$X$35)),I172*1.25*0.5*1,IF(AND(EXACT(G172,'Data Base'!$T$37),EXACT(H172,'Data Base'!$V$38),EXACT(K172,'Data Base'!$X$35)),I172*1.25*1.2*1,IF(AND(EXACT(G172,'Data Base'!$T$37),OR(EXACT(H172,'Data Base'!$V$36),EXACT(H172,'Data Base'!$V$35)),EXACT(K172,'Data Base'!$X$36)),I172*1.25*1*0.75,IF(AND(EXACT(G172,'Data Base'!$T$37),EXACT(H172,'Data Base'!$V$37),EXACT(K172,'Data Base'!$X$36)),I172*1.25*0.5*0.75,IF(AND(EXACT(G172,'Data Base'!$T$37),EXACT(H172,'Data Base'!$V$38),EXACT(K172,'Data Base'!$X$36)),I172*1.25*1.2*0.75,IF(AND(EXACT(G172,'Data Base'!$T$37),OR(EXACT(H172,'Data Base'!$V$36),EXACT(H172,'Data Base'!$V$35)),EXACT(K172,'Data Base'!$X$37)),I172*1.25*1*0.5,IF(AND(EXACT(G172,'Data Base'!$T$37),EXACT(H172,'Data Base'!$V$37),EXACT(K172,'Data Base'!$X$37)),I172*1.25*0.5*0.5,IF(AND(EXACT(G172,'Data Base'!$T$37),EXACT(H172,'Data Base'!$V$38),EXACT(K172,'Data Base'!$X$37)),I172*1.25*1.2*0.5))))))))))))))))))))))))))),"")</f>
        <v/>
      </c>
    </row>
    <row r="173" spans="1:13" ht="21" customHeight="1">
      <c r="A173" s="99">
        <v>9</v>
      </c>
      <c r="B173" s="1349" t="str">
        <f t="shared" si="20"/>
        <v/>
      </c>
      <c r="C173" s="1350"/>
      <c r="D173" s="148" t="str">
        <f t="shared" si="21"/>
        <v/>
      </c>
      <c r="E173" s="1351"/>
      <c r="F173" s="1352"/>
      <c r="G173" s="165"/>
      <c r="H173" s="140"/>
      <c r="I173" s="4"/>
      <c r="J173" s="4"/>
      <c r="K173" s="140"/>
      <c r="L173" s="4" t="s">
        <v>652</v>
      </c>
      <c r="M173" s="166" t="str">
        <f>IF(AND(NOT(EXACT(D173,"")),NOT(EXACT(G173,"")),NOT(EXACT(E173,"")),NOT(EXACT(B173,"")),NOT(EXACT(I173,"")),NOT(EXACT(H173,""))),IF(AND(EXACT(G173,'Data Base'!$T$35),OR(EXACT(H173,'Data Base'!$V$36),EXACT(H173,'Data Base'!$V$35)),EXACT(K173,'Data Base'!$X$35)),I173*0.5*1*1,IF(AND(EXACT(G173,'Data Base'!$T$35),EXACT(H173,'Data Base'!$V$37),EXACT(K173,'Data Base'!$X$35)),I173*0.5*0.5*1,IF(AND(EXACT(G173,'Data Base'!$T$35),EXACT(H173,'Data Base'!$V$38),EXACT(K173,'Data Base'!$X$35)),I173*0.5*1.2*1,IF(AND(EXACT(G173,'Data Base'!$T$35),OR(EXACT(H173,'Data Base'!$V$36),EXACT(H173,'Data Base'!$V$35)),EXACT(K173,'Data Base'!$X$36)),I173*0.5*1*0.75,IF(AND(EXACT(G173,'Data Base'!$T$35),EXACT(H173,'Data Base'!$V$37),EXACT(K173,'Data Base'!$X$36)),I173*0.5*0.5*0.75,IF(AND(EXACT(G173,'Data Base'!$T$35),EXACT(H173,'Data Base'!$V$38),EXACT(K173,'Data Base'!$X$36)),I173*0.5*1.2*0.75,IF(AND(EXACT(G173,'Data Base'!$T$35),OR(EXACT(H173,'Data Base'!$V$36),EXACT(H173,'Data Base'!$V$35)),EXACT(K173,'Data Base'!$X$37)),I173*0.5*1*0.5,IF(AND(EXACT(G173,'Data Base'!$T$35),EXACT(H173,'Data Base'!$V$37),EXACT(K173,'Data Base'!$X$37)),I173*0.5*0.5*0.5,IF(AND(EXACT(G173,'Data Base'!$T$35),EXACT(H173,'Data Base'!$V$38),EXACT(K173,'Data Base'!$X$37)),I173*0.5*1.2*0.5,IF(AND(EXACT(G173,'Data Base'!$T$36),OR(EXACT(H173,'Data Base'!$V$36),EXACT(H173,'Data Base'!$V$35)),EXACT(K173,'Data Base'!$X$35)),I173*1*1*1,IF(AND(EXACT(G173,'Data Base'!$T$36),EXACT(H173,'Data Base'!$V$37),EXACT(K173,'Data Base'!$X$35)),I173*1*0.5*1,IF(AND(EXACT(G173,'Data Base'!$T$36),EXACT(H173,'Data Base'!$V$38),EXACT(K173,'Data Base'!$X$35)),I173*1*1.2*1,IF(AND(EXACT(G173,'Data Base'!$T$36),OR(EXACT(H173,'Data Base'!$V$36),EXACT(H173,'Data Base'!$V$35)),EXACT(K173,'Data Base'!$X$36)),I173*1*1*0.75,IF(AND(EXACT(G173,'Data Base'!$T$36),EXACT(H173,'Data Base'!$V$37),EXACT(K173,'Data Base'!$X$36)),I173*1*0.5*0.75,IF(AND(EXACT(G173,'Data Base'!$T$36),EXACT(H173,'Data Base'!$V$38),EXACT(K173,'Data Base'!$X$36)),I173*1*1.2*0.75,IF(AND(EXACT(G173,'Data Base'!$T$36),OR(EXACT(H173,'Data Base'!$V$36),EXACT(H173,'Data Base'!$V$35)),EXACT(K173,'Data Base'!$X$37)),I173*1*1*0.5,IF(AND(EXACT(G173,'Data Base'!$T$36),EXACT(H173,'Data Base'!$V$37),EXACT(K173,'Data Base'!$X$37)),I173*1*0.5*0.5,IF(AND(EXACT(G173,'Data Base'!$T$36),EXACT(H173,'Data Base'!$V$38),EXACT(K173,'Data Base'!$X$37)),I173*1*1.2*0.5,IF(AND(EXACT(G173,'Data Base'!$T$37),OR(EXACT(H173,'Data Base'!$V$36),EXACT(H173,'Data Base'!$V$35)),EXACT(K173,'Data Base'!$X$35)),I173*1.25*1*1,IF(AND(EXACT(G173,'Data Base'!$T$37),EXACT(H173,'Data Base'!$V$37),EXACT(K173,'Data Base'!$X$35)),I173*1.25*0.5*1,IF(AND(EXACT(G173,'Data Base'!$T$37),EXACT(H173,'Data Base'!$V$38),EXACT(K173,'Data Base'!$X$35)),I173*1.25*1.2*1,IF(AND(EXACT(G173,'Data Base'!$T$37),OR(EXACT(H173,'Data Base'!$V$36),EXACT(H173,'Data Base'!$V$35)),EXACT(K173,'Data Base'!$X$36)),I173*1.25*1*0.75,IF(AND(EXACT(G173,'Data Base'!$T$37),EXACT(H173,'Data Base'!$V$37),EXACT(K173,'Data Base'!$X$36)),I173*1.25*0.5*0.75,IF(AND(EXACT(G173,'Data Base'!$T$37),EXACT(H173,'Data Base'!$V$38),EXACT(K173,'Data Base'!$X$36)),I173*1.25*1.2*0.75,IF(AND(EXACT(G173,'Data Base'!$T$37),OR(EXACT(H173,'Data Base'!$V$36),EXACT(H173,'Data Base'!$V$35)),EXACT(K173,'Data Base'!$X$37)),I173*1.25*1*0.5,IF(AND(EXACT(G173,'Data Base'!$T$37),EXACT(H173,'Data Base'!$V$37),EXACT(K173,'Data Base'!$X$37)),I173*1.25*0.5*0.5,IF(AND(EXACT(G173,'Data Base'!$T$37),EXACT(H173,'Data Base'!$V$38),EXACT(K173,'Data Base'!$X$37)),I173*1.25*1.2*0.5))))))))))))))))))))))))))),"")</f>
        <v/>
      </c>
    </row>
    <row r="174" spans="1:13" ht="21" customHeight="1">
      <c r="A174" s="97">
        <v>10</v>
      </c>
      <c r="B174" s="1349" t="str">
        <f t="shared" si="20"/>
        <v/>
      </c>
      <c r="C174" s="1350"/>
      <c r="D174" s="148" t="str">
        <f t="shared" si="21"/>
        <v/>
      </c>
      <c r="E174" s="1351"/>
      <c r="F174" s="1352"/>
      <c r="G174" s="165"/>
      <c r="H174" s="140"/>
      <c r="I174" s="4"/>
      <c r="J174" s="4"/>
      <c r="K174" s="140"/>
      <c r="L174" s="4" t="s">
        <v>652</v>
      </c>
      <c r="M174" s="166" t="str">
        <f>IF(AND(NOT(EXACT(D174,"")),NOT(EXACT(G174,"")),NOT(EXACT(E174,"")),NOT(EXACT(B174,"")),NOT(EXACT(I174,"")),NOT(EXACT(H174,""))),IF(AND(EXACT(G174,'Data Base'!$T$35),OR(EXACT(H174,'Data Base'!$V$36),EXACT(H174,'Data Base'!$V$35)),EXACT(K174,'Data Base'!$X$35)),I174*0.5*1*1,IF(AND(EXACT(G174,'Data Base'!$T$35),EXACT(H174,'Data Base'!$V$37),EXACT(K174,'Data Base'!$X$35)),I174*0.5*0.5*1,IF(AND(EXACT(G174,'Data Base'!$T$35),EXACT(H174,'Data Base'!$V$38),EXACT(K174,'Data Base'!$X$35)),I174*0.5*1.2*1,IF(AND(EXACT(G174,'Data Base'!$T$35),OR(EXACT(H174,'Data Base'!$V$36),EXACT(H174,'Data Base'!$V$35)),EXACT(K174,'Data Base'!$X$36)),I174*0.5*1*0.75,IF(AND(EXACT(G174,'Data Base'!$T$35),EXACT(H174,'Data Base'!$V$37),EXACT(K174,'Data Base'!$X$36)),I174*0.5*0.5*0.75,IF(AND(EXACT(G174,'Data Base'!$T$35),EXACT(H174,'Data Base'!$V$38),EXACT(K174,'Data Base'!$X$36)),I174*0.5*1.2*0.75,IF(AND(EXACT(G174,'Data Base'!$T$35),OR(EXACT(H174,'Data Base'!$V$36),EXACT(H174,'Data Base'!$V$35)),EXACT(K174,'Data Base'!$X$37)),I174*0.5*1*0.5,IF(AND(EXACT(G174,'Data Base'!$T$35),EXACT(H174,'Data Base'!$V$37),EXACT(K174,'Data Base'!$X$37)),I174*0.5*0.5*0.5,IF(AND(EXACT(G174,'Data Base'!$T$35),EXACT(H174,'Data Base'!$V$38),EXACT(K174,'Data Base'!$X$37)),I174*0.5*1.2*0.5,IF(AND(EXACT(G174,'Data Base'!$T$36),OR(EXACT(H174,'Data Base'!$V$36),EXACT(H174,'Data Base'!$V$35)),EXACT(K174,'Data Base'!$X$35)),I174*1*1*1,IF(AND(EXACT(G174,'Data Base'!$T$36),EXACT(H174,'Data Base'!$V$37),EXACT(K174,'Data Base'!$X$35)),I174*1*0.5*1,IF(AND(EXACT(G174,'Data Base'!$T$36),EXACT(H174,'Data Base'!$V$38),EXACT(K174,'Data Base'!$X$35)),I174*1*1.2*1,IF(AND(EXACT(G174,'Data Base'!$T$36),OR(EXACT(H174,'Data Base'!$V$36),EXACT(H174,'Data Base'!$V$35)),EXACT(K174,'Data Base'!$X$36)),I174*1*1*0.75,IF(AND(EXACT(G174,'Data Base'!$T$36),EXACT(H174,'Data Base'!$V$37),EXACT(K174,'Data Base'!$X$36)),I174*1*0.5*0.75,IF(AND(EXACT(G174,'Data Base'!$T$36),EXACT(H174,'Data Base'!$V$38),EXACT(K174,'Data Base'!$X$36)),I174*1*1.2*0.75,IF(AND(EXACT(G174,'Data Base'!$T$36),OR(EXACT(H174,'Data Base'!$V$36),EXACT(H174,'Data Base'!$V$35)),EXACT(K174,'Data Base'!$X$37)),I174*1*1*0.5,IF(AND(EXACT(G174,'Data Base'!$T$36),EXACT(H174,'Data Base'!$V$37),EXACT(K174,'Data Base'!$X$37)),I174*1*0.5*0.5,IF(AND(EXACT(G174,'Data Base'!$T$36),EXACT(H174,'Data Base'!$V$38),EXACT(K174,'Data Base'!$X$37)),I174*1*1.2*0.5,IF(AND(EXACT(G174,'Data Base'!$T$37),OR(EXACT(H174,'Data Base'!$V$36),EXACT(H174,'Data Base'!$V$35)),EXACT(K174,'Data Base'!$X$35)),I174*1.25*1*1,IF(AND(EXACT(G174,'Data Base'!$T$37),EXACT(H174,'Data Base'!$V$37),EXACT(K174,'Data Base'!$X$35)),I174*1.25*0.5*1,IF(AND(EXACT(G174,'Data Base'!$T$37),EXACT(H174,'Data Base'!$V$38),EXACT(K174,'Data Base'!$X$35)),I174*1.25*1.2*1,IF(AND(EXACT(G174,'Data Base'!$T$37),OR(EXACT(H174,'Data Base'!$V$36),EXACT(H174,'Data Base'!$V$35)),EXACT(K174,'Data Base'!$X$36)),I174*1.25*1*0.75,IF(AND(EXACT(G174,'Data Base'!$T$37),EXACT(H174,'Data Base'!$V$37),EXACT(K174,'Data Base'!$X$36)),I174*1.25*0.5*0.75,IF(AND(EXACT(G174,'Data Base'!$T$37),EXACT(H174,'Data Base'!$V$38),EXACT(K174,'Data Base'!$X$36)),I174*1.25*1.2*0.75,IF(AND(EXACT(G174,'Data Base'!$T$37),OR(EXACT(H174,'Data Base'!$V$36),EXACT(H174,'Data Base'!$V$35)),EXACT(K174,'Data Base'!$X$37)),I174*1.25*1*0.5,IF(AND(EXACT(G174,'Data Base'!$T$37),EXACT(H174,'Data Base'!$V$37),EXACT(K174,'Data Base'!$X$37)),I174*1.25*0.5*0.5,IF(AND(EXACT(G174,'Data Base'!$T$37),EXACT(H174,'Data Base'!$V$38),EXACT(K174,'Data Base'!$X$37)),I174*1.25*1.2*0.5))))))))))))))))))))))))))),"")</f>
        <v/>
      </c>
    </row>
    <row r="175" spans="1:13" ht="21" customHeight="1">
      <c r="A175" s="99">
        <v>11</v>
      </c>
      <c r="B175" s="1349" t="str">
        <f t="shared" si="20"/>
        <v/>
      </c>
      <c r="C175" s="1350"/>
      <c r="D175" s="148" t="str">
        <f t="shared" si="21"/>
        <v/>
      </c>
      <c r="E175" s="1351"/>
      <c r="F175" s="1352"/>
      <c r="G175" s="165"/>
      <c r="H175" s="140"/>
      <c r="I175" s="4"/>
      <c r="J175" s="4"/>
      <c r="K175" s="140"/>
      <c r="L175" s="4" t="s">
        <v>652</v>
      </c>
      <c r="M175" s="166" t="str">
        <f>IF(AND(NOT(EXACT(D175,"")),NOT(EXACT(G175,"")),NOT(EXACT(E175,"")),NOT(EXACT(B175,"")),NOT(EXACT(I175,"")),NOT(EXACT(H175,""))),IF(AND(EXACT(G175,'Data Base'!$T$35),OR(EXACT(H175,'Data Base'!$V$36),EXACT(H175,'Data Base'!$V$35)),EXACT(K175,'Data Base'!$X$35)),I175*0.5*1*1,IF(AND(EXACT(G175,'Data Base'!$T$35),EXACT(H175,'Data Base'!$V$37),EXACT(K175,'Data Base'!$X$35)),I175*0.5*0.5*1,IF(AND(EXACT(G175,'Data Base'!$T$35),EXACT(H175,'Data Base'!$V$38),EXACT(K175,'Data Base'!$X$35)),I175*0.5*1.2*1,IF(AND(EXACT(G175,'Data Base'!$T$35),OR(EXACT(H175,'Data Base'!$V$36),EXACT(H175,'Data Base'!$V$35)),EXACT(K175,'Data Base'!$X$36)),I175*0.5*1*0.75,IF(AND(EXACT(G175,'Data Base'!$T$35),EXACT(H175,'Data Base'!$V$37),EXACT(K175,'Data Base'!$X$36)),I175*0.5*0.5*0.75,IF(AND(EXACT(G175,'Data Base'!$T$35),EXACT(H175,'Data Base'!$V$38),EXACT(K175,'Data Base'!$X$36)),I175*0.5*1.2*0.75,IF(AND(EXACT(G175,'Data Base'!$T$35),OR(EXACT(H175,'Data Base'!$V$36),EXACT(H175,'Data Base'!$V$35)),EXACT(K175,'Data Base'!$X$37)),I175*0.5*1*0.5,IF(AND(EXACT(G175,'Data Base'!$T$35),EXACT(H175,'Data Base'!$V$37),EXACT(K175,'Data Base'!$X$37)),I175*0.5*0.5*0.5,IF(AND(EXACT(G175,'Data Base'!$T$35),EXACT(H175,'Data Base'!$V$38),EXACT(K175,'Data Base'!$X$37)),I175*0.5*1.2*0.5,IF(AND(EXACT(G175,'Data Base'!$T$36),OR(EXACT(H175,'Data Base'!$V$36),EXACT(H175,'Data Base'!$V$35)),EXACT(K175,'Data Base'!$X$35)),I175*1*1*1,IF(AND(EXACT(G175,'Data Base'!$T$36),EXACT(H175,'Data Base'!$V$37),EXACT(K175,'Data Base'!$X$35)),I175*1*0.5*1,IF(AND(EXACT(G175,'Data Base'!$T$36),EXACT(H175,'Data Base'!$V$38),EXACT(K175,'Data Base'!$X$35)),I175*1*1.2*1,IF(AND(EXACT(G175,'Data Base'!$T$36),OR(EXACT(H175,'Data Base'!$V$36),EXACT(H175,'Data Base'!$V$35)),EXACT(K175,'Data Base'!$X$36)),I175*1*1*0.75,IF(AND(EXACT(G175,'Data Base'!$T$36),EXACT(H175,'Data Base'!$V$37),EXACT(K175,'Data Base'!$X$36)),I175*1*0.5*0.75,IF(AND(EXACT(G175,'Data Base'!$T$36),EXACT(H175,'Data Base'!$V$38),EXACT(K175,'Data Base'!$X$36)),I175*1*1.2*0.75,IF(AND(EXACT(G175,'Data Base'!$T$36),OR(EXACT(H175,'Data Base'!$V$36),EXACT(H175,'Data Base'!$V$35)),EXACT(K175,'Data Base'!$X$37)),I175*1*1*0.5,IF(AND(EXACT(G175,'Data Base'!$T$36),EXACT(H175,'Data Base'!$V$37),EXACT(K175,'Data Base'!$X$37)),I175*1*0.5*0.5,IF(AND(EXACT(G175,'Data Base'!$T$36),EXACT(H175,'Data Base'!$V$38),EXACT(K175,'Data Base'!$X$37)),I175*1*1.2*0.5,IF(AND(EXACT(G175,'Data Base'!$T$37),OR(EXACT(H175,'Data Base'!$V$36),EXACT(H175,'Data Base'!$V$35)),EXACT(K175,'Data Base'!$X$35)),I175*1.25*1*1,IF(AND(EXACT(G175,'Data Base'!$T$37),EXACT(H175,'Data Base'!$V$37),EXACT(K175,'Data Base'!$X$35)),I175*1.25*0.5*1,IF(AND(EXACT(G175,'Data Base'!$T$37),EXACT(H175,'Data Base'!$V$38),EXACT(K175,'Data Base'!$X$35)),I175*1.25*1.2*1,IF(AND(EXACT(G175,'Data Base'!$T$37),OR(EXACT(H175,'Data Base'!$V$36),EXACT(H175,'Data Base'!$V$35)),EXACT(K175,'Data Base'!$X$36)),I175*1.25*1*0.75,IF(AND(EXACT(G175,'Data Base'!$T$37),EXACT(H175,'Data Base'!$V$37),EXACT(K175,'Data Base'!$X$36)),I175*1.25*0.5*0.75,IF(AND(EXACT(G175,'Data Base'!$T$37),EXACT(H175,'Data Base'!$V$38),EXACT(K175,'Data Base'!$X$36)),I175*1.25*1.2*0.75,IF(AND(EXACT(G175,'Data Base'!$T$37),OR(EXACT(H175,'Data Base'!$V$36),EXACT(H175,'Data Base'!$V$35)),EXACT(K175,'Data Base'!$X$37)),I175*1.25*1*0.5,IF(AND(EXACT(G175,'Data Base'!$T$37),EXACT(H175,'Data Base'!$V$37),EXACT(K175,'Data Base'!$X$37)),I175*1.25*0.5*0.5,IF(AND(EXACT(G175,'Data Base'!$T$37),EXACT(H175,'Data Base'!$V$38),EXACT(K175,'Data Base'!$X$37)),I175*1.25*1.2*0.5))))))))))))))))))))))))))),"")</f>
        <v/>
      </c>
    </row>
    <row r="176" spans="1:13" ht="21" customHeight="1">
      <c r="A176" s="99">
        <v>12</v>
      </c>
      <c r="B176" s="1349" t="str">
        <f t="shared" si="20"/>
        <v/>
      </c>
      <c r="C176" s="1350"/>
      <c r="D176" s="148" t="str">
        <f t="shared" si="21"/>
        <v/>
      </c>
      <c r="E176" s="1351"/>
      <c r="F176" s="1352"/>
      <c r="G176" s="165"/>
      <c r="H176" s="140"/>
      <c r="I176" s="4"/>
      <c r="J176" s="4"/>
      <c r="K176" s="140"/>
      <c r="L176" s="4" t="s">
        <v>652</v>
      </c>
      <c r="M176" s="166" t="str">
        <f>IF(AND(NOT(EXACT(D176,"")),NOT(EXACT(G176,"")),NOT(EXACT(E176,"")),NOT(EXACT(B176,"")),NOT(EXACT(I176,"")),NOT(EXACT(H176,""))),IF(AND(EXACT(G176,'Data Base'!$T$35),OR(EXACT(H176,'Data Base'!$V$36),EXACT(H176,'Data Base'!$V$35)),EXACT(K176,'Data Base'!$X$35)),I176*0.5*1*1,IF(AND(EXACT(G176,'Data Base'!$T$35),EXACT(H176,'Data Base'!$V$37),EXACT(K176,'Data Base'!$X$35)),I176*0.5*0.5*1,IF(AND(EXACT(G176,'Data Base'!$T$35),EXACT(H176,'Data Base'!$V$38),EXACT(K176,'Data Base'!$X$35)),I176*0.5*1.2*1,IF(AND(EXACT(G176,'Data Base'!$T$35),OR(EXACT(H176,'Data Base'!$V$36),EXACT(H176,'Data Base'!$V$35)),EXACT(K176,'Data Base'!$X$36)),I176*0.5*1*0.75,IF(AND(EXACT(G176,'Data Base'!$T$35),EXACT(H176,'Data Base'!$V$37),EXACT(K176,'Data Base'!$X$36)),I176*0.5*0.5*0.75,IF(AND(EXACT(G176,'Data Base'!$T$35),EXACT(H176,'Data Base'!$V$38),EXACT(K176,'Data Base'!$X$36)),I176*0.5*1.2*0.75,IF(AND(EXACT(G176,'Data Base'!$T$35),OR(EXACT(H176,'Data Base'!$V$36),EXACT(H176,'Data Base'!$V$35)),EXACT(K176,'Data Base'!$X$37)),I176*0.5*1*0.5,IF(AND(EXACT(G176,'Data Base'!$T$35),EXACT(H176,'Data Base'!$V$37),EXACT(K176,'Data Base'!$X$37)),I176*0.5*0.5*0.5,IF(AND(EXACT(G176,'Data Base'!$T$35),EXACT(H176,'Data Base'!$V$38),EXACT(K176,'Data Base'!$X$37)),I176*0.5*1.2*0.5,IF(AND(EXACT(G176,'Data Base'!$T$36),OR(EXACT(H176,'Data Base'!$V$36),EXACT(H176,'Data Base'!$V$35)),EXACT(K176,'Data Base'!$X$35)),I176*1*1*1,IF(AND(EXACT(G176,'Data Base'!$T$36),EXACT(H176,'Data Base'!$V$37),EXACT(K176,'Data Base'!$X$35)),I176*1*0.5*1,IF(AND(EXACT(G176,'Data Base'!$T$36),EXACT(H176,'Data Base'!$V$38),EXACT(K176,'Data Base'!$X$35)),I176*1*1.2*1,IF(AND(EXACT(G176,'Data Base'!$T$36),OR(EXACT(H176,'Data Base'!$V$36),EXACT(H176,'Data Base'!$V$35)),EXACT(K176,'Data Base'!$X$36)),I176*1*1*0.75,IF(AND(EXACT(G176,'Data Base'!$T$36),EXACT(H176,'Data Base'!$V$37),EXACT(K176,'Data Base'!$X$36)),I176*1*0.5*0.75,IF(AND(EXACT(G176,'Data Base'!$T$36),EXACT(H176,'Data Base'!$V$38),EXACT(K176,'Data Base'!$X$36)),I176*1*1.2*0.75,IF(AND(EXACT(G176,'Data Base'!$T$36),OR(EXACT(H176,'Data Base'!$V$36),EXACT(H176,'Data Base'!$V$35)),EXACT(K176,'Data Base'!$X$37)),I176*1*1*0.5,IF(AND(EXACT(G176,'Data Base'!$T$36),EXACT(H176,'Data Base'!$V$37),EXACT(K176,'Data Base'!$X$37)),I176*1*0.5*0.5,IF(AND(EXACT(G176,'Data Base'!$T$36),EXACT(H176,'Data Base'!$V$38),EXACT(K176,'Data Base'!$X$37)),I176*1*1.2*0.5,IF(AND(EXACT(G176,'Data Base'!$T$37),OR(EXACT(H176,'Data Base'!$V$36),EXACT(H176,'Data Base'!$V$35)),EXACT(K176,'Data Base'!$X$35)),I176*1.25*1*1,IF(AND(EXACT(G176,'Data Base'!$T$37),EXACT(H176,'Data Base'!$V$37),EXACT(K176,'Data Base'!$X$35)),I176*1.25*0.5*1,IF(AND(EXACT(G176,'Data Base'!$T$37),EXACT(H176,'Data Base'!$V$38),EXACT(K176,'Data Base'!$X$35)),I176*1.25*1.2*1,IF(AND(EXACT(G176,'Data Base'!$T$37),OR(EXACT(H176,'Data Base'!$V$36),EXACT(H176,'Data Base'!$V$35)),EXACT(K176,'Data Base'!$X$36)),I176*1.25*1*0.75,IF(AND(EXACT(G176,'Data Base'!$T$37),EXACT(H176,'Data Base'!$V$37),EXACT(K176,'Data Base'!$X$36)),I176*1.25*0.5*0.75,IF(AND(EXACT(G176,'Data Base'!$T$37),EXACT(H176,'Data Base'!$V$38),EXACT(K176,'Data Base'!$X$36)),I176*1.25*1.2*0.75,IF(AND(EXACT(G176,'Data Base'!$T$37),OR(EXACT(H176,'Data Base'!$V$36),EXACT(H176,'Data Base'!$V$35)),EXACT(K176,'Data Base'!$X$37)),I176*1.25*1*0.5,IF(AND(EXACT(G176,'Data Base'!$T$37),EXACT(H176,'Data Base'!$V$37),EXACT(K176,'Data Base'!$X$37)),I176*1.25*0.5*0.5,IF(AND(EXACT(G176,'Data Base'!$T$37),EXACT(H176,'Data Base'!$V$38),EXACT(K176,'Data Base'!$X$37)),I176*1.25*1.2*0.5))))))))))))))))))))))))))),"")</f>
        <v/>
      </c>
    </row>
    <row r="177" spans="1:13" ht="21" customHeight="1">
      <c r="A177" s="97">
        <v>13</v>
      </c>
      <c r="B177" s="1349" t="str">
        <f t="shared" si="20"/>
        <v/>
      </c>
      <c r="C177" s="1350"/>
      <c r="D177" s="148" t="str">
        <f t="shared" si="21"/>
        <v/>
      </c>
      <c r="E177" s="1351"/>
      <c r="F177" s="1352"/>
      <c r="G177" s="165"/>
      <c r="H177" s="140"/>
      <c r="I177" s="4"/>
      <c r="J177" s="4"/>
      <c r="K177" s="140"/>
      <c r="L177" s="4" t="s">
        <v>652</v>
      </c>
      <c r="M177" s="166" t="str">
        <f>IF(AND(NOT(EXACT(D177,"")),NOT(EXACT(G177,"")),NOT(EXACT(E177,"")),NOT(EXACT(B177,"")),NOT(EXACT(I177,"")),NOT(EXACT(H177,""))),IF(AND(EXACT(G177,'Data Base'!$T$35),OR(EXACT(H177,'Data Base'!$V$36),EXACT(H177,'Data Base'!$V$35)),EXACT(K177,'Data Base'!$X$35)),I177*0.5*1*1,IF(AND(EXACT(G177,'Data Base'!$T$35),EXACT(H177,'Data Base'!$V$37),EXACT(K177,'Data Base'!$X$35)),I177*0.5*0.5*1,IF(AND(EXACT(G177,'Data Base'!$T$35),EXACT(H177,'Data Base'!$V$38),EXACT(K177,'Data Base'!$X$35)),I177*0.5*1.2*1,IF(AND(EXACT(G177,'Data Base'!$T$35),OR(EXACT(H177,'Data Base'!$V$36),EXACT(H177,'Data Base'!$V$35)),EXACT(K177,'Data Base'!$X$36)),I177*0.5*1*0.75,IF(AND(EXACT(G177,'Data Base'!$T$35),EXACT(H177,'Data Base'!$V$37),EXACT(K177,'Data Base'!$X$36)),I177*0.5*0.5*0.75,IF(AND(EXACT(G177,'Data Base'!$T$35),EXACT(H177,'Data Base'!$V$38),EXACT(K177,'Data Base'!$X$36)),I177*0.5*1.2*0.75,IF(AND(EXACT(G177,'Data Base'!$T$35),OR(EXACT(H177,'Data Base'!$V$36),EXACT(H177,'Data Base'!$V$35)),EXACT(K177,'Data Base'!$X$37)),I177*0.5*1*0.5,IF(AND(EXACT(G177,'Data Base'!$T$35),EXACT(H177,'Data Base'!$V$37),EXACT(K177,'Data Base'!$X$37)),I177*0.5*0.5*0.5,IF(AND(EXACT(G177,'Data Base'!$T$35),EXACT(H177,'Data Base'!$V$38),EXACT(K177,'Data Base'!$X$37)),I177*0.5*1.2*0.5,IF(AND(EXACT(G177,'Data Base'!$T$36),OR(EXACT(H177,'Data Base'!$V$36),EXACT(H177,'Data Base'!$V$35)),EXACT(K177,'Data Base'!$X$35)),I177*1*1*1,IF(AND(EXACT(G177,'Data Base'!$T$36),EXACT(H177,'Data Base'!$V$37),EXACT(K177,'Data Base'!$X$35)),I177*1*0.5*1,IF(AND(EXACT(G177,'Data Base'!$T$36),EXACT(H177,'Data Base'!$V$38),EXACT(K177,'Data Base'!$X$35)),I177*1*1.2*1,IF(AND(EXACT(G177,'Data Base'!$T$36),OR(EXACT(H177,'Data Base'!$V$36),EXACT(H177,'Data Base'!$V$35)),EXACT(K177,'Data Base'!$X$36)),I177*1*1*0.75,IF(AND(EXACT(G177,'Data Base'!$T$36),EXACT(H177,'Data Base'!$V$37),EXACT(K177,'Data Base'!$X$36)),I177*1*0.5*0.75,IF(AND(EXACT(G177,'Data Base'!$T$36),EXACT(H177,'Data Base'!$V$38),EXACT(K177,'Data Base'!$X$36)),I177*1*1.2*0.75,IF(AND(EXACT(G177,'Data Base'!$T$36),OR(EXACT(H177,'Data Base'!$V$36),EXACT(H177,'Data Base'!$V$35)),EXACT(K177,'Data Base'!$X$37)),I177*1*1*0.5,IF(AND(EXACT(G177,'Data Base'!$T$36),EXACT(H177,'Data Base'!$V$37),EXACT(K177,'Data Base'!$X$37)),I177*1*0.5*0.5,IF(AND(EXACT(G177,'Data Base'!$T$36),EXACT(H177,'Data Base'!$V$38),EXACT(K177,'Data Base'!$X$37)),I177*1*1.2*0.5,IF(AND(EXACT(G177,'Data Base'!$T$37),OR(EXACT(H177,'Data Base'!$V$36),EXACT(H177,'Data Base'!$V$35)),EXACT(K177,'Data Base'!$X$35)),I177*1.25*1*1,IF(AND(EXACT(G177,'Data Base'!$T$37),EXACT(H177,'Data Base'!$V$37),EXACT(K177,'Data Base'!$X$35)),I177*1.25*0.5*1,IF(AND(EXACT(G177,'Data Base'!$T$37),EXACT(H177,'Data Base'!$V$38),EXACT(K177,'Data Base'!$X$35)),I177*1.25*1.2*1,IF(AND(EXACT(G177,'Data Base'!$T$37),OR(EXACT(H177,'Data Base'!$V$36),EXACT(H177,'Data Base'!$V$35)),EXACT(K177,'Data Base'!$X$36)),I177*1.25*1*0.75,IF(AND(EXACT(G177,'Data Base'!$T$37),EXACT(H177,'Data Base'!$V$37),EXACT(K177,'Data Base'!$X$36)),I177*1.25*0.5*0.75,IF(AND(EXACT(G177,'Data Base'!$T$37),EXACT(H177,'Data Base'!$V$38),EXACT(K177,'Data Base'!$X$36)),I177*1.25*1.2*0.75,IF(AND(EXACT(G177,'Data Base'!$T$37),OR(EXACT(H177,'Data Base'!$V$36),EXACT(H177,'Data Base'!$V$35)),EXACT(K177,'Data Base'!$X$37)),I177*1.25*1*0.5,IF(AND(EXACT(G177,'Data Base'!$T$37),EXACT(H177,'Data Base'!$V$37),EXACT(K177,'Data Base'!$X$37)),I177*1.25*0.5*0.5,IF(AND(EXACT(G177,'Data Base'!$T$37),EXACT(H177,'Data Base'!$V$38),EXACT(K177,'Data Base'!$X$37)),I177*1.25*1.2*0.5))))))))))))))))))))))))))),"")</f>
        <v/>
      </c>
    </row>
    <row r="178" spans="1:13" ht="21" customHeight="1">
      <c r="A178" s="99">
        <v>14</v>
      </c>
      <c r="B178" s="1349" t="str">
        <f t="shared" si="20"/>
        <v/>
      </c>
      <c r="C178" s="1350"/>
      <c r="D178" s="148" t="str">
        <f t="shared" si="21"/>
        <v/>
      </c>
      <c r="E178" s="1351"/>
      <c r="F178" s="1352"/>
      <c r="G178" s="165"/>
      <c r="H178" s="140"/>
      <c r="I178" s="4"/>
      <c r="J178" s="4"/>
      <c r="K178" s="140"/>
      <c r="L178" s="4" t="s">
        <v>652</v>
      </c>
      <c r="M178" s="166" t="str">
        <f>IF(AND(NOT(EXACT(D178,"")),NOT(EXACT(G178,"")),NOT(EXACT(E178,"")),NOT(EXACT(B178,"")),NOT(EXACT(I178,"")),NOT(EXACT(H178,""))),IF(AND(EXACT(G178,'Data Base'!$T$35),OR(EXACT(H178,'Data Base'!$V$36),EXACT(H178,'Data Base'!$V$35)),EXACT(K178,'Data Base'!$X$35)),I178*0.5*1*1,IF(AND(EXACT(G178,'Data Base'!$T$35),EXACT(H178,'Data Base'!$V$37),EXACT(K178,'Data Base'!$X$35)),I178*0.5*0.5*1,IF(AND(EXACT(G178,'Data Base'!$T$35),EXACT(H178,'Data Base'!$V$38),EXACT(K178,'Data Base'!$X$35)),I178*0.5*1.2*1,IF(AND(EXACT(G178,'Data Base'!$T$35),OR(EXACT(H178,'Data Base'!$V$36),EXACT(H178,'Data Base'!$V$35)),EXACT(K178,'Data Base'!$X$36)),I178*0.5*1*0.75,IF(AND(EXACT(G178,'Data Base'!$T$35),EXACT(H178,'Data Base'!$V$37),EXACT(K178,'Data Base'!$X$36)),I178*0.5*0.5*0.75,IF(AND(EXACT(G178,'Data Base'!$T$35),EXACT(H178,'Data Base'!$V$38),EXACT(K178,'Data Base'!$X$36)),I178*0.5*1.2*0.75,IF(AND(EXACT(G178,'Data Base'!$T$35),OR(EXACT(H178,'Data Base'!$V$36),EXACT(H178,'Data Base'!$V$35)),EXACT(K178,'Data Base'!$X$37)),I178*0.5*1*0.5,IF(AND(EXACT(G178,'Data Base'!$T$35),EXACT(H178,'Data Base'!$V$37),EXACT(K178,'Data Base'!$X$37)),I178*0.5*0.5*0.5,IF(AND(EXACT(G178,'Data Base'!$T$35),EXACT(H178,'Data Base'!$V$38),EXACT(K178,'Data Base'!$X$37)),I178*0.5*1.2*0.5,IF(AND(EXACT(G178,'Data Base'!$T$36),OR(EXACT(H178,'Data Base'!$V$36),EXACT(H178,'Data Base'!$V$35)),EXACT(K178,'Data Base'!$X$35)),I178*1*1*1,IF(AND(EXACT(G178,'Data Base'!$T$36),EXACT(H178,'Data Base'!$V$37),EXACT(K178,'Data Base'!$X$35)),I178*1*0.5*1,IF(AND(EXACT(G178,'Data Base'!$T$36),EXACT(H178,'Data Base'!$V$38),EXACT(K178,'Data Base'!$X$35)),I178*1*1.2*1,IF(AND(EXACT(G178,'Data Base'!$T$36),OR(EXACT(H178,'Data Base'!$V$36),EXACT(H178,'Data Base'!$V$35)),EXACT(K178,'Data Base'!$X$36)),I178*1*1*0.75,IF(AND(EXACT(G178,'Data Base'!$T$36),EXACT(H178,'Data Base'!$V$37),EXACT(K178,'Data Base'!$X$36)),I178*1*0.5*0.75,IF(AND(EXACT(G178,'Data Base'!$T$36),EXACT(H178,'Data Base'!$V$38),EXACT(K178,'Data Base'!$X$36)),I178*1*1.2*0.75,IF(AND(EXACT(G178,'Data Base'!$T$36),OR(EXACT(H178,'Data Base'!$V$36),EXACT(H178,'Data Base'!$V$35)),EXACT(K178,'Data Base'!$X$37)),I178*1*1*0.5,IF(AND(EXACT(G178,'Data Base'!$T$36),EXACT(H178,'Data Base'!$V$37),EXACT(K178,'Data Base'!$X$37)),I178*1*0.5*0.5,IF(AND(EXACT(G178,'Data Base'!$T$36),EXACT(H178,'Data Base'!$V$38),EXACT(K178,'Data Base'!$X$37)),I178*1*1.2*0.5,IF(AND(EXACT(G178,'Data Base'!$T$37),OR(EXACT(H178,'Data Base'!$V$36),EXACT(H178,'Data Base'!$V$35)),EXACT(K178,'Data Base'!$X$35)),I178*1.25*1*1,IF(AND(EXACT(G178,'Data Base'!$T$37),EXACT(H178,'Data Base'!$V$37),EXACT(K178,'Data Base'!$X$35)),I178*1.25*0.5*1,IF(AND(EXACT(G178,'Data Base'!$T$37),EXACT(H178,'Data Base'!$V$38),EXACT(K178,'Data Base'!$X$35)),I178*1.25*1.2*1,IF(AND(EXACT(G178,'Data Base'!$T$37),OR(EXACT(H178,'Data Base'!$V$36),EXACT(H178,'Data Base'!$V$35)),EXACT(K178,'Data Base'!$X$36)),I178*1.25*1*0.75,IF(AND(EXACT(G178,'Data Base'!$T$37),EXACT(H178,'Data Base'!$V$37),EXACT(K178,'Data Base'!$X$36)),I178*1.25*0.5*0.75,IF(AND(EXACT(G178,'Data Base'!$T$37),EXACT(H178,'Data Base'!$V$38),EXACT(K178,'Data Base'!$X$36)),I178*1.25*1.2*0.75,IF(AND(EXACT(G178,'Data Base'!$T$37),OR(EXACT(H178,'Data Base'!$V$36),EXACT(H178,'Data Base'!$V$35)),EXACT(K178,'Data Base'!$X$37)),I178*1.25*1*0.5,IF(AND(EXACT(G178,'Data Base'!$T$37),EXACT(H178,'Data Base'!$V$37),EXACT(K178,'Data Base'!$X$37)),I178*1.25*0.5*0.5,IF(AND(EXACT(G178,'Data Base'!$T$37),EXACT(H178,'Data Base'!$V$38),EXACT(K178,'Data Base'!$X$37)),I178*1.25*1.2*0.5))))))))))))))))))))))))))),"")</f>
        <v/>
      </c>
    </row>
    <row r="179" spans="1:13" ht="21" customHeight="1" thickBot="1">
      <c r="A179" s="106">
        <v>15</v>
      </c>
      <c r="B179" s="1355" t="str">
        <f t="shared" si="20"/>
        <v/>
      </c>
      <c r="C179" s="1356"/>
      <c r="D179" s="107" t="str">
        <f t="shared" si="21"/>
        <v/>
      </c>
      <c r="E179" s="1357"/>
      <c r="F179" s="1358"/>
      <c r="G179" s="167"/>
      <c r="H179" s="108"/>
      <c r="I179" s="105"/>
      <c r="J179" s="105"/>
      <c r="K179" s="108"/>
      <c r="L179" s="105" t="s">
        <v>652</v>
      </c>
      <c r="M179" s="168" t="str">
        <f>IF(AND(NOT(EXACT(D179,"")),NOT(EXACT(G179,"")),NOT(EXACT(E179,"")),NOT(EXACT(B179,"")),NOT(EXACT(I179,"")),NOT(EXACT(H179,""))),IF(AND(EXACT(G179,'Data Base'!$T$35),OR(EXACT(H179,'Data Base'!$V$36),EXACT(H179,'Data Base'!$V$35)),EXACT(K179,'Data Base'!$X$35)),I179*0.5*1*1,IF(AND(EXACT(G179,'Data Base'!$T$35),EXACT(H179,'Data Base'!$V$37),EXACT(K179,'Data Base'!$X$35)),I179*0.5*0.5*1,IF(AND(EXACT(G179,'Data Base'!$T$35),EXACT(H179,'Data Base'!$V$38),EXACT(K179,'Data Base'!$X$35)),I179*0.5*1.2*1,IF(AND(EXACT(G179,'Data Base'!$T$35),OR(EXACT(H179,'Data Base'!$V$36),EXACT(H179,'Data Base'!$V$35)),EXACT(K179,'Data Base'!$X$36)),I179*0.5*1*0.75,IF(AND(EXACT(G179,'Data Base'!$T$35),EXACT(H179,'Data Base'!$V$37),EXACT(K179,'Data Base'!$X$36)),I179*0.5*0.5*0.75,IF(AND(EXACT(G179,'Data Base'!$T$35),EXACT(H179,'Data Base'!$V$38),EXACT(K179,'Data Base'!$X$36)),I179*0.5*1.2*0.75,IF(AND(EXACT(G179,'Data Base'!$T$35),OR(EXACT(H179,'Data Base'!$V$36),EXACT(H179,'Data Base'!$V$35)),EXACT(K179,'Data Base'!$X$37)),I179*0.5*1*0.5,IF(AND(EXACT(G179,'Data Base'!$T$35),EXACT(H179,'Data Base'!$V$37),EXACT(K179,'Data Base'!$X$37)),I179*0.5*0.5*0.5,IF(AND(EXACT(G179,'Data Base'!$T$35),EXACT(H179,'Data Base'!$V$38),EXACT(K179,'Data Base'!$X$37)),I179*0.5*1.2*0.5,IF(AND(EXACT(G179,'Data Base'!$T$36),OR(EXACT(H179,'Data Base'!$V$36),EXACT(H179,'Data Base'!$V$35)),EXACT(K179,'Data Base'!$X$35)),I179*1*1*1,IF(AND(EXACT(G179,'Data Base'!$T$36),EXACT(H179,'Data Base'!$V$37),EXACT(K179,'Data Base'!$X$35)),I179*1*0.5*1,IF(AND(EXACT(G179,'Data Base'!$T$36),EXACT(H179,'Data Base'!$V$38),EXACT(K179,'Data Base'!$X$35)),I179*1*1.2*1,IF(AND(EXACT(G179,'Data Base'!$T$36),OR(EXACT(H179,'Data Base'!$V$36),EXACT(H179,'Data Base'!$V$35)),EXACT(K179,'Data Base'!$X$36)),I179*1*1*0.75,IF(AND(EXACT(G179,'Data Base'!$T$36),EXACT(H179,'Data Base'!$V$37),EXACT(K179,'Data Base'!$X$36)),I179*1*0.5*0.75,IF(AND(EXACT(G179,'Data Base'!$T$36),EXACT(H179,'Data Base'!$V$38),EXACT(K179,'Data Base'!$X$36)),I179*1*1.2*0.75,IF(AND(EXACT(G179,'Data Base'!$T$36),OR(EXACT(H179,'Data Base'!$V$36),EXACT(H179,'Data Base'!$V$35)),EXACT(K179,'Data Base'!$X$37)),I179*1*1*0.5,IF(AND(EXACT(G179,'Data Base'!$T$36),EXACT(H179,'Data Base'!$V$37),EXACT(K179,'Data Base'!$X$37)),I179*1*0.5*0.5,IF(AND(EXACT(G179,'Data Base'!$T$36),EXACT(H179,'Data Base'!$V$38),EXACT(K179,'Data Base'!$X$37)),I179*1*1.2*0.5,IF(AND(EXACT(G179,'Data Base'!$T$37),OR(EXACT(H179,'Data Base'!$V$36),EXACT(H179,'Data Base'!$V$35)),EXACT(K179,'Data Base'!$X$35)),I179*1.25*1*1,IF(AND(EXACT(G179,'Data Base'!$T$37),EXACT(H179,'Data Base'!$V$37),EXACT(K179,'Data Base'!$X$35)),I179*1.25*0.5*1,IF(AND(EXACT(G179,'Data Base'!$T$37),EXACT(H179,'Data Base'!$V$38),EXACT(K179,'Data Base'!$X$35)),I179*1.25*1.2*1,IF(AND(EXACT(G179,'Data Base'!$T$37),OR(EXACT(H179,'Data Base'!$V$36),EXACT(H179,'Data Base'!$V$35)),EXACT(K179,'Data Base'!$X$36)),I179*1.25*1*0.75,IF(AND(EXACT(G179,'Data Base'!$T$37),EXACT(H179,'Data Base'!$V$37),EXACT(K179,'Data Base'!$X$36)),I179*1.25*0.5*0.75,IF(AND(EXACT(G179,'Data Base'!$T$37),EXACT(H179,'Data Base'!$V$38),EXACT(K179,'Data Base'!$X$36)),I179*1.25*1.2*0.75,IF(AND(EXACT(G179,'Data Base'!$T$37),OR(EXACT(H179,'Data Base'!$V$36),EXACT(H179,'Data Base'!$V$35)),EXACT(K179,'Data Base'!$X$37)),I179*1.25*1*0.5,IF(AND(EXACT(G179,'Data Base'!$T$37),EXACT(H179,'Data Base'!$V$37),EXACT(K179,'Data Base'!$X$37)),I179*1.25*0.5*0.5,IF(AND(EXACT(G179,'Data Base'!$T$37),EXACT(H179,'Data Base'!$V$38),EXACT(K179,'Data Base'!$X$37)),I179*1.25*1.2*0.5))))))))))))))))))))))))))),"")</f>
        <v/>
      </c>
    </row>
    <row r="180" spans="1:13" ht="21" customHeight="1" thickBot="1">
      <c r="A180" s="1359" t="s">
        <v>653</v>
      </c>
      <c r="B180" s="1360"/>
      <c r="C180" s="1360"/>
      <c r="D180" s="1360"/>
      <c r="E180" s="1360"/>
      <c r="F180" s="1360"/>
      <c r="G180" s="1360"/>
      <c r="H180" s="1360"/>
      <c r="I180" s="109">
        <f>B165</f>
        <v>0</v>
      </c>
      <c r="J180" s="109">
        <f>D165</f>
        <v>0</v>
      </c>
      <c r="K180" s="1361"/>
      <c r="L180" s="1362"/>
      <c r="M180" s="110">
        <f>IF(SUM(M165:M179)&gt;5,5,SUM(M165:M179))</f>
        <v>0</v>
      </c>
    </row>
    <row r="181" spans="1:13" ht="21" customHeight="1">
      <c r="A181" s="97">
        <v>1</v>
      </c>
      <c r="B181" s="1363"/>
      <c r="C181" s="1364"/>
      <c r="D181" s="104"/>
      <c r="E181" s="1353"/>
      <c r="F181" s="1354"/>
      <c r="G181" s="169"/>
      <c r="H181" s="104"/>
      <c r="I181" s="98"/>
      <c r="J181" s="98"/>
      <c r="K181" s="104"/>
      <c r="L181" s="98" t="s">
        <v>652</v>
      </c>
      <c r="M181" s="166" t="str">
        <f>IF(AND(NOT(EXACT(D181,"")),NOT(EXACT(G181,"")),NOT(EXACT(E181,"")),NOT(EXACT(B181,"")),NOT(EXACT(I181,"")),NOT(EXACT(H181,""))),IF(AND(EXACT(G181,'Data Base'!$T$35),OR(EXACT(H181,'Data Base'!$V$36),EXACT(H181,'Data Base'!$V$35)),EXACT(K181,'Data Base'!$X$35)),I181*0.5*1*1,IF(AND(EXACT(G181,'Data Base'!$T$35),EXACT(H181,'Data Base'!$V$37),EXACT(K181,'Data Base'!$X$35)),I181*0.5*0.5*1,IF(AND(EXACT(G181,'Data Base'!$T$35),EXACT(H181,'Data Base'!$V$38),EXACT(K181,'Data Base'!$X$35)),I181*0.5*1.2*1,IF(AND(EXACT(G181,'Data Base'!$T$35),OR(EXACT(H181,'Data Base'!$V$36),EXACT(H181,'Data Base'!$V$35)),EXACT(K181,'Data Base'!$X$36)),I181*0.5*1*0.75,IF(AND(EXACT(G181,'Data Base'!$T$35),EXACT(H181,'Data Base'!$V$37),EXACT(K181,'Data Base'!$X$36)),I181*0.5*0.5*0.75,IF(AND(EXACT(G181,'Data Base'!$T$35),EXACT(H181,'Data Base'!$V$38),EXACT(K181,'Data Base'!$X$36)),I181*0.5*1.2*0.75,IF(AND(EXACT(G181,'Data Base'!$T$35),OR(EXACT(H181,'Data Base'!$V$36),EXACT(H181,'Data Base'!$V$35)),EXACT(K181,'Data Base'!$X$37)),I181*0.5*1*0.5,IF(AND(EXACT(G181,'Data Base'!$T$35),EXACT(H181,'Data Base'!$V$37),EXACT(K181,'Data Base'!$X$37)),I181*0.5*0.5*0.5,IF(AND(EXACT(G181,'Data Base'!$T$35),EXACT(H181,'Data Base'!$V$38),EXACT(K181,'Data Base'!$X$37)),I181*0.5*1.2*0.5,IF(AND(EXACT(G181,'Data Base'!$T$36),OR(EXACT(H181,'Data Base'!$V$36),EXACT(H181,'Data Base'!$V$35)),EXACT(K181,'Data Base'!$X$35)),I181*1*1*1,IF(AND(EXACT(G181,'Data Base'!$T$36),EXACT(H181,'Data Base'!$V$37),EXACT(K181,'Data Base'!$X$35)),I181*1*0.5*1,IF(AND(EXACT(G181,'Data Base'!$T$36),EXACT(H181,'Data Base'!$V$38),EXACT(K181,'Data Base'!$X$35)),I181*1*1.2*1,IF(AND(EXACT(G181,'Data Base'!$T$36),OR(EXACT(H181,'Data Base'!$V$36),EXACT(H181,'Data Base'!$V$35)),EXACT(K181,'Data Base'!$X$36)),I181*1*1*0.75,IF(AND(EXACT(G181,'Data Base'!$T$36),EXACT(H181,'Data Base'!$V$37),EXACT(K181,'Data Base'!$X$36)),I181*1*0.5*0.75,IF(AND(EXACT(G181,'Data Base'!$T$36),EXACT(H181,'Data Base'!$V$38),EXACT(K181,'Data Base'!$X$36)),I181*1*1.2*0.75,IF(AND(EXACT(G181,'Data Base'!$T$36),OR(EXACT(H181,'Data Base'!$V$36),EXACT(H181,'Data Base'!$V$35)),EXACT(K181,'Data Base'!$X$37)),I181*1*1*0.5,IF(AND(EXACT(G181,'Data Base'!$T$36),EXACT(H181,'Data Base'!$V$37),EXACT(K181,'Data Base'!$X$37)),I181*1*0.5*0.5,IF(AND(EXACT(G181,'Data Base'!$T$36),EXACT(H181,'Data Base'!$V$38),EXACT(K181,'Data Base'!$X$37)),I181*1*1.2*0.5,IF(AND(EXACT(G181,'Data Base'!$T$37),OR(EXACT(H181,'Data Base'!$V$36),EXACT(H181,'Data Base'!$V$35)),EXACT(K181,'Data Base'!$X$35)),I181*1.25*1*1,IF(AND(EXACT(G181,'Data Base'!$T$37),EXACT(H181,'Data Base'!$V$37),EXACT(K181,'Data Base'!$X$35)),I181*1.25*0.5*1,IF(AND(EXACT(G181,'Data Base'!$T$37),EXACT(H181,'Data Base'!$V$38),EXACT(K181,'Data Base'!$X$35)),I181*1.25*1.2*1,IF(AND(EXACT(G181,'Data Base'!$T$37),OR(EXACT(H181,'Data Base'!$V$36),EXACT(H181,'Data Base'!$V$35)),EXACT(K181,'Data Base'!$X$36)),I181*1.25*1*0.75,IF(AND(EXACT(G181,'Data Base'!$T$37),EXACT(H181,'Data Base'!$V$37),EXACT(K181,'Data Base'!$X$36)),I181*1.25*0.5*0.75,IF(AND(EXACT(G181,'Data Base'!$T$37),EXACT(H181,'Data Base'!$V$38),EXACT(K181,'Data Base'!$X$36)),I181*1.25*1.2*0.75,IF(AND(EXACT(G181,'Data Base'!$T$37),OR(EXACT(H181,'Data Base'!$V$36),EXACT(H181,'Data Base'!$V$35)),EXACT(K181,'Data Base'!$X$37)),I181*1.25*1*0.5,IF(AND(EXACT(G181,'Data Base'!$T$37),EXACT(H181,'Data Base'!$V$37),EXACT(K181,'Data Base'!$X$37)),I181*1.25*0.5*0.5,IF(AND(EXACT(G181,'Data Base'!$T$37),EXACT(H181,'Data Base'!$V$38),EXACT(K181,'Data Base'!$X$37)),I181*1.25*1.2*0.5))))))))))))))))))))))))))),"")</f>
        <v/>
      </c>
    </row>
    <row r="182" spans="1:13" ht="21" customHeight="1">
      <c r="A182" s="99">
        <v>2</v>
      </c>
      <c r="B182" s="1349" t="str">
        <f t="shared" ref="B182:B195" si="22">IF(NOT(EXACT(D182,"")),B181,"")</f>
        <v/>
      </c>
      <c r="C182" s="1350"/>
      <c r="D182" s="148" t="str">
        <f t="shared" ref="D182:D195" si="23">IF(NOT(EXACT(E182,"")),D181,"")</f>
        <v/>
      </c>
      <c r="E182" s="1365"/>
      <c r="F182" s="1365"/>
      <c r="G182" s="165"/>
      <c r="H182" s="140"/>
      <c r="I182" s="4"/>
      <c r="J182" s="4"/>
      <c r="K182" s="140"/>
      <c r="L182" s="4" t="s">
        <v>652</v>
      </c>
      <c r="M182" s="166" t="str">
        <f>IF(AND(NOT(EXACT(D182,"")),NOT(EXACT(G182,"")),NOT(EXACT(E182,"")),NOT(EXACT(B182,"")),NOT(EXACT(I182,"")),NOT(EXACT(H182,""))),IF(AND(EXACT(G182,'Data Base'!$T$35),OR(EXACT(H182,'Data Base'!$V$36),EXACT(H182,'Data Base'!$V$35)),EXACT(K182,'Data Base'!$X$35)),I182*0.5*1*1,IF(AND(EXACT(G182,'Data Base'!$T$35),EXACT(H182,'Data Base'!$V$37),EXACT(K182,'Data Base'!$X$35)),I182*0.5*0.5*1,IF(AND(EXACT(G182,'Data Base'!$T$35),EXACT(H182,'Data Base'!$V$38),EXACT(K182,'Data Base'!$X$35)),I182*0.5*1.2*1,IF(AND(EXACT(G182,'Data Base'!$T$35),OR(EXACT(H182,'Data Base'!$V$36),EXACT(H182,'Data Base'!$V$35)),EXACT(K182,'Data Base'!$X$36)),I182*0.5*1*0.75,IF(AND(EXACT(G182,'Data Base'!$T$35),EXACT(H182,'Data Base'!$V$37),EXACT(K182,'Data Base'!$X$36)),I182*0.5*0.5*0.75,IF(AND(EXACT(G182,'Data Base'!$T$35),EXACT(H182,'Data Base'!$V$38),EXACT(K182,'Data Base'!$X$36)),I182*0.5*1.2*0.75,IF(AND(EXACT(G182,'Data Base'!$T$35),OR(EXACT(H182,'Data Base'!$V$36),EXACT(H182,'Data Base'!$V$35)),EXACT(K182,'Data Base'!$X$37)),I182*0.5*1*0.5,IF(AND(EXACT(G182,'Data Base'!$T$35),EXACT(H182,'Data Base'!$V$37),EXACT(K182,'Data Base'!$X$37)),I182*0.5*0.5*0.5,IF(AND(EXACT(G182,'Data Base'!$T$35),EXACT(H182,'Data Base'!$V$38),EXACT(K182,'Data Base'!$X$37)),I182*0.5*1.2*0.5,IF(AND(EXACT(G182,'Data Base'!$T$36),OR(EXACT(H182,'Data Base'!$V$36),EXACT(H182,'Data Base'!$V$35)),EXACT(K182,'Data Base'!$X$35)),I182*1*1*1,IF(AND(EXACT(G182,'Data Base'!$T$36),EXACT(H182,'Data Base'!$V$37),EXACT(K182,'Data Base'!$X$35)),I182*1*0.5*1,IF(AND(EXACT(G182,'Data Base'!$T$36),EXACT(H182,'Data Base'!$V$38),EXACT(K182,'Data Base'!$X$35)),I182*1*1.2*1,IF(AND(EXACT(G182,'Data Base'!$T$36),OR(EXACT(H182,'Data Base'!$V$36),EXACT(H182,'Data Base'!$V$35)),EXACT(K182,'Data Base'!$X$36)),I182*1*1*0.75,IF(AND(EXACT(G182,'Data Base'!$T$36),EXACT(H182,'Data Base'!$V$37),EXACT(K182,'Data Base'!$X$36)),I182*1*0.5*0.75,IF(AND(EXACT(G182,'Data Base'!$T$36),EXACT(H182,'Data Base'!$V$38),EXACT(K182,'Data Base'!$X$36)),I182*1*1.2*0.75,IF(AND(EXACT(G182,'Data Base'!$T$36),OR(EXACT(H182,'Data Base'!$V$36),EXACT(H182,'Data Base'!$V$35)),EXACT(K182,'Data Base'!$X$37)),I182*1*1*0.5,IF(AND(EXACT(G182,'Data Base'!$T$36),EXACT(H182,'Data Base'!$V$37),EXACT(K182,'Data Base'!$X$37)),I182*1*0.5*0.5,IF(AND(EXACT(G182,'Data Base'!$T$36),EXACT(H182,'Data Base'!$V$38),EXACT(K182,'Data Base'!$X$37)),I182*1*1.2*0.5,IF(AND(EXACT(G182,'Data Base'!$T$37),OR(EXACT(H182,'Data Base'!$V$36),EXACT(H182,'Data Base'!$V$35)),EXACT(K182,'Data Base'!$X$35)),I182*1.25*1*1,IF(AND(EXACT(G182,'Data Base'!$T$37),EXACT(H182,'Data Base'!$V$37),EXACT(K182,'Data Base'!$X$35)),I182*1.25*0.5*1,IF(AND(EXACT(G182,'Data Base'!$T$37),EXACT(H182,'Data Base'!$V$38),EXACT(K182,'Data Base'!$X$35)),I182*1.25*1.2*1,IF(AND(EXACT(G182,'Data Base'!$T$37),OR(EXACT(H182,'Data Base'!$V$36),EXACT(H182,'Data Base'!$V$35)),EXACT(K182,'Data Base'!$X$36)),I182*1.25*1*0.75,IF(AND(EXACT(G182,'Data Base'!$T$37),EXACT(H182,'Data Base'!$V$37),EXACT(K182,'Data Base'!$X$36)),I182*1.25*0.5*0.75,IF(AND(EXACT(G182,'Data Base'!$T$37),EXACT(H182,'Data Base'!$V$38),EXACT(K182,'Data Base'!$X$36)),I182*1.25*1.2*0.75,IF(AND(EXACT(G182,'Data Base'!$T$37),OR(EXACT(H182,'Data Base'!$V$36),EXACT(H182,'Data Base'!$V$35)),EXACT(K182,'Data Base'!$X$37)),I182*1.25*1*0.5,IF(AND(EXACT(G182,'Data Base'!$T$37),EXACT(H182,'Data Base'!$V$37),EXACT(K182,'Data Base'!$X$37)),I182*1.25*0.5*0.5,IF(AND(EXACT(G182,'Data Base'!$T$37),EXACT(H182,'Data Base'!$V$38),EXACT(K182,'Data Base'!$X$37)),I182*1.25*1.2*0.5))))))))))))))))))))))))))),"")</f>
        <v/>
      </c>
    </row>
    <row r="183" spans="1:13" ht="21" customHeight="1">
      <c r="A183" s="99">
        <v>3</v>
      </c>
      <c r="B183" s="1349" t="str">
        <f t="shared" si="22"/>
        <v/>
      </c>
      <c r="C183" s="1350"/>
      <c r="D183" s="148" t="str">
        <f t="shared" si="23"/>
        <v/>
      </c>
      <c r="E183" s="1351"/>
      <c r="F183" s="1352"/>
      <c r="G183" s="165"/>
      <c r="H183" s="140"/>
      <c r="I183" s="4"/>
      <c r="J183" s="4"/>
      <c r="K183" s="140"/>
      <c r="L183" s="4" t="s">
        <v>652</v>
      </c>
      <c r="M183" s="166" t="str">
        <f>IF(AND(NOT(EXACT(D183,"")),NOT(EXACT(G183,"")),NOT(EXACT(E183,"")),NOT(EXACT(B183,"")),NOT(EXACT(I183,"")),NOT(EXACT(H183,""))),IF(AND(EXACT(G183,'Data Base'!$T$35),OR(EXACT(H183,'Data Base'!$V$36),EXACT(H183,'Data Base'!$V$35)),EXACT(K183,'Data Base'!$X$35)),I183*0.5*1*1,IF(AND(EXACT(G183,'Data Base'!$T$35),EXACT(H183,'Data Base'!$V$37),EXACT(K183,'Data Base'!$X$35)),I183*0.5*0.5*1,IF(AND(EXACT(G183,'Data Base'!$T$35),EXACT(H183,'Data Base'!$V$38),EXACT(K183,'Data Base'!$X$35)),I183*0.5*1.2*1,IF(AND(EXACT(G183,'Data Base'!$T$35),OR(EXACT(H183,'Data Base'!$V$36),EXACT(H183,'Data Base'!$V$35)),EXACT(K183,'Data Base'!$X$36)),I183*0.5*1*0.75,IF(AND(EXACT(G183,'Data Base'!$T$35),EXACT(H183,'Data Base'!$V$37),EXACT(K183,'Data Base'!$X$36)),I183*0.5*0.5*0.75,IF(AND(EXACT(G183,'Data Base'!$T$35),EXACT(H183,'Data Base'!$V$38),EXACT(K183,'Data Base'!$X$36)),I183*0.5*1.2*0.75,IF(AND(EXACT(G183,'Data Base'!$T$35),OR(EXACT(H183,'Data Base'!$V$36),EXACT(H183,'Data Base'!$V$35)),EXACT(K183,'Data Base'!$X$37)),I183*0.5*1*0.5,IF(AND(EXACT(G183,'Data Base'!$T$35),EXACT(H183,'Data Base'!$V$37),EXACT(K183,'Data Base'!$X$37)),I183*0.5*0.5*0.5,IF(AND(EXACT(G183,'Data Base'!$T$35),EXACT(H183,'Data Base'!$V$38),EXACT(K183,'Data Base'!$X$37)),I183*0.5*1.2*0.5,IF(AND(EXACT(G183,'Data Base'!$T$36),OR(EXACT(H183,'Data Base'!$V$36),EXACT(H183,'Data Base'!$V$35)),EXACT(K183,'Data Base'!$X$35)),I183*1*1*1,IF(AND(EXACT(G183,'Data Base'!$T$36),EXACT(H183,'Data Base'!$V$37),EXACT(K183,'Data Base'!$X$35)),I183*1*0.5*1,IF(AND(EXACT(G183,'Data Base'!$T$36),EXACT(H183,'Data Base'!$V$38),EXACT(K183,'Data Base'!$X$35)),I183*1*1.2*1,IF(AND(EXACT(G183,'Data Base'!$T$36),OR(EXACT(H183,'Data Base'!$V$36),EXACT(H183,'Data Base'!$V$35)),EXACT(K183,'Data Base'!$X$36)),I183*1*1*0.75,IF(AND(EXACT(G183,'Data Base'!$T$36),EXACT(H183,'Data Base'!$V$37),EXACT(K183,'Data Base'!$X$36)),I183*1*0.5*0.75,IF(AND(EXACT(G183,'Data Base'!$T$36),EXACT(H183,'Data Base'!$V$38),EXACT(K183,'Data Base'!$X$36)),I183*1*1.2*0.75,IF(AND(EXACT(G183,'Data Base'!$T$36),OR(EXACT(H183,'Data Base'!$V$36),EXACT(H183,'Data Base'!$V$35)),EXACT(K183,'Data Base'!$X$37)),I183*1*1*0.5,IF(AND(EXACT(G183,'Data Base'!$T$36),EXACT(H183,'Data Base'!$V$37),EXACT(K183,'Data Base'!$X$37)),I183*1*0.5*0.5,IF(AND(EXACT(G183,'Data Base'!$T$36),EXACT(H183,'Data Base'!$V$38),EXACT(K183,'Data Base'!$X$37)),I183*1*1.2*0.5,IF(AND(EXACT(G183,'Data Base'!$T$37),OR(EXACT(H183,'Data Base'!$V$36),EXACT(H183,'Data Base'!$V$35)),EXACT(K183,'Data Base'!$X$35)),I183*1.25*1*1,IF(AND(EXACT(G183,'Data Base'!$T$37),EXACT(H183,'Data Base'!$V$37),EXACT(K183,'Data Base'!$X$35)),I183*1.25*0.5*1,IF(AND(EXACT(G183,'Data Base'!$T$37),EXACT(H183,'Data Base'!$V$38),EXACT(K183,'Data Base'!$X$35)),I183*1.25*1.2*1,IF(AND(EXACT(G183,'Data Base'!$T$37),OR(EXACT(H183,'Data Base'!$V$36),EXACT(H183,'Data Base'!$V$35)),EXACT(K183,'Data Base'!$X$36)),I183*1.25*1*0.75,IF(AND(EXACT(G183,'Data Base'!$T$37),EXACT(H183,'Data Base'!$V$37),EXACT(K183,'Data Base'!$X$36)),I183*1.25*0.5*0.75,IF(AND(EXACT(G183,'Data Base'!$T$37),EXACT(H183,'Data Base'!$V$38),EXACT(K183,'Data Base'!$X$36)),I183*1.25*1.2*0.75,IF(AND(EXACT(G183,'Data Base'!$T$37),OR(EXACT(H183,'Data Base'!$V$36),EXACT(H183,'Data Base'!$V$35)),EXACT(K183,'Data Base'!$X$37)),I183*1.25*1*0.5,IF(AND(EXACT(G183,'Data Base'!$T$37),EXACT(H183,'Data Base'!$V$37),EXACT(K183,'Data Base'!$X$37)),I183*1.25*0.5*0.5,IF(AND(EXACT(G183,'Data Base'!$T$37),EXACT(H183,'Data Base'!$V$38),EXACT(K183,'Data Base'!$X$37)),I183*1.25*1.2*0.5))))))))))))))))))))))))))),"")</f>
        <v/>
      </c>
    </row>
    <row r="184" spans="1:13" ht="21" customHeight="1">
      <c r="A184" s="97">
        <v>4</v>
      </c>
      <c r="B184" s="1349" t="str">
        <f t="shared" si="22"/>
        <v/>
      </c>
      <c r="C184" s="1350"/>
      <c r="D184" s="148" t="str">
        <f t="shared" si="23"/>
        <v/>
      </c>
      <c r="E184" s="1351"/>
      <c r="F184" s="1352"/>
      <c r="G184" s="165"/>
      <c r="H184" s="140"/>
      <c r="I184" s="4"/>
      <c r="J184" s="4"/>
      <c r="K184" s="140"/>
      <c r="L184" s="4" t="s">
        <v>652</v>
      </c>
      <c r="M184" s="166" t="str">
        <f>IF(AND(NOT(EXACT(D184,"")),NOT(EXACT(G184,"")),NOT(EXACT(E184,"")),NOT(EXACT(B184,"")),NOT(EXACT(I184,"")),NOT(EXACT(H184,""))),IF(AND(EXACT(G184,'Data Base'!$T$35),OR(EXACT(H184,'Data Base'!$V$36),EXACT(H184,'Data Base'!$V$35)),EXACT(K184,'Data Base'!$X$35)),I184*0.5*1*1,IF(AND(EXACT(G184,'Data Base'!$T$35),EXACT(H184,'Data Base'!$V$37),EXACT(K184,'Data Base'!$X$35)),I184*0.5*0.5*1,IF(AND(EXACT(G184,'Data Base'!$T$35),EXACT(H184,'Data Base'!$V$38),EXACT(K184,'Data Base'!$X$35)),I184*0.5*1.2*1,IF(AND(EXACT(G184,'Data Base'!$T$35),OR(EXACT(H184,'Data Base'!$V$36),EXACT(H184,'Data Base'!$V$35)),EXACT(K184,'Data Base'!$X$36)),I184*0.5*1*0.75,IF(AND(EXACT(G184,'Data Base'!$T$35),EXACT(H184,'Data Base'!$V$37),EXACT(K184,'Data Base'!$X$36)),I184*0.5*0.5*0.75,IF(AND(EXACT(G184,'Data Base'!$T$35),EXACT(H184,'Data Base'!$V$38),EXACT(K184,'Data Base'!$X$36)),I184*0.5*1.2*0.75,IF(AND(EXACT(G184,'Data Base'!$T$35),OR(EXACT(H184,'Data Base'!$V$36),EXACT(H184,'Data Base'!$V$35)),EXACT(K184,'Data Base'!$X$37)),I184*0.5*1*0.5,IF(AND(EXACT(G184,'Data Base'!$T$35),EXACT(H184,'Data Base'!$V$37),EXACT(K184,'Data Base'!$X$37)),I184*0.5*0.5*0.5,IF(AND(EXACT(G184,'Data Base'!$T$35),EXACT(H184,'Data Base'!$V$38),EXACT(K184,'Data Base'!$X$37)),I184*0.5*1.2*0.5,IF(AND(EXACT(G184,'Data Base'!$T$36),OR(EXACT(H184,'Data Base'!$V$36),EXACT(H184,'Data Base'!$V$35)),EXACT(K184,'Data Base'!$X$35)),I184*1*1*1,IF(AND(EXACT(G184,'Data Base'!$T$36),EXACT(H184,'Data Base'!$V$37),EXACT(K184,'Data Base'!$X$35)),I184*1*0.5*1,IF(AND(EXACT(G184,'Data Base'!$T$36),EXACT(H184,'Data Base'!$V$38),EXACT(K184,'Data Base'!$X$35)),I184*1*1.2*1,IF(AND(EXACT(G184,'Data Base'!$T$36),OR(EXACT(H184,'Data Base'!$V$36),EXACT(H184,'Data Base'!$V$35)),EXACT(K184,'Data Base'!$X$36)),I184*1*1*0.75,IF(AND(EXACT(G184,'Data Base'!$T$36),EXACT(H184,'Data Base'!$V$37),EXACT(K184,'Data Base'!$X$36)),I184*1*0.5*0.75,IF(AND(EXACT(G184,'Data Base'!$T$36),EXACT(H184,'Data Base'!$V$38),EXACT(K184,'Data Base'!$X$36)),I184*1*1.2*0.75,IF(AND(EXACT(G184,'Data Base'!$T$36),OR(EXACT(H184,'Data Base'!$V$36),EXACT(H184,'Data Base'!$V$35)),EXACT(K184,'Data Base'!$X$37)),I184*1*1*0.5,IF(AND(EXACT(G184,'Data Base'!$T$36),EXACT(H184,'Data Base'!$V$37),EXACT(K184,'Data Base'!$X$37)),I184*1*0.5*0.5,IF(AND(EXACT(G184,'Data Base'!$T$36),EXACT(H184,'Data Base'!$V$38),EXACT(K184,'Data Base'!$X$37)),I184*1*1.2*0.5,IF(AND(EXACT(G184,'Data Base'!$T$37),OR(EXACT(H184,'Data Base'!$V$36),EXACT(H184,'Data Base'!$V$35)),EXACT(K184,'Data Base'!$X$35)),I184*1.25*1*1,IF(AND(EXACT(G184,'Data Base'!$T$37),EXACT(H184,'Data Base'!$V$37),EXACT(K184,'Data Base'!$X$35)),I184*1.25*0.5*1,IF(AND(EXACT(G184,'Data Base'!$T$37),EXACT(H184,'Data Base'!$V$38),EXACT(K184,'Data Base'!$X$35)),I184*1.25*1.2*1,IF(AND(EXACT(G184,'Data Base'!$T$37),OR(EXACT(H184,'Data Base'!$V$36),EXACT(H184,'Data Base'!$V$35)),EXACT(K184,'Data Base'!$X$36)),I184*1.25*1*0.75,IF(AND(EXACT(G184,'Data Base'!$T$37),EXACT(H184,'Data Base'!$V$37),EXACT(K184,'Data Base'!$X$36)),I184*1.25*0.5*0.75,IF(AND(EXACT(G184,'Data Base'!$T$37),EXACT(H184,'Data Base'!$V$38),EXACT(K184,'Data Base'!$X$36)),I184*1.25*1.2*0.75,IF(AND(EXACT(G184,'Data Base'!$T$37),OR(EXACT(H184,'Data Base'!$V$36),EXACT(H184,'Data Base'!$V$35)),EXACT(K184,'Data Base'!$X$37)),I184*1.25*1*0.5,IF(AND(EXACT(G184,'Data Base'!$T$37),EXACT(H184,'Data Base'!$V$37),EXACT(K184,'Data Base'!$X$37)),I184*1.25*0.5*0.5,IF(AND(EXACT(G184,'Data Base'!$T$37),EXACT(H184,'Data Base'!$V$38),EXACT(K184,'Data Base'!$X$37)),I184*1.25*1.2*0.5))))))))))))))))))))))))))),"")</f>
        <v/>
      </c>
    </row>
    <row r="185" spans="1:13" ht="21" customHeight="1">
      <c r="A185" s="99">
        <v>5</v>
      </c>
      <c r="B185" s="1349" t="str">
        <f t="shared" si="22"/>
        <v/>
      </c>
      <c r="C185" s="1350"/>
      <c r="D185" s="148" t="str">
        <f t="shared" si="23"/>
        <v/>
      </c>
      <c r="E185" s="1351"/>
      <c r="F185" s="1352"/>
      <c r="G185" s="165"/>
      <c r="H185" s="140"/>
      <c r="I185" s="4"/>
      <c r="J185" s="4"/>
      <c r="K185" s="140"/>
      <c r="L185" s="4" t="s">
        <v>652</v>
      </c>
      <c r="M185" s="166" t="str">
        <f>IF(AND(NOT(EXACT(D185,"")),NOT(EXACT(G185,"")),NOT(EXACT(E185,"")),NOT(EXACT(B185,"")),NOT(EXACT(I185,"")),NOT(EXACT(H185,""))),IF(AND(EXACT(G185,'Data Base'!$T$35),OR(EXACT(H185,'Data Base'!$V$36),EXACT(H185,'Data Base'!$V$35)),EXACT(K185,'Data Base'!$X$35)),I185*0.5*1*1,IF(AND(EXACT(G185,'Data Base'!$T$35),EXACT(H185,'Data Base'!$V$37),EXACT(K185,'Data Base'!$X$35)),I185*0.5*0.5*1,IF(AND(EXACT(G185,'Data Base'!$T$35),EXACT(H185,'Data Base'!$V$38),EXACT(K185,'Data Base'!$X$35)),I185*0.5*1.2*1,IF(AND(EXACT(G185,'Data Base'!$T$35),OR(EXACT(H185,'Data Base'!$V$36),EXACT(H185,'Data Base'!$V$35)),EXACT(K185,'Data Base'!$X$36)),I185*0.5*1*0.75,IF(AND(EXACT(G185,'Data Base'!$T$35),EXACT(H185,'Data Base'!$V$37),EXACT(K185,'Data Base'!$X$36)),I185*0.5*0.5*0.75,IF(AND(EXACT(G185,'Data Base'!$T$35),EXACT(H185,'Data Base'!$V$38),EXACT(K185,'Data Base'!$X$36)),I185*0.5*1.2*0.75,IF(AND(EXACT(G185,'Data Base'!$T$35),OR(EXACT(H185,'Data Base'!$V$36),EXACT(H185,'Data Base'!$V$35)),EXACT(K185,'Data Base'!$X$37)),I185*0.5*1*0.5,IF(AND(EXACT(G185,'Data Base'!$T$35),EXACT(H185,'Data Base'!$V$37),EXACT(K185,'Data Base'!$X$37)),I185*0.5*0.5*0.5,IF(AND(EXACT(G185,'Data Base'!$T$35),EXACT(H185,'Data Base'!$V$38),EXACT(K185,'Data Base'!$X$37)),I185*0.5*1.2*0.5,IF(AND(EXACT(G185,'Data Base'!$T$36),OR(EXACT(H185,'Data Base'!$V$36),EXACT(H185,'Data Base'!$V$35)),EXACT(K185,'Data Base'!$X$35)),I185*1*1*1,IF(AND(EXACT(G185,'Data Base'!$T$36),EXACT(H185,'Data Base'!$V$37),EXACT(K185,'Data Base'!$X$35)),I185*1*0.5*1,IF(AND(EXACT(G185,'Data Base'!$T$36),EXACT(H185,'Data Base'!$V$38),EXACT(K185,'Data Base'!$X$35)),I185*1*1.2*1,IF(AND(EXACT(G185,'Data Base'!$T$36),OR(EXACT(H185,'Data Base'!$V$36),EXACT(H185,'Data Base'!$V$35)),EXACT(K185,'Data Base'!$X$36)),I185*1*1*0.75,IF(AND(EXACT(G185,'Data Base'!$T$36),EXACT(H185,'Data Base'!$V$37),EXACT(K185,'Data Base'!$X$36)),I185*1*0.5*0.75,IF(AND(EXACT(G185,'Data Base'!$T$36),EXACT(H185,'Data Base'!$V$38),EXACT(K185,'Data Base'!$X$36)),I185*1*1.2*0.75,IF(AND(EXACT(G185,'Data Base'!$T$36),OR(EXACT(H185,'Data Base'!$V$36),EXACT(H185,'Data Base'!$V$35)),EXACT(K185,'Data Base'!$X$37)),I185*1*1*0.5,IF(AND(EXACT(G185,'Data Base'!$T$36),EXACT(H185,'Data Base'!$V$37),EXACT(K185,'Data Base'!$X$37)),I185*1*0.5*0.5,IF(AND(EXACT(G185,'Data Base'!$T$36),EXACT(H185,'Data Base'!$V$38),EXACT(K185,'Data Base'!$X$37)),I185*1*1.2*0.5,IF(AND(EXACT(G185,'Data Base'!$T$37),OR(EXACT(H185,'Data Base'!$V$36),EXACT(H185,'Data Base'!$V$35)),EXACT(K185,'Data Base'!$X$35)),I185*1.25*1*1,IF(AND(EXACT(G185,'Data Base'!$T$37),EXACT(H185,'Data Base'!$V$37),EXACT(K185,'Data Base'!$X$35)),I185*1.25*0.5*1,IF(AND(EXACT(G185,'Data Base'!$T$37),EXACT(H185,'Data Base'!$V$38),EXACT(K185,'Data Base'!$X$35)),I185*1.25*1.2*1,IF(AND(EXACT(G185,'Data Base'!$T$37),OR(EXACT(H185,'Data Base'!$V$36),EXACT(H185,'Data Base'!$V$35)),EXACT(K185,'Data Base'!$X$36)),I185*1.25*1*0.75,IF(AND(EXACT(G185,'Data Base'!$T$37),EXACT(H185,'Data Base'!$V$37),EXACT(K185,'Data Base'!$X$36)),I185*1.25*0.5*0.75,IF(AND(EXACT(G185,'Data Base'!$T$37),EXACT(H185,'Data Base'!$V$38),EXACT(K185,'Data Base'!$X$36)),I185*1.25*1.2*0.75,IF(AND(EXACT(G185,'Data Base'!$T$37),OR(EXACT(H185,'Data Base'!$V$36),EXACT(H185,'Data Base'!$V$35)),EXACT(K185,'Data Base'!$X$37)),I185*1.25*1*0.5,IF(AND(EXACT(G185,'Data Base'!$T$37),EXACT(H185,'Data Base'!$V$37),EXACT(K185,'Data Base'!$X$37)),I185*1.25*0.5*0.5,IF(AND(EXACT(G185,'Data Base'!$T$37),EXACT(H185,'Data Base'!$V$38),EXACT(K185,'Data Base'!$X$37)),I185*1.25*1.2*0.5))))))))))))))))))))))))))),"")</f>
        <v/>
      </c>
    </row>
    <row r="186" spans="1:13" ht="21" customHeight="1">
      <c r="A186" s="99">
        <v>6</v>
      </c>
      <c r="B186" s="1349" t="str">
        <f t="shared" si="22"/>
        <v/>
      </c>
      <c r="C186" s="1350"/>
      <c r="D186" s="148" t="str">
        <f t="shared" si="23"/>
        <v/>
      </c>
      <c r="E186" s="1351"/>
      <c r="F186" s="1352"/>
      <c r="G186" s="165"/>
      <c r="H186" s="140"/>
      <c r="I186" s="4"/>
      <c r="J186" s="4"/>
      <c r="K186" s="140"/>
      <c r="L186" s="4" t="s">
        <v>652</v>
      </c>
      <c r="M186" s="166" t="str">
        <f>IF(AND(NOT(EXACT(D186,"")),NOT(EXACT(G186,"")),NOT(EXACT(E186,"")),NOT(EXACT(B186,"")),NOT(EXACT(I186,"")),NOT(EXACT(H186,""))),IF(AND(EXACT(G186,'Data Base'!$T$35),OR(EXACT(H186,'Data Base'!$V$36),EXACT(H186,'Data Base'!$V$35)),EXACT(K186,'Data Base'!$X$35)),I186*0.5*1*1,IF(AND(EXACT(G186,'Data Base'!$T$35),EXACT(H186,'Data Base'!$V$37),EXACT(K186,'Data Base'!$X$35)),I186*0.5*0.5*1,IF(AND(EXACT(G186,'Data Base'!$T$35),EXACT(H186,'Data Base'!$V$38),EXACT(K186,'Data Base'!$X$35)),I186*0.5*1.2*1,IF(AND(EXACT(G186,'Data Base'!$T$35),OR(EXACT(H186,'Data Base'!$V$36),EXACT(H186,'Data Base'!$V$35)),EXACT(K186,'Data Base'!$X$36)),I186*0.5*1*0.75,IF(AND(EXACT(G186,'Data Base'!$T$35),EXACT(H186,'Data Base'!$V$37),EXACT(K186,'Data Base'!$X$36)),I186*0.5*0.5*0.75,IF(AND(EXACT(G186,'Data Base'!$T$35),EXACT(H186,'Data Base'!$V$38),EXACT(K186,'Data Base'!$X$36)),I186*0.5*1.2*0.75,IF(AND(EXACT(G186,'Data Base'!$T$35),OR(EXACT(H186,'Data Base'!$V$36),EXACT(H186,'Data Base'!$V$35)),EXACT(K186,'Data Base'!$X$37)),I186*0.5*1*0.5,IF(AND(EXACT(G186,'Data Base'!$T$35),EXACT(H186,'Data Base'!$V$37),EXACT(K186,'Data Base'!$X$37)),I186*0.5*0.5*0.5,IF(AND(EXACT(G186,'Data Base'!$T$35),EXACT(H186,'Data Base'!$V$38),EXACT(K186,'Data Base'!$X$37)),I186*0.5*1.2*0.5,IF(AND(EXACT(G186,'Data Base'!$T$36),OR(EXACT(H186,'Data Base'!$V$36),EXACT(H186,'Data Base'!$V$35)),EXACT(K186,'Data Base'!$X$35)),I186*1*1*1,IF(AND(EXACT(G186,'Data Base'!$T$36),EXACT(H186,'Data Base'!$V$37),EXACT(K186,'Data Base'!$X$35)),I186*1*0.5*1,IF(AND(EXACT(G186,'Data Base'!$T$36),EXACT(H186,'Data Base'!$V$38),EXACT(K186,'Data Base'!$X$35)),I186*1*1.2*1,IF(AND(EXACT(G186,'Data Base'!$T$36),OR(EXACT(H186,'Data Base'!$V$36),EXACT(H186,'Data Base'!$V$35)),EXACT(K186,'Data Base'!$X$36)),I186*1*1*0.75,IF(AND(EXACT(G186,'Data Base'!$T$36),EXACT(H186,'Data Base'!$V$37),EXACT(K186,'Data Base'!$X$36)),I186*1*0.5*0.75,IF(AND(EXACT(G186,'Data Base'!$T$36),EXACT(H186,'Data Base'!$V$38),EXACT(K186,'Data Base'!$X$36)),I186*1*1.2*0.75,IF(AND(EXACT(G186,'Data Base'!$T$36),OR(EXACT(H186,'Data Base'!$V$36),EXACT(H186,'Data Base'!$V$35)),EXACT(K186,'Data Base'!$X$37)),I186*1*1*0.5,IF(AND(EXACT(G186,'Data Base'!$T$36),EXACT(H186,'Data Base'!$V$37),EXACT(K186,'Data Base'!$X$37)),I186*1*0.5*0.5,IF(AND(EXACT(G186,'Data Base'!$T$36),EXACT(H186,'Data Base'!$V$38),EXACT(K186,'Data Base'!$X$37)),I186*1*1.2*0.5,IF(AND(EXACT(G186,'Data Base'!$T$37),OR(EXACT(H186,'Data Base'!$V$36),EXACT(H186,'Data Base'!$V$35)),EXACT(K186,'Data Base'!$X$35)),I186*1.25*1*1,IF(AND(EXACT(G186,'Data Base'!$T$37),EXACT(H186,'Data Base'!$V$37),EXACT(K186,'Data Base'!$X$35)),I186*1.25*0.5*1,IF(AND(EXACT(G186,'Data Base'!$T$37),EXACT(H186,'Data Base'!$V$38),EXACT(K186,'Data Base'!$X$35)),I186*1.25*1.2*1,IF(AND(EXACT(G186,'Data Base'!$T$37),OR(EXACT(H186,'Data Base'!$V$36),EXACT(H186,'Data Base'!$V$35)),EXACT(K186,'Data Base'!$X$36)),I186*1.25*1*0.75,IF(AND(EXACT(G186,'Data Base'!$T$37),EXACT(H186,'Data Base'!$V$37),EXACT(K186,'Data Base'!$X$36)),I186*1.25*0.5*0.75,IF(AND(EXACT(G186,'Data Base'!$T$37),EXACT(H186,'Data Base'!$V$38),EXACT(K186,'Data Base'!$X$36)),I186*1.25*1.2*0.75,IF(AND(EXACT(G186,'Data Base'!$T$37),OR(EXACT(H186,'Data Base'!$V$36),EXACT(H186,'Data Base'!$V$35)),EXACT(K186,'Data Base'!$X$37)),I186*1.25*1*0.5,IF(AND(EXACT(G186,'Data Base'!$T$37),EXACT(H186,'Data Base'!$V$37),EXACT(K186,'Data Base'!$X$37)),I186*1.25*0.5*0.5,IF(AND(EXACT(G186,'Data Base'!$T$37),EXACT(H186,'Data Base'!$V$38),EXACT(K186,'Data Base'!$X$37)),I186*1.25*1.2*0.5))))))))))))))))))))))))))),"")</f>
        <v/>
      </c>
    </row>
    <row r="187" spans="1:13" ht="21" customHeight="1">
      <c r="A187" s="97">
        <v>7</v>
      </c>
      <c r="B187" s="1349" t="str">
        <f t="shared" si="22"/>
        <v/>
      </c>
      <c r="C187" s="1350"/>
      <c r="D187" s="148" t="str">
        <f t="shared" si="23"/>
        <v/>
      </c>
      <c r="E187" s="1351"/>
      <c r="F187" s="1352"/>
      <c r="G187" s="165"/>
      <c r="H187" s="140"/>
      <c r="I187" s="4"/>
      <c r="J187" s="4"/>
      <c r="K187" s="140"/>
      <c r="L187" s="4" t="s">
        <v>652</v>
      </c>
      <c r="M187" s="166" t="str">
        <f>IF(AND(NOT(EXACT(D187,"")),NOT(EXACT(G187,"")),NOT(EXACT(E187,"")),NOT(EXACT(B187,"")),NOT(EXACT(I187,"")),NOT(EXACT(H187,""))),IF(AND(EXACT(G187,'Data Base'!$T$35),OR(EXACT(H187,'Data Base'!$V$36),EXACT(H187,'Data Base'!$V$35)),EXACT(K187,'Data Base'!$X$35)),I187*0.5*1*1,IF(AND(EXACT(G187,'Data Base'!$T$35),EXACT(H187,'Data Base'!$V$37),EXACT(K187,'Data Base'!$X$35)),I187*0.5*0.5*1,IF(AND(EXACT(G187,'Data Base'!$T$35),EXACT(H187,'Data Base'!$V$38),EXACT(K187,'Data Base'!$X$35)),I187*0.5*1.2*1,IF(AND(EXACT(G187,'Data Base'!$T$35),OR(EXACT(H187,'Data Base'!$V$36),EXACT(H187,'Data Base'!$V$35)),EXACT(K187,'Data Base'!$X$36)),I187*0.5*1*0.75,IF(AND(EXACT(G187,'Data Base'!$T$35),EXACT(H187,'Data Base'!$V$37),EXACT(K187,'Data Base'!$X$36)),I187*0.5*0.5*0.75,IF(AND(EXACT(G187,'Data Base'!$T$35),EXACT(H187,'Data Base'!$V$38),EXACT(K187,'Data Base'!$X$36)),I187*0.5*1.2*0.75,IF(AND(EXACT(G187,'Data Base'!$T$35),OR(EXACT(H187,'Data Base'!$V$36),EXACT(H187,'Data Base'!$V$35)),EXACT(K187,'Data Base'!$X$37)),I187*0.5*1*0.5,IF(AND(EXACT(G187,'Data Base'!$T$35),EXACT(H187,'Data Base'!$V$37),EXACT(K187,'Data Base'!$X$37)),I187*0.5*0.5*0.5,IF(AND(EXACT(G187,'Data Base'!$T$35),EXACT(H187,'Data Base'!$V$38),EXACT(K187,'Data Base'!$X$37)),I187*0.5*1.2*0.5,IF(AND(EXACT(G187,'Data Base'!$T$36),OR(EXACT(H187,'Data Base'!$V$36),EXACT(H187,'Data Base'!$V$35)),EXACT(K187,'Data Base'!$X$35)),I187*1*1*1,IF(AND(EXACT(G187,'Data Base'!$T$36),EXACT(H187,'Data Base'!$V$37),EXACT(K187,'Data Base'!$X$35)),I187*1*0.5*1,IF(AND(EXACT(G187,'Data Base'!$T$36),EXACT(H187,'Data Base'!$V$38),EXACT(K187,'Data Base'!$X$35)),I187*1*1.2*1,IF(AND(EXACT(G187,'Data Base'!$T$36),OR(EXACT(H187,'Data Base'!$V$36),EXACT(H187,'Data Base'!$V$35)),EXACT(K187,'Data Base'!$X$36)),I187*1*1*0.75,IF(AND(EXACT(G187,'Data Base'!$T$36),EXACT(H187,'Data Base'!$V$37),EXACT(K187,'Data Base'!$X$36)),I187*1*0.5*0.75,IF(AND(EXACT(G187,'Data Base'!$T$36),EXACT(H187,'Data Base'!$V$38),EXACT(K187,'Data Base'!$X$36)),I187*1*1.2*0.75,IF(AND(EXACT(G187,'Data Base'!$T$36),OR(EXACT(H187,'Data Base'!$V$36),EXACT(H187,'Data Base'!$V$35)),EXACT(K187,'Data Base'!$X$37)),I187*1*1*0.5,IF(AND(EXACT(G187,'Data Base'!$T$36),EXACT(H187,'Data Base'!$V$37),EXACT(K187,'Data Base'!$X$37)),I187*1*0.5*0.5,IF(AND(EXACT(G187,'Data Base'!$T$36),EXACT(H187,'Data Base'!$V$38),EXACT(K187,'Data Base'!$X$37)),I187*1*1.2*0.5,IF(AND(EXACT(G187,'Data Base'!$T$37),OR(EXACT(H187,'Data Base'!$V$36),EXACT(H187,'Data Base'!$V$35)),EXACT(K187,'Data Base'!$X$35)),I187*1.25*1*1,IF(AND(EXACT(G187,'Data Base'!$T$37),EXACT(H187,'Data Base'!$V$37),EXACT(K187,'Data Base'!$X$35)),I187*1.25*0.5*1,IF(AND(EXACT(G187,'Data Base'!$T$37),EXACT(H187,'Data Base'!$V$38),EXACT(K187,'Data Base'!$X$35)),I187*1.25*1.2*1,IF(AND(EXACT(G187,'Data Base'!$T$37),OR(EXACT(H187,'Data Base'!$V$36),EXACT(H187,'Data Base'!$V$35)),EXACT(K187,'Data Base'!$X$36)),I187*1.25*1*0.75,IF(AND(EXACT(G187,'Data Base'!$T$37),EXACT(H187,'Data Base'!$V$37),EXACT(K187,'Data Base'!$X$36)),I187*1.25*0.5*0.75,IF(AND(EXACT(G187,'Data Base'!$T$37),EXACT(H187,'Data Base'!$V$38),EXACT(K187,'Data Base'!$X$36)),I187*1.25*1.2*0.75,IF(AND(EXACT(G187,'Data Base'!$T$37),OR(EXACT(H187,'Data Base'!$V$36),EXACT(H187,'Data Base'!$V$35)),EXACT(K187,'Data Base'!$X$37)),I187*1.25*1*0.5,IF(AND(EXACT(G187,'Data Base'!$T$37),EXACT(H187,'Data Base'!$V$37),EXACT(K187,'Data Base'!$X$37)),I187*1.25*0.5*0.5,IF(AND(EXACT(G187,'Data Base'!$T$37),EXACT(H187,'Data Base'!$V$38),EXACT(K187,'Data Base'!$X$37)),I187*1.25*1.2*0.5))))))))))))))))))))))))))),"")</f>
        <v/>
      </c>
    </row>
    <row r="188" spans="1:13" ht="21" customHeight="1">
      <c r="A188" s="99">
        <v>8</v>
      </c>
      <c r="B188" s="1349" t="str">
        <f t="shared" si="22"/>
        <v/>
      </c>
      <c r="C188" s="1350"/>
      <c r="D188" s="148" t="str">
        <f t="shared" si="23"/>
        <v/>
      </c>
      <c r="E188" s="1351"/>
      <c r="F188" s="1352"/>
      <c r="G188" s="165"/>
      <c r="H188" s="140"/>
      <c r="I188" s="4"/>
      <c r="J188" s="4"/>
      <c r="K188" s="140"/>
      <c r="L188" s="4" t="s">
        <v>652</v>
      </c>
      <c r="M188" s="166" t="str">
        <f>IF(AND(NOT(EXACT(D188,"")),NOT(EXACT(G188,"")),NOT(EXACT(E188,"")),NOT(EXACT(B188,"")),NOT(EXACT(I188,"")),NOT(EXACT(H188,""))),IF(AND(EXACT(G188,'Data Base'!$T$35),OR(EXACT(H188,'Data Base'!$V$36),EXACT(H188,'Data Base'!$V$35)),EXACT(K188,'Data Base'!$X$35)),I188*0.5*1*1,IF(AND(EXACT(G188,'Data Base'!$T$35),EXACT(H188,'Data Base'!$V$37),EXACT(K188,'Data Base'!$X$35)),I188*0.5*0.5*1,IF(AND(EXACT(G188,'Data Base'!$T$35),EXACT(H188,'Data Base'!$V$38),EXACT(K188,'Data Base'!$X$35)),I188*0.5*1.2*1,IF(AND(EXACT(G188,'Data Base'!$T$35),OR(EXACT(H188,'Data Base'!$V$36),EXACT(H188,'Data Base'!$V$35)),EXACT(K188,'Data Base'!$X$36)),I188*0.5*1*0.75,IF(AND(EXACT(G188,'Data Base'!$T$35),EXACT(H188,'Data Base'!$V$37),EXACT(K188,'Data Base'!$X$36)),I188*0.5*0.5*0.75,IF(AND(EXACT(G188,'Data Base'!$T$35),EXACT(H188,'Data Base'!$V$38),EXACT(K188,'Data Base'!$X$36)),I188*0.5*1.2*0.75,IF(AND(EXACT(G188,'Data Base'!$T$35),OR(EXACT(H188,'Data Base'!$V$36),EXACT(H188,'Data Base'!$V$35)),EXACT(K188,'Data Base'!$X$37)),I188*0.5*1*0.5,IF(AND(EXACT(G188,'Data Base'!$T$35),EXACT(H188,'Data Base'!$V$37),EXACT(K188,'Data Base'!$X$37)),I188*0.5*0.5*0.5,IF(AND(EXACT(G188,'Data Base'!$T$35),EXACT(H188,'Data Base'!$V$38),EXACT(K188,'Data Base'!$X$37)),I188*0.5*1.2*0.5,IF(AND(EXACT(G188,'Data Base'!$T$36),OR(EXACT(H188,'Data Base'!$V$36),EXACT(H188,'Data Base'!$V$35)),EXACT(K188,'Data Base'!$X$35)),I188*1*1*1,IF(AND(EXACT(G188,'Data Base'!$T$36),EXACT(H188,'Data Base'!$V$37),EXACT(K188,'Data Base'!$X$35)),I188*1*0.5*1,IF(AND(EXACT(G188,'Data Base'!$T$36),EXACT(H188,'Data Base'!$V$38),EXACT(K188,'Data Base'!$X$35)),I188*1*1.2*1,IF(AND(EXACT(G188,'Data Base'!$T$36),OR(EXACT(H188,'Data Base'!$V$36),EXACT(H188,'Data Base'!$V$35)),EXACT(K188,'Data Base'!$X$36)),I188*1*1*0.75,IF(AND(EXACT(G188,'Data Base'!$T$36),EXACT(H188,'Data Base'!$V$37),EXACT(K188,'Data Base'!$X$36)),I188*1*0.5*0.75,IF(AND(EXACT(G188,'Data Base'!$T$36),EXACT(H188,'Data Base'!$V$38),EXACT(K188,'Data Base'!$X$36)),I188*1*1.2*0.75,IF(AND(EXACT(G188,'Data Base'!$T$36),OR(EXACT(H188,'Data Base'!$V$36),EXACT(H188,'Data Base'!$V$35)),EXACT(K188,'Data Base'!$X$37)),I188*1*1*0.5,IF(AND(EXACT(G188,'Data Base'!$T$36),EXACT(H188,'Data Base'!$V$37),EXACT(K188,'Data Base'!$X$37)),I188*1*0.5*0.5,IF(AND(EXACT(G188,'Data Base'!$T$36),EXACT(H188,'Data Base'!$V$38),EXACT(K188,'Data Base'!$X$37)),I188*1*1.2*0.5,IF(AND(EXACT(G188,'Data Base'!$T$37),OR(EXACT(H188,'Data Base'!$V$36),EXACT(H188,'Data Base'!$V$35)),EXACT(K188,'Data Base'!$X$35)),I188*1.25*1*1,IF(AND(EXACT(G188,'Data Base'!$T$37),EXACT(H188,'Data Base'!$V$37),EXACT(K188,'Data Base'!$X$35)),I188*1.25*0.5*1,IF(AND(EXACT(G188,'Data Base'!$T$37),EXACT(H188,'Data Base'!$V$38),EXACT(K188,'Data Base'!$X$35)),I188*1.25*1.2*1,IF(AND(EXACT(G188,'Data Base'!$T$37),OR(EXACT(H188,'Data Base'!$V$36),EXACT(H188,'Data Base'!$V$35)),EXACT(K188,'Data Base'!$X$36)),I188*1.25*1*0.75,IF(AND(EXACT(G188,'Data Base'!$T$37),EXACT(H188,'Data Base'!$V$37),EXACT(K188,'Data Base'!$X$36)),I188*1.25*0.5*0.75,IF(AND(EXACT(G188,'Data Base'!$T$37),EXACT(H188,'Data Base'!$V$38),EXACT(K188,'Data Base'!$X$36)),I188*1.25*1.2*0.75,IF(AND(EXACT(G188,'Data Base'!$T$37),OR(EXACT(H188,'Data Base'!$V$36),EXACT(H188,'Data Base'!$V$35)),EXACT(K188,'Data Base'!$X$37)),I188*1.25*1*0.5,IF(AND(EXACT(G188,'Data Base'!$T$37),EXACT(H188,'Data Base'!$V$37),EXACT(K188,'Data Base'!$X$37)),I188*1.25*0.5*0.5,IF(AND(EXACT(G188,'Data Base'!$T$37),EXACT(H188,'Data Base'!$V$38),EXACT(K188,'Data Base'!$X$37)),I188*1.25*1.2*0.5))))))))))))))))))))))))))),"")</f>
        <v/>
      </c>
    </row>
    <row r="189" spans="1:13" ht="21" customHeight="1">
      <c r="A189" s="99">
        <v>9</v>
      </c>
      <c r="B189" s="1349" t="str">
        <f t="shared" si="22"/>
        <v/>
      </c>
      <c r="C189" s="1350"/>
      <c r="D189" s="148" t="str">
        <f t="shared" si="23"/>
        <v/>
      </c>
      <c r="E189" s="1351"/>
      <c r="F189" s="1352"/>
      <c r="G189" s="165"/>
      <c r="H189" s="140"/>
      <c r="I189" s="4"/>
      <c r="J189" s="4"/>
      <c r="K189" s="140"/>
      <c r="L189" s="4" t="s">
        <v>652</v>
      </c>
      <c r="M189" s="166" t="str">
        <f>IF(AND(NOT(EXACT(D189,"")),NOT(EXACT(G189,"")),NOT(EXACT(E189,"")),NOT(EXACT(B189,"")),NOT(EXACT(I189,"")),NOT(EXACT(H189,""))),IF(AND(EXACT(G189,'Data Base'!$T$35),OR(EXACT(H189,'Data Base'!$V$36),EXACT(H189,'Data Base'!$V$35)),EXACT(K189,'Data Base'!$X$35)),I189*0.5*1*1,IF(AND(EXACT(G189,'Data Base'!$T$35),EXACT(H189,'Data Base'!$V$37),EXACT(K189,'Data Base'!$X$35)),I189*0.5*0.5*1,IF(AND(EXACT(G189,'Data Base'!$T$35),EXACT(H189,'Data Base'!$V$38),EXACT(K189,'Data Base'!$X$35)),I189*0.5*1.2*1,IF(AND(EXACT(G189,'Data Base'!$T$35),OR(EXACT(H189,'Data Base'!$V$36),EXACT(H189,'Data Base'!$V$35)),EXACT(K189,'Data Base'!$X$36)),I189*0.5*1*0.75,IF(AND(EXACT(G189,'Data Base'!$T$35),EXACT(H189,'Data Base'!$V$37),EXACT(K189,'Data Base'!$X$36)),I189*0.5*0.5*0.75,IF(AND(EXACT(G189,'Data Base'!$T$35),EXACT(H189,'Data Base'!$V$38),EXACT(K189,'Data Base'!$X$36)),I189*0.5*1.2*0.75,IF(AND(EXACT(G189,'Data Base'!$T$35),OR(EXACT(H189,'Data Base'!$V$36),EXACT(H189,'Data Base'!$V$35)),EXACT(K189,'Data Base'!$X$37)),I189*0.5*1*0.5,IF(AND(EXACT(G189,'Data Base'!$T$35),EXACT(H189,'Data Base'!$V$37),EXACT(K189,'Data Base'!$X$37)),I189*0.5*0.5*0.5,IF(AND(EXACT(G189,'Data Base'!$T$35),EXACT(H189,'Data Base'!$V$38),EXACT(K189,'Data Base'!$X$37)),I189*0.5*1.2*0.5,IF(AND(EXACT(G189,'Data Base'!$T$36),OR(EXACT(H189,'Data Base'!$V$36),EXACT(H189,'Data Base'!$V$35)),EXACT(K189,'Data Base'!$X$35)),I189*1*1*1,IF(AND(EXACT(G189,'Data Base'!$T$36),EXACT(H189,'Data Base'!$V$37),EXACT(K189,'Data Base'!$X$35)),I189*1*0.5*1,IF(AND(EXACT(G189,'Data Base'!$T$36),EXACT(H189,'Data Base'!$V$38),EXACT(K189,'Data Base'!$X$35)),I189*1*1.2*1,IF(AND(EXACT(G189,'Data Base'!$T$36),OR(EXACT(H189,'Data Base'!$V$36),EXACT(H189,'Data Base'!$V$35)),EXACT(K189,'Data Base'!$X$36)),I189*1*1*0.75,IF(AND(EXACT(G189,'Data Base'!$T$36),EXACT(H189,'Data Base'!$V$37),EXACT(K189,'Data Base'!$X$36)),I189*1*0.5*0.75,IF(AND(EXACT(G189,'Data Base'!$T$36),EXACT(H189,'Data Base'!$V$38),EXACT(K189,'Data Base'!$X$36)),I189*1*1.2*0.75,IF(AND(EXACT(G189,'Data Base'!$T$36),OR(EXACT(H189,'Data Base'!$V$36),EXACT(H189,'Data Base'!$V$35)),EXACT(K189,'Data Base'!$X$37)),I189*1*1*0.5,IF(AND(EXACT(G189,'Data Base'!$T$36),EXACT(H189,'Data Base'!$V$37),EXACT(K189,'Data Base'!$X$37)),I189*1*0.5*0.5,IF(AND(EXACT(G189,'Data Base'!$T$36),EXACT(H189,'Data Base'!$V$38),EXACT(K189,'Data Base'!$X$37)),I189*1*1.2*0.5,IF(AND(EXACT(G189,'Data Base'!$T$37),OR(EXACT(H189,'Data Base'!$V$36),EXACT(H189,'Data Base'!$V$35)),EXACT(K189,'Data Base'!$X$35)),I189*1.25*1*1,IF(AND(EXACT(G189,'Data Base'!$T$37),EXACT(H189,'Data Base'!$V$37),EXACT(K189,'Data Base'!$X$35)),I189*1.25*0.5*1,IF(AND(EXACT(G189,'Data Base'!$T$37),EXACT(H189,'Data Base'!$V$38),EXACT(K189,'Data Base'!$X$35)),I189*1.25*1.2*1,IF(AND(EXACT(G189,'Data Base'!$T$37),OR(EXACT(H189,'Data Base'!$V$36),EXACT(H189,'Data Base'!$V$35)),EXACT(K189,'Data Base'!$X$36)),I189*1.25*1*0.75,IF(AND(EXACT(G189,'Data Base'!$T$37),EXACT(H189,'Data Base'!$V$37),EXACT(K189,'Data Base'!$X$36)),I189*1.25*0.5*0.75,IF(AND(EXACT(G189,'Data Base'!$T$37),EXACT(H189,'Data Base'!$V$38),EXACT(K189,'Data Base'!$X$36)),I189*1.25*1.2*0.75,IF(AND(EXACT(G189,'Data Base'!$T$37),OR(EXACT(H189,'Data Base'!$V$36),EXACT(H189,'Data Base'!$V$35)),EXACT(K189,'Data Base'!$X$37)),I189*1.25*1*0.5,IF(AND(EXACT(G189,'Data Base'!$T$37),EXACT(H189,'Data Base'!$V$37),EXACT(K189,'Data Base'!$X$37)),I189*1.25*0.5*0.5,IF(AND(EXACT(G189,'Data Base'!$T$37),EXACT(H189,'Data Base'!$V$38),EXACT(K189,'Data Base'!$X$37)),I189*1.25*1.2*0.5))))))))))))))))))))))))))),"")</f>
        <v/>
      </c>
    </row>
    <row r="190" spans="1:13" ht="21" customHeight="1">
      <c r="A190" s="97">
        <v>10</v>
      </c>
      <c r="B190" s="1349" t="str">
        <f t="shared" si="22"/>
        <v/>
      </c>
      <c r="C190" s="1350"/>
      <c r="D190" s="148" t="str">
        <f t="shared" si="23"/>
        <v/>
      </c>
      <c r="E190" s="1351"/>
      <c r="F190" s="1352"/>
      <c r="G190" s="165"/>
      <c r="H190" s="140"/>
      <c r="I190" s="4"/>
      <c r="J190" s="4"/>
      <c r="K190" s="140"/>
      <c r="L190" s="4" t="s">
        <v>652</v>
      </c>
      <c r="M190" s="166" t="str">
        <f>IF(AND(NOT(EXACT(D190,"")),NOT(EXACT(G190,"")),NOT(EXACT(E190,"")),NOT(EXACT(B190,"")),NOT(EXACT(I190,"")),NOT(EXACT(H190,""))),IF(AND(EXACT(G190,'Data Base'!$T$35),OR(EXACT(H190,'Data Base'!$V$36),EXACT(H190,'Data Base'!$V$35)),EXACT(K190,'Data Base'!$X$35)),I190*0.5*1*1,IF(AND(EXACT(G190,'Data Base'!$T$35),EXACT(H190,'Data Base'!$V$37),EXACT(K190,'Data Base'!$X$35)),I190*0.5*0.5*1,IF(AND(EXACT(G190,'Data Base'!$T$35),EXACT(H190,'Data Base'!$V$38),EXACT(K190,'Data Base'!$X$35)),I190*0.5*1.2*1,IF(AND(EXACT(G190,'Data Base'!$T$35),OR(EXACT(H190,'Data Base'!$V$36),EXACT(H190,'Data Base'!$V$35)),EXACT(K190,'Data Base'!$X$36)),I190*0.5*1*0.75,IF(AND(EXACT(G190,'Data Base'!$T$35),EXACT(H190,'Data Base'!$V$37),EXACT(K190,'Data Base'!$X$36)),I190*0.5*0.5*0.75,IF(AND(EXACT(G190,'Data Base'!$T$35),EXACT(H190,'Data Base'!$V$38),EXACT(K190,'Data Base'!$X$36)),I190*0.5*1.2*0.75,IF(AND(EXACT(G190,'Data Base'!$T$35),OR(EXACT(H190,'Data Base'!$V$36),EXACT(H190,'Data Base'!$V$35)),EXACT(K190,'Data Base'!$X$37)),I190*0.5*1*0.5,IF(AND(EXACT(G190,'Data Base'!$T$35),EXACT(H190,'Data Base'!$V$37),EXACT(K190,'Data Base'!$X$37)),I190*0.5*0.5*0.5,IF(AND(EXACT(G190,'Data Base'!$T$35),EXACT(H190,'Data Base'!$V$38),EXACT(K190,'Data Base'!$X$37)),I190*0.5*1.2*0.5,IF(AND(EXACT(G190,'Data Base'!$T$36),OR(EXACT(H190,'Data Base'!$V$36),EXACT(H190,'Data Base'!$V$35)),EXACT(K190,'Data Base'!$X$35)),I190*1*1*1,IF(AND(EXACT(G190,'Data Base'!$T$36),EXACT(H190,'Data Base'!$V$37),EXACT(K190,'Data Base'!$X$35)),I190*1*0.5*1,IF(AND(EXACT(G190,'Data Base'!$T$36),EXACT(H190,'Data Base'!$V$38),EXACT(K190,'Data Base'!$X$35)),I190*1*1.2*1,IF(AND(EXACT(G190,'Data Base'!$T$36),OR(EXACT(H190,'Data Base'!$V$36),EXACT(H190,'Data Base'!$V$35)),EXACT(K190,'Data Base'!$X$36)),I190*1*1*0.75,IF(AND(EXACT(G190,'Data Base'!$T$36),EXACT(H190,'Data Base'!$V$37),EXACT(K190,'Data Base'!$X$36)),I190*1*0.5*0.75,IF(AND(EXACT(G190,'Data Base'!$T$36),EXACT(H190,'Data Base'!$V$38),EXACT(K190,'Data Base'!$X$36)),I190*1*1.2*0.75,IF(AND(EXACT(G190,'Data Base'!$T$36),OR(EXACT(H190,'Data Base'!$V$36),EXACT(H190,'Data Base'!$V$35)),EXACT(K190,'Data Base'!$X$37)),I190*1*1*0.5,IF(AND(EXACT(G190,'Data Base'!$T$36),EXACT(H190,'Data Base'!$V$37),EXACT(K190,'Data Base'!$X$37)),I190*1*0.5*0.5,IF(AND(EXACT(G190,'Data Base'!$T$36),EXACT(H190,'Data Base'!$V$38),EXACT(K190,'Data Base'!$X$37)),I190*1*1.2*0.5,IF(AND(EXACT(G190,'Data Base'!$T$37),OR(EXACT(H190,'Data Base'!$V$36),EXACT(H190,'Data Base'!$V$35)),EXACT(K190,'Data Base'!$X$35)),I190*1.25*1*1,IF(AND(EXACT(G190,'Data Base'!$T$37),EXACT(H190,'Data Base'!$V$37),EXACT(K190,'Data Base'!$X$35)),I190*1.25*0.5*1,IF(AND(EXACT(G190,'Data Base'!$T$37),EXACT(H190,'Data Base'!$V$38),EXACT(K190,'Data Base'!$X$35)),I190*1.25*1.2*1,IF(AND(EXACT(G190,'Data Base'!$T$37),OR(EXACT(H190,'Data Base'!$V$36),EXACT(H190,'Data Base'!$V$35)),EXACT(K190,'Data Base'!$X$36)),I190*1.25*1*0.75,IF(AND(EXACT(G190,'Data Base'!$T$37),EXACT(H190,'Data Base'!$V$37),EXACT(K190,'Data Base'!$X$36)),I190*1.25*0.5*0.75,IF(AND(EXACT(G190,'Data Base'!$T$37),EXACT(H190,'Data Base'!$V$38),EXACT(K190,'Data Base'!$X$36)),I190*1.25*1.2*0.75,IF(AND(EXACT(G190,'Data Base'!$T$37),OR(EXACT(H190,'Data Base'!$V$36),EXACT(H190,'Data Base'!$V$35)),EXACT(K190,'Data Base'!$X$37)),I190*1.25*1*0.5,IF(AND(EXACT(G190,'Data Base'!$T$37),EXACT(H190,'Data Base'!$V$37),EXACT(K190,'Data Base'!$X$37)),I190*1.25*0.5*0.5,IF(AND(EXACT(G190,'Data Base'!$T$37),EXACT(H190,'Data Base'!$V$38),EXACT(K190,'Data Base'!$X$37)),I190*1.25*1.2*0.5))))))))))))))))))))))))))),"")</f>
        <v/>
      </c>
    </row>
    <row r="191" spans="1:13" ht="21" customHeight="1">
      <c r="A191" s="99">
        <v>11</v>
      </c>
      <c r="B191" s="1349" t="str">
        <f t="shared" si="22"/>
        <v/>
      </c>
      <c r="C191" s="1350"/>
      <c r="D191" s="148" t="str">
        <f t="shared" si="23"/>
        <v/>
      </c>
      <c r="E191" s="1351"/>
      <c r="F191" s="1352"/>
      <c r="G191" s="165"/>
      <c r="H191" s="140"/>
      <c r="I191" s="4"/>
      <c r="J191" s="4"/>
      <c r="K191" s="140"/>
      <c r="L191" s="4" t="s">
        <v>652</v>
      </c>
      <c r="M191" s="166" t="str">
        <f>IF(AND(NOT(EXACT(D191,"")),NOT(EXACT(G191,"")),NOT(EXACT(E191,"")),NOT(EXACT(B191,"")),NOT(EXACT(I191,"")),NOT(EXACT(H191,""))),IF(AND(EXACT(G191,'Data Base'!$T$35),OR(EXACT(H191,'Data Base'!$V$36),EXACT(H191,'Data Base'!$V$35)),EXACT(K191,'Data Base'!$X$35)),I191*0.5*1*1,IF(AND(EXACT(G191,'Data Base'!$T$35),EXACT(H191,'Data Base'!$V$37),EXACT(K191,'Data Base'!$X$35)),I191*0.5*0.5*1,IF(AND(EXACT(G191,'Data Base'!$T$35),EXACT(H191,'Data Base'!$V$38),EXACT(K191,'Data Base'!$X$35)),I191*0.5*1.2*1,IF(AND(EXACT(G191,'Data Base'!$T$35),OR(EXACT(H191,'Data Base'!$V$36),EXACT(H191,'Data Base'!$V$35)),EXACT(K191,'Data Base'!$X$36)),I191*0.5*1*0.75,IF(AND(EXACT(G191,'Data Base'!$T$35),EXACT(H191,'Data Base'!$V$37),EXACT(K191,'Data Base'!$X$36)),I191*0.5*0.5*0.75,IF(AND(EXACT(G191,'Data Base'!$T$35),EXACT(H191,'Data Base'!$V$38),EXACT(K191,'Data Base'!$X$36)),I191*0.5*1.2*0.75,IF(AND(EXACT(G191,'Data Base'!$T$35),OR(EXACT(H191,'Data Base'!$V$36),EXACT(H191,'Data Base'!$V$35)),EXACT(K191,'Data Base'!$X$37)),I191*0.5*1*0.5,IF(AND(EXACT(G191,'Data Base'!$T$35),EXACT(H191,'Data Base'!$V$37),EXACT(K191,'Data Base'!$X$37)),I191*0.5*0.5*0.5,IF(AND(EXACT(G191,'Data Base'!$T$35),EXACT(H191,'Data Base'!$V$38),EXACT(K191,'Data Base'!$X$37)),I191*0.5*1.2*0.5,IF(AND(EXACT(G191,'Data Base'!$T$36),OR(EXACT(H191,'Data Base'!$V$36),EXACT(H191,'Data Base'!$V$35)),EXACT(K191,'Data Base'!$X$35)),I191*1*1*1,IF(AND(EXACT(G191,'Data Base'!$T$36),EXACT(H191,'Data Base'!$V$37),EXACT(K191,'Data Base'!$X$35)),I191*1*0.5*1,IF(AND(EXACT(G191,'Data Base'!$T$36),EXACT(H191,'Data Base'!$V$38),EXACT(K191,'Data Base'!$X$35)),I191*1*1.2*1,IF(AND(EXACT(G191,'Data Base'!$T$36),OR(EXACT(H191,'Data Base'!$V$36),EXACT(H191,'Data Base'!$V$35)),EXACT(K191,'Data Base'!$X$36)),I191*1*1*0.75,IF(AND(EXACT(G191,'Data Base'!$T$36),EXACT(H191,'Data Base'!$V$37),EXACT(K191,'Data Base'!$X$36)),I191*1*0.5*0.75,IF(AND(EXACT(G191,'Data Base'!$T$36),EXACT(H191,'Data Base'!$V$38),EXACT(K191,'Data Base'!$X$36)),I191*1*1.2*0.75,IF(AND(EXACT(G191,'Data Base'!$T$36),OR(EXACT(H191,'Data Base'!$V$36),EXACT(H191,'Data Base'!$V$35)),EXACT(K191,'Data Base'!$X$37)),I191*1*1*0.5,IF(AND(EXACT(G191,'Data Base'!$T$36),EXACT(H191,'Data Base'!$V$37),EXACT(K191,'Data Base'!$X$37)),I191*1*0.5*0.5,IF(AND(EXACT(G191,'Data Base'!$T$36),EXACT(H191,'Data Base'!$V$38),EXACT(K191,'Data Base'!$X$37)),I191*1*1.2*0.5,IF(AND(EXACT(G191,'Data Base'!$T$37),OR(EXACT(H191,'Data Base'!$V$36),EXACT(H191,'Data Base'!$V$35)),EXACT(K191,'Data Base'!$X$35)),I191*1.25*1*1,IF(AND(EXACT(G191,'Data Base'!$T$37),EXACT(H191,'Data Base'!$V$37),EXACT(K191,'Data Base'!$X$35)),I191*1.25*0.5*1,IF(AND(EXACT(G191,'Data Base'!$T$37),EXACT(H191,'Data Base'!$V$38),EXACT(K191,'Data Base'!$X$35)),I191*1.25*1.2*1,IF(AND(EXACT(G191,'Data Base'!$T$37),OR(EXACT(H191,'Data Base'!$V$36),EXACT(H191,'Data Base'!$V$35)),EXACT(K191,'Data Base'!$X$36)),I191*1.25*1*0.75,IF(AND(EXACT(G191,'Data Base'!$T$37),EXACT(H191,'Data Base'!$V$37),EXACT(K191,'Data Base'!$X$36)),I191*1.25*0.5*0.75,IF(AND(EXACT(G191,'Data Base'!$T$37),EXACT(H191,'Data Base'!$V$38),EXACT(K191,'Data Base'!$X$36)),I191*1.25*1.2*0.75,IF(AND(EXACT(G191,'Data Base'!$T$37),OR(EXACT(H191,'Data Base'!$V$36),EXACT(H191,'Data Base'!$V$35)),EXACT(K191,'Data Base'!$X$37)),I191*1.25*1*0.5,IF(AND(EXACT(G191,'Data Base'!$T$37),EXACT(H191,'Data Base'!$V$37),EXACT(K191,'Data Base'!$X$37)),I191*1.25*0.5*0.5,IF(AND(EXACT(G191,'Data Base'!$T$37),EXACT(H191,'Data Base'!$V$38),EXACT(K191,'Data Base'!$X$37)),I191*1.25*1.2*0.5))))))))))))))))))))))))))),"")</f>
        <v/>
      </c>
    </row>
    <row r="192" spans="1:13" ht="21" customHeight="1">
      <c r="A192" s="99">
        <v>12</v>
      </c>
      <c r="B192" s="1349" t="str">
        <f t="shared" si="22"/>
        <v/>
      </c>
      <c r="C192" s="1350"/>
      <c r="D192" s="148" t="str">
        <f t="shared" si="23"/>
        <v/>
      </c>
      <c r="E192" s="1351"/>
      <c r="F192" s="1352"/>
      <c r="G192" s="165"/>
      <c r="H192" s="140"/>
      <c r="I192" s="4"/>
      <c r="J192" s="4"/>
      <c r="K192" s="140"/>
      <c r="L192" s="4" t="s">
        <v>652</v>
      </c>
      <c r="M192" s="166" t="str">
        <f>IF(AND(NOT(EXACT(D192,"")),NOT(EXACT(G192,"")),NOT(EXACT(E192,"")),NOT(EXACT(B192,"")),NOT(EXACT(I192,"")),NOT(EXACT(H192,""))),IF(AND(EXACT(G192,'Data Base'!$T$35),OR(EXACT(H192,'Data Base'!$V$36),EXACT(H192,'Data Base'!$V$35)),EXACT(K192,'Data Base'!$X$35)),I192*0.5*1*1,IF(AND(EXACT(G192,'Data Base'!$T$35),EXACT(H192,'Data Base'!$V$37),EXACT(K192,'Data Base'!$X$35)),I192*0.5*0.5*1,IF(AND(EXACT(G192,'Data Base'!$T$35),EXACT(H192,'Data Base'!$V$38),EXACT(K192,'Data Base'!$X$35)),I192*0.5*1.2*1,IF(AND(EXACT(G192,'Data Base'!$T$35),OR(EXACT(H192,'Data Base'!$V$36),EXACT(H192,'Data Base'!$V$35)),EXACT(K192,'Data Base'!$X$36)),I192*0.5*1*0.75,IF(AND(EXACT(G192,'Data Base'!$T$35),EXACT(H192,'Data Base'!$V$37),EXACT(K192,'Data Base'!$X$36)),I192*0.5*0.5*0.75,IF(AND(EXACT(G192,'Data Base'!$T$35),EXACT(H192,'Data Base'!$V$38),EXACT(K192,'Data Base'!$X$36)),I192*0.5*1.2*0.75,IF(AND(EXACT(G192,'Data Base'!$T$35),OR(EXACT(H192,'Data Base'!$V$36),EXACT(H192,'Data Base'!$V$35)),EXACT(K192,'Data Base'!$X$37)),I192*0.5*1*0.5,IF(AND(EXACT(G192,'Data Base'!$T$35),EXACT(H192,'Data Base'!$V$37),EXACT(K192,'Data Base'!$X$37)),I192*0.5*0.5*0.5,IF(AND(EXACT(G192,'Data Base'!$T$35),EXACT(H192,'Data Base'!$V$38),EXACT(K192,'Data Base'!$X$37)),I192*0.5*1.2*0.5,IF(AND(EXACT(G192,'Data Base'!$T$36),OR(EXACT(H192,'Data Base'!$V$36),EXACT(H192,'Data Base'!$V$35)),EXACT(K192,'Data Base'!$X$35)),I192*1*1*1,IF(AND(EXACT(G192,'Data Base'!$T$36),EXACT(H192,'Data Base'!$V$37),EXACT(K192,'Data Base'!$X$35)),I192*1*0.5*1,IF(AND(EXACT(G192,'Data Base'!$T$36),EXACT(H192,'Data Base'!$V$38),EXACT(K192,'Data Base'!$X$35)),I192*1*1.2*1,IF(AND(EXACT(G192,'Data Base'!$T$36),OR(EXACT(H192,'Data Base'!$V$36),EXACT(H192,'Data Base'!$V$35)),EXACT(K192,'Data Base'!$X$36)),I192*1*1*0.75,IF(AND(EXACT(G192,'Data Base'!$T$36),EXACT(H192,'Data Base'!$V$37),EXACT(K192,'Data Base'!$X$36)),I192*1*0.5*0.75,IF(AND(EXACT(G192,'Data Base'!$T$36),EXACT(H192,'Data Base'!$V$38),EXACT(K192,'Data Base'!$X$36)),I192*1*1.2*0.75,IF(AND(EXACT(G192,'Data Base'!$T$36),OR(EXACT(H192,'Data Base'!$V$36),EXACT(H192,'Data Base'!$V$35)),EXACT(K192,'Data Base'!$X$37)),I192*1*1*0.5,IF(AND(EXACT(G192,'Data Base'!$T$36),EXACT(H192,'Data Base'!$V$37),EXACT(K192,'Data Base'!$X$37)),I192*1*0.5*0.5,IF(AND(EXACT(G192,'Data Base'!$T$36),EXACT(H192,'Data Base'!$V$38),EXACT(K192,'Data Base'!$X$37)),I192*1*1.2*0.5,IF(AND(EXACT(G192,'Data Base'!$T$37),OR(EXACT(H192,'Data Base'!$V$36),EXACT(H192,'Data Base'!$V$35)),EXACT(K192,'Data Base'!$X$35)),I192*1.25*1*1,IF(AND(EXACT(G192,'Data Base'!$T$37),EXACT(H192,'Data Base'!$V$37),EXACT(K192,'Data Base'!$X$35)),I192*1.25*0.5*1,IF(AND(EXACT(G192,'Data Base'!$T$37),EXACT(H192,'Data Base'!$V$38),EXACT(K192,'Data Base'!$X$35)),I192*1.25*1.2*1,IF(AND(EXACT(G192,'Data Base'!$T$37),OR(EXACT(H192,'Data Base'!$V$36),EXACT(H192,'Data Base'!$V$35)),EXACT(K192,'Data Base'!$X$36)),I192*1.25*1*0.75,IF(AND(EXACT(G192,'Data Base'!$T$37),EXACT(H192,'Data Base'!$V$37),EXACT(K192,'Data Base'!$X$36)),I192*1.25*0.5*0.75,IF(AND(EXACT(G192,'Data Base'!$T$37),EXACT(H192,'Data Base'!$V$38),EXACT(K192,'Data Base'!$X$36)),I192*1.25*1.2*0.75,IF(AND(EXACT(G192,'Data Base'!$T$37),OR(EXACT(H192,'Data Base'!$V$36),EXACT(H192,'Data Base'!$V$35)),EXACT(K192,'Data Base'!$X$37)),I192*1.25*1*0.5,IF(AND(EXACT(G192,'Data Base'!$T$37),EXACT(H192,'Data Base'!$V$37),EXACT(K192,'Data Base'!$X$37)),I192*1.25*0.5*0.5,IF(AND(EXACT(G192,'Data Base'!$T$37),EXACT(H192,'Data Base'!$V$38),EXACT(K192,'Data Base'!$X$37)),I192*1.25*1.2*0.5))))))))))))))))))))))))))),"")</f>
        <v/>
      </c>
    </row>
    <row r="193" spans="1:13" ht="21" customHeight="1">
      <c r="A193" s="97">
        <v>13</v>
      </c>
      <c r="B193" s="1349" t="str">
        <f t="shared" si="22"/>
        <v/>
      </c>
      <c r="C193" s="1350"/>
      <c r="D193" s="148" t="str">
        <f t="shared" si="23"/>
        <v/>
      </c>
      <c r="E193" s="1351"/>
      <c r="F193" s="1352"/>
      <c r="G193" s="165"/>
      <c r="H193" s="140"/>
      <c r="I193" s="4"/>
      <c r="J193" s="4"/>
      <c r="K193" s="140"/>
      <c r="L193" s="4" t="s">
        <v>652</v>
      </c>
      <c r="M193" s="166" t="str">
        <f>IF(AND(NOT(EXACT(D193,"")),NOT(EXACT(G193,"")),NOT(EXACT(E193,"")),NOT(EXACT(B193,"")),NOT(EXACT(I193,"")),NOT(EXACT(H193,""))),IF(AND(EXACT(G193,'Data Base'!$T$35),OR(EXACT(H193,'Data Base'!$V$36),EXACT(H193,'Data Base'!$V$35)),EXACT(K193,'Data Base'!$X$35)),I193*0.5*1*1,IF(AND(EXACT(G193,'Data Base'!$T$35),EXACT(H193,'Data Base'!$V$37),EXACT(K193,'Data Base'!$X$35)),I193*0.5*0.5*1,IF(AND(EXACT(G193,'Data Base'!$T$35),EXACT(H193,'Data Base'!$V$38),EXACT(K193,'Data Base'!$X$35)),I193*0.5*1.2*1,IF(AND(EXACT(G193,'Data Base'!$T$35),OR(EXACT(H193,'Data Base'!$V$36),EXACT(H193,'Data Base'!$V$35)),EXACT(K193,'Data Base'!$X$36)),I193*0.5*1*0.75,IF(AND(EXACT(G193,'Data Base'!$T$35),EXACT(H193,'Data Base'!$V$37),EXACT(K193,'Data Base'!$X$36)),I193*0.5*0.5*0.75,IF(AND(EXACT(G193,'Data Base'!$T$35),EXACT(H193,'Data Base'!$V$38),EXACT(K193,'Data Base'!$X$36)),I193*0.5*1.2*0.75,IF(AND(EXACT(G193,'Data Base'!$T$35),OR(EXACT(H193,'Data Base'!$V$36),EXACT(H193,'Data Base'!$V$35)),EXACT(K193,'Data Base'!$X$37)),I193*0.5*1*0.5,IF(AND(EXACT(G193,'Data Base'!$T$35),EXACT(H193,'Data Base'!$V$37),EXACT(K193,'Data Base'!$X$37)),I193*0.5*0.5*0.5,IF(AND(EXACT(G193,'Data Base'!$T$35),EXACT(H193,'Data Base'!$V$38),EXACT(K193,'Data Base'!$X$37)),I193*0.5*1.2*0.5,IF(AND(EXACT(G193,'Data Base'!$T$36),OR(EXACT(H193,'Data Base'!$V$36),EXACT(H193,'Data Base'!$V$35)),EXACT(K193,'Data Base'!$X$35)),I193*1*1*1,IF(AND(EXACT(G193,'Data Base'!$T$36),EXACT(H193,'Data Base'!$V$37),EXACT(K193,'Data Base'!$X$35)),I193*1*0.5*1,IF(AND(EXACT(G193,'Data Base'!$T$36),EXACT(H193,'Data Base'!$V$38),EXACT(K193,'Data Base'!$X$35)),I193*1*1.2*1,IF(AND(EXACT(G193,'Data Base'!$T$36),OR(EXACT(H193,'Data Base'!$V$36),EXACT(H193,'Data Base'!$V$35)),EXACT(K193,'Data Base'!$X$36)),I193*1*1*0.75,IF(AND(EXACT(G193,'Data Base'!$T$36),EXACT(H193,'Data Base'!$V$37),EXACT(K193,'Data Base'!$X$36)),I193*1*0.5*0.75,IF(AND(EXACT(G193,'Data Base'!$T$36),EXACT(H193,'Data Base'!$V$38),EXACT(K193,'Data Base'!$X$36)),I193*1*1.2*0.75,IF(AND(EXACT(G193,'Data Base'!$T$36),OR(EXACT(H193,'Data Base'!$V$36),EXACT(H193,'Data Base'!$V$35)),EXACT(K193,'Data Base'!$X$37)),I193*1*1*0.5,IF(AND(EXACT(G193,'Data Base'!$T$36),EXACT(H193,'Data Base'!$V$37),EXACT(K193,'Data Base'!$X$37)),I193*1*0.5*0.5,IF(AND(EXACT(G193,'Data Base'!$T$36),EXACT(H193,'Data Base'!$V$38),EXACT(K193,'Data Base'!$X$37)),I193*1*1.2*0.5,IF(AND(EXACT(G193,'Data Base'!$T$37),OR(EXACT(H193,'Data Base'!$V$36),EXACT(H193,'Data Base'!$V$35)),EXACT(K193,'Data Base'!$X$35)),I193*1.25*1*1,IF(AND(EXACT(G193,'Data Base'!$T$37),EXACT(H193,'Data Base'!$V$37),EXACT(K193,'Data Base'!$X$35)),I193*1.25*0.5*1,IF(AND(EXACT(G193,'Data Base'!$T$37),EXACT(H193,'Data Base'!$V$38),EXACT(K193,'Data Base'!$X$35)),I193*1.25*1.2*1,IF(AND(EXACT(G193,'Data Base'!$T$37),OR(EXACT(H193,'Data Base'!$V$36),EXACT(H193,'Data Base'!$V$35)),EXACT(K193,'Data Base'!$X$36)),I193*1.25*1*0.75,IF(AND(EXACT(G193,'Data Base'!$T$37),EXACT(H193,'Data Base'!$V$37),EXACT(K193,'Data Base'!$X$36)),I193*1.25*0.5*0.75,IF(AND(EXACT(G193,'Data Base'!$T$37),EXACT(H193,'Data Base'!$V$38),EXACT(K193,'Data Base'!$X$36)),I193*1.25*1.2*0.75,IF(AND(EXACT(G193,'Data Base'!$T$37),OR(EXACT(H193,'Data Base'!$V$36),EXACT(H193,'Data Base'!$V$35)),EXACT(K193,'Data Base'!$X$37)),I193*1.25*1*0.5,IF(AND(EXACT(G193,'Data Base'!$T$37),EXACT(H193,'Data Base'!$V$37),EXACT(K193,'Data Base'!$X$37)),I193*1.25*0.5*0.5,IF(AND(EXACT(G193,'Data Base'!$T$37),EXACT(H193,'Data Base'!$V$38),EXACT(K193,'Data Base'!$X$37)),I193*1.25*1.2*0.5))))))))))))))))))))))))))),"")</f>
        <v/>
      </c>
    </row>
    <row r="194" spans="1:13" ht="21" customHeight="1">
      <c r="A194" s="99">
        <v>14</v>
      </c>
      <c r="B194" s="1349" t="str">
        <f t="shared" si="22"/>
        <v/>
      </c>
      <c r="C194" s="1350"/>
      <c r="D194" s="148" t="str">
        <f t="shared" si="23"/>
        <v/>
      </c>
      <c r="E194" s="1351"/>
      <c r="F194" s="1352"/>
      <c r="G194" s="165"/>
      <c r="H194" s="140"/>
      <c r="I194" s="4"/>
      <c r="J194" s="4"/>
      <c r="K194" s="140"/>
      <c r="L194" s="4" t="s">
        <v>652</v>
      </c>
      <c r="M194" s="166" t="str">
        <f>IF(AND(NOT(EXACT(D194,"")),NOT(EXACT(G194,"")),NOT(EXACT(E194,"")),NOT(EXACT(B194,"")),NOT(EXACT(I194,"")),NOT(EXACT(H194,""))),IF(AND(EXACT(G194,'Data Base'!$T$35),OR(EXACT(H194,'Data Base'!$V$36),EXACT(H194,'Data Base'!$V$35)),EXACT(K194,'Data Base'!$X$35)),I194*0.5*1*1,IF(AND(EXACT(G194,'Data Base'!$T$35),EXACT(H194,'Data Base'!$V$37),EXACT(K194,'Data Base'!$X$35)),I194*0.5*0.5*1,IF(AND(EXACT(G194,'Data Base'!$T$35),EXACT(H194,'Data Base'!$V$38),EXACT(K194,'Data Base'!$X$35)),I194*0.5*1.2*1,IF(AND(EXACT(G194,'Data Base'!$T$35),OR(EXACT(H194,'Data Base'!$V$36),EXACT(H194,'Data Base'!$V$35)),EXACT(K194,'Data Base'!$X$36)),I194*0.5*1*0.75,IF(AND(EXACT(G194,'Data Base'!$T$35),EXACT(H194,'Data Base'!$V$37),EXACT(K194,'Data Base'!$X$36)),I194*0.5*0.5*0.75,IF(AND(EXACT(G194,'Data Base'!$T$35),EXACT(H194,'Data Base'!$V$38),EXACT(K194,'Data Base'!$X$36)),I194*0.5*1.2*0.75,IF(AND(EXACT(G194,'Data Base'!$T$35),OR(EXACT(H194,'Data Base'!$V$36),EXACT(H194,'Data Base'!$V$35)),EXACT(K194,'Data Base'!$X$37)),I194*0.5*1*0.5,IF(AND(EXACT(G194,'Data Base'!$T$35),EXACT(H194,'Data Base'!$V$37),EXACT(K194,'Data Base'!$X$37)),I194*0.5*0.5*0.5,IF(AND(EXACT(G194,'Data Base'!$T$35),EXACT(H194,'Data Base'!$V$38),EXACT(K194,'Data Base'!$X$37)),I194*0.5*1.2*0.5,IF(AND(EXACT(G194,'Data Base'!$T$36),OR(EXACT(H194,'Data Base'!$V$36),EXACT(H194,'Data Base'!$V$35)),EXACT(K194,'Data Base'!$X$35)),I194*1*1*1,IF(AND(EXACT(G194,'Data Base'!$T$36),EXACT(H194,'Data Base'!$V$37),EXACT(K194,'Data Base'!$X$35)),I194*1*0.5*1,IF(AND(EXACT(G194,'Data Base'!$T$36),EXACT(H194,'Data Base'!$V$38),EXACT(K194,'Data Base'!$X$35)),I194*1*1.2*1,IF(AND(EXACT(G194,'Data Base'!$T$36),OR(EXACT(H194,'Data Base'!$V$36),EXACT(H194,'Data Base'!$V$35)),EXACT(K194,'Data Base'!$X$36)),I194*1*1*0.75,IF(AND(EXACT(G194,'Data Base'!$T$36),EXACT(H194,'Data Base'!$V$37),EXACT(K194,'Data Base'!$X$36)),I194*1*0.5*0.75,IF(AND(EXACT(G194,'Data Base'!$T$36),EXACT(H194,'Data Base'!$V$38),EXACT(K194,'Data Base'!$X$36)),I194*1*1.2*0.75,IF(AND(EXACT(G194,'Data Base'!$T$36),OR(EXACT(H194,'Data Base'!$V$36),EXACT(H194,'Data Base'!$V$35)),EXACT(K194,'Data Base'!$X$37)),I194*1*1*0.5,IF(AND(EXACT(G194,'Data Base'!$T$36),EXACT(H194,'Data Base'!$V$37),EXACT(K194,'Data Base'!$X$37)),I194*1*0.5*0.5,IF(AND(EXACT(G194,'Data Base'!$T$36),EXACT(H194,'Data Base'!$V$38),EXACT(K194,'Data Base'!$X$37)),I194*1*1.2*0.5,IF(AND(EXACT(G194,'Data Base'!$T$37),OR(EXACT(H194,'Data Base'!$V$36),EXACT(H194,'Data Base'!$V$35)),EXACT(K194,'Data Base'!$X$35)),I194*1.25*1*1,IF(AND(EXACT(G194,'Data Base'!$T$37),EXACT(H194,'Data Base'!$V$37),EXACT(K194,'Data Base'!$X$35)),I194*1.25*0.5*1,IF(AND(EXACT(G194,'Data Base'!$T$37),EXACT(H194,'Data Base'!$V$38),EXACT(K194,'Data Base'!$X$35)),I194*1.25*1.2*1,IF(AND(EXACT(G194,'Data Base'!$T$37),OR(EXACT(H194,'Data Base'!$V$36),EXACT(H194,'Data Base'!$V$35)),EXACT(K194,'Data Base'!$X$36)),I194*1.25*1*0.75,IF(AND(EXACT(G194,'Data Base'!$T$37),EXACT(H194,'Data Base'!$V$37),EXACT(K194,'Data Base'!$X$36)),I194*1.25*0.5*0.75,IF(AND(EXACT(G194,'Data Base'!$T$37),EXACT(H194,'Data Base'!$V$38),EXACT(K194,'Data Base'!$X$36)),I194*1.25*1.2*0.75,IF(AND(EXACT(G194,'Data Base'!$T$37),OR(EXACT(H194,'Data Base'!$V$36),EXACT(H194,'Data Base'!$V$35)),EXACT(K194,'Data Base'!$X$37)),I194*1.25*1*0.5,IF(AND(EXACT(G194,'Data Base'!$T$37),EXACT(H194,'Data Base'!$V$37),EXACT(K194,'Data Base'!$X$37)),I194*1.25*0.5*0.5,IF(AND(EXACT(G194,'Data Base'!$T$37),EXACT(H194,'Data Base'!$V$38),EXACT(K194,'Data Base'!$X$37)),I194*1.25*1.2*0.5))))))))))))))))))))))))))),"")</f>
        <v/>
      </c>
    </row>
    <row r="195" spans="1:13" ht="21" customHeight="1" thickBot="1">
      <c r="A195" s="106">
        <v>15</v>
      </c>
      <c r="B195" s="1355" t="str">
        <f t="shared" si="22"/>
        <v/>
      </c>
      <c r="C195" s="1356"/>
      <c r="D195" s="107" t="str">
        <f t="shared" si="23"/>
        <v/>
      </c>
      <c r="E195" s="1357"/>
      <c r="F195" s="1358"/>
      <c r="G195" s="167"/>
      <c r="H195" s="108"/>
      <c r="I195" s="105"/>
      <c r="J195" s="105"/>
      <c r="K195" s="108"/>
      <c r="L195" s="105" t="s">
        <v>652</v>
      </c>
      <c r="M195" s="168" t="str">
        <f>IF(AND(NOT(EXACT(D195,"")),NOT(EXACT(G195,"")),NOT(EXACT(E195,"")),NOT(EXACT(B195,"")),NOT(EXACT(I195,"")),NOT(EXACT(H195,""))),IF(AND(EXACT(G195,'Data Base'!$T$35),OR(EXACT(H195,'Data Base'!$V$36),EXACT(H195,'Data Base'!$V$35)),EXACT(K195,'Data Base'!$X$35)),I195*0.5*1*1,IF(AND(EXACT(G195,'Data Base'!$T$35),EXACT(H195,'Data Base'!$V$37),EXACT(K195,'Data Base'!$X$35)),I195*0.5*0.5*1,IF(AND(EXACT(G195,'Data Base'!$T$35),EXACT(H195,'Data Base'!$V$38),EXACT(K195,'Data Base'!$X$35)),I195*0.5*1.2*1,IF(AND(EXACT(G195,'Data Base'!$T$35),OR(EXACT(H195,'Data Base'!$V$36),EXACT(H195,'Data Base'!$V$35)),EXACT(K195,'Data Base'!$X$36)),I195*0.5*1*0.75,IF(AND(EXACT(G195,'Data Base'!$T$35),EXACT(H195,'Data Base'!$V$37),EXACT(K195,'Data Base'!$X$36)),I195*0.5*0.5*0.75,IF(AND(EXACT(G195,'Data Base'!$T$35),EXACT(H195,'Data Base'!$V$38),EXACT(K195,'Data Base'!$X$36)),I195*0.5*1.2*0.75,IF(AND(EXACT(G195,'Data Base'!$T$35),OR(EXACT(H195,'Data Base'!$V$36),EXACT(H195,'Data Base'!$V$35)),EXACT(K195,'Data Base'!$X$37)),I195*0.5*1*0.5,IF(AND(EXACT(G195,'Data Base'!$T$35),EXACT(H195,'Data Base'!$V$37),EXACT(K195,'Data Base'!$X$37)),I195*0.5*0.5*0.5,IF(AND(EXACT(G195,'Data Base'!$T$35),EXACT(H195,'Data Base'!$V$38),EXACT(K195,'Data Base'!$X$37)),I195*0.5*1.2*0.5,IF(AND(EXACT(G195,'Data Base'!$T$36),OR(EXACT(H195,'Data Base'!$V$36),EXACT(H195,'Data Base'!$V$35)),EXACT(K195,'Data Base'!$X$35)),I195*1*1*1,IF(AND(EXACT(G195,'Data Base'!$T$36),EXACT(H195,'Data Base'!$V$37),EXACT(K195,'Data Base'!$X$35)),I195*1*0.5*1,IF(AND(EXACT(G195,'Data Base'!$T$36),EXACT(H195,'Data Base'!$V$38),EXACT(K195,'Data Base'!$X$35)),I195*1*1.2*1,IF(AND(EXACT(G195,'Data Base'!$T$36),OR(EXACT(H195,'Data Base'!$V$36),EXACT(H195,'Data Base'!$V$35)),EXACT(K195,'Data Base'!$X$36)),I195*1*1*0.75,IF(AND(EXACT(G195,'Data Base'!$T$36),EXACT(H195,'Data Base'!$V$37),EXACT(K195,'Data Base'!$X$36)),I195*1*0.5*0.75,IF(AND(EXACT(G195,'Data Base'!$T$36),EXACT(H195,'Data Base'!$V$38),EXACT(K195,'Data Base'!$X$36)),I195*1*1.2*0.75,IF(AND(EXACT(G195,'Data Base'!$T$36),OR(EXACT(H195,'Data Base'!$V$36),EXACT(H195,'Data Base'!$V$35)),EXACT(K195,'Data Base'!$X$37)),I195*1*1*0.5,IF(AND(EXACT(G195,'Data Base'!$T$36),EXACT(H195,'Data Base'!$V$37),EXACT(K195,'Data Base'!$X$37)),I195*1*0.5*0.5,IF(AND(EXACT(G195,'Data Base'!$T$36),EXACT(H195,'Data Base'!$V$38),EXACT(K195,'Data Base'!$X$37)),I195*1*1.2*0.5,IF(AND(EXACT(G195,'Data Base'!$T$37),OR(EXACT(H195,'Data Base'!$V$36),EXACT(H195,'Data Base'!$V$35)),EXACT(K195,'Data Base'!$X$35)),I195*1.25*1*1,IF(AND(EXACT(G195,'Data Base'!$T$37),EXACT(H195,'Data Base'!$V$37),EXACT(K195,'Data Base'!$X$35)),I195*1.25*0.5*1,IF(AND(EXACT(G195,'Data Base'!$T$37),EXACT(H195,'Data Base'!$V$38),EXACT(K195,'Data Base'!$X$35)),I195*1.25*1.2*1,IF(AND(EXACT(G195,'Data Base'!$T$37),OR(EXACT(H195,'Data Base'!$V$36),EXACT(H195,'Data Base'!$V$35)),EXACT(K195,'Data Base'!$X$36)),I195*1.25*1*0.75,IF(AND(EXACT(G195,'Data Base'!$T$37),EXACT(H195,'Data Base'!$V$37),EXACT(K195,'Data Base'!$X$36)),I195*1.25*0.5*0.75,IF(AND(EXACT(G195,'Data Base'!$T$37),EXACT(H195,'Data Base'!$V$38),EXACT(K195,'Data Base'!$X$36)),I195*1.25*1.2*0.75,IF(AND(EXACT(G195,'Data Base'!$T$37),OR(EXACT(H195,'Data Base'!$V$36),EXACT(H195,'Data Base'!$V$35)),EXACT(K195,'Data Base'!$X$37)),I195*1.25*1*0.5,IF(AND(EXACT(G195,'Data Base'!$T$37),EXACT(H195,'Data Base'!$V$37),EXACT(K195,'Data Base'!$X$37)),I195*1.25*0.5*0.5,IF(AND(EXACT(G195,'Data Base'!$T$37),EXACT(H195,'Data Base'!$V$38),EXACT(K195,'Data Base'!$X$37)),I195*1.25*1.2*0.5))))))))))))))))))))))))))),"")</f>
        <v/>
      </c>
    </row>
    <row r="196" spans="1:13" ht="21" customHeight="1" thickBot="1">
      <c r="A196" s="1359" t="s">
        <v>653</v>
      </c>
      <c r="B196" s="1360"/>
      <c r="C196" s="1360"/>
      <c r="D196" s="1360"/>
      <c r="E196" s="1360"/>
      <c r="F196" s="1360"/>
      <c r="G196" s="1360"/>
      <c r="H196" s="1360"/>
      <c r="I196" s="109">
        <f>B181</f>
        <v>0</v>
      </c>
      <c r="J196" s="109">
        <f>D181</f>
        <v>0</v>
      </c>
      <c r="K196" s="1361"/>
      <c r="L196" s="1362"/>
      <c r="M196" s="110">
        <f>IF(SUM(M181:M195)&gt;5,5,SUM(M181:M195))</f>
        <v>0</v>
      </c>
    </row>
    <row r="197" spans="1:13" ht="21" customHeight="1">
      <c r="A197" s="97">
        <v>1</v>
      </c>
      <c r="B197" s="1363"/>
      <c r="C197" s="1364"/>
      <c r="D197" s="104"/>
      <c r="E197" s="1353"/>
      <c r="F197" s="1354"/>
      <c r="G197" s="169"/>
      <c r="H197" s="104"/>
      <c r="I197" s="98"/>
      <c r="J197" s="98"/>
      <c r="K197" s="104"/>
      <c r="L197" s="98" t="s">
        <v>652</v>
      </c>
      <c r="M197" s="166" t="str">
        <f>IF(AND(NOT(EXACT(D197,"")),NOT(EXACT(G197,"")),NOT(EXACT(E197,"")),NOT(EXACT(B197,"")),NOT(EXACT(I197,"")),NOT(EXACT(H197,""))),IF(AND(EXACT(G197,'Data Base'!$T$35),OR(EXACT(H197,'Data Base'!$V$36),EXACT(H197,'Data Base'!$V$35)),EXACT(K197,'Data Base'!$X$35)),I197*0.5*1*1,IF(AND(EXACT(G197,'Data Base'!$T$35),EXACT(H197,'Data Base'!$V$37),EXACT(K197,'Data Base'!$X$35)),I197*0.5*0.5*1,IF(AND(EXACT(G197,'Data Base'!$T$35),EXACT(H197,'Data Base'!$V$38),EXACT(K197,'Data Base'!$X$35)),I197*0.5*1.2*1,IF(AND(EXACT(G197,'Data Base'!$T$35),OR(EXACT(H197,'Data Base'!$V$36),EXACT(H197,'Data Base'!$V$35)),EXACT(K197,'Data Base'!$X$36)),I197*0.5*1*0.75,IF(AND(EXACT(G197,'Data Base'!$T$35),EXACT(H197,'Data Base'!$V$37),EXACT(K197,'Data Base'!$X$36)),I197*0.5*0.5*0.75,IF(AND(EXACT(G197,'Data Base'!$T$35),EXACT(H197,'Data Base'!$V$38),EXACT(K197,'Data Base'!$X$36)),I197*0.5*1.2*0.75,IF(AND(EXACT(G197,'Data Base'!$T$35),OR(EXACT(H197,'Data Base'!$V$36),EXACT(H197,'Data Base'!$V$35)),EXACT(K197,'Data Base'!$X$37)),I197*0.5*1*0.5,IF(AND(EXACT(G197,'Data Base'!$T$35),EXACT(H197,'Data Base'!$V$37),EXACT(K197,'Data Base'!$X$37)),I197*0.5*0.5*0.5,IF(AND(EXACT(G197,'Data Base'!$T$35),EXACT(H197,'Data Base'!$V$38),EXACT(K197,'Data Base'!$X$37)),I197*0.5*1.2*0.5,IF(AND(EXACT(G197,'Data Base'!$T$36),OR(EXACT(H197,'Data Base'!$V$36),EXACT(H197,'Data Base'!$V$35)),EXACT(K197,'Data Base'!$X$35)),I197*1*1*1,IF(AND(EXACT(G197,'Data Base'!$T$36),EXACT(H197,'Data Base'!$V$37),EXACT(K197,'Data Base'!$X$35)),I197*1*0.5*1,IF(AND(EXACT(G197,'Data Base'!$T$36),EXACT(H197,'Data Base'!$V$38),EXACT(K197,'Data Base'!$X$35)),I197*1*1.2*1,IF(AND(EXACT(G197,'Data Base'!$T$36),OR(EXACT(H197,'Data Base'!$V$36),EXACT(H197,'Data Base'!$V$35)),EXACT(K197,'Data Base'!$X$36)),I197*1*1*0.75,IF(AND(EXACT(G197,'Data Base'!$T$36),EXACT(H197,'Data Base'!$V$37),EXACT(K197,'Data Base'!$X$36)),I197*1*0.5*0.75,IF(AND(EXACT(G197,'Data Base'!$T$36),EXACT(H197,'Data Base'!$V$38),EXACT(K197,'Data Base'!$X$36)),I197*1*1.2*0.75,IF(AND(EXACT(G197,'Data Base'!$T$36),OR(EXACT(H197,'Data Base'!$V$36),EXACT(H197,'Data Base'!$V$35)),EXACT(K197,'Data Base'!$X$37)),I197*1*1*0.5,IF(AND(EXACT(G197,'Data Base'!$T$36),EXACT(H197,'Data Base'!$V$37),EXACT(K197,'Data Base'!$X$37)),I197*1*0.5*0.5,IF(AND(EXACT(G197,'Data Base'!$T$36),EXACT(H197,'Data Base'!$V$38),EXACT(K197,'Data Base'!$X$37)),I197*1*1.2*0.5,IF(AND(EXACT(G197,'Data Base'!$T$37),OR(EXACT(H197,'Data Base'!$V$36),EXACT(H197,'Data Base'!$V$35)),EXACT(K197,'Data Base'!$X$35)),I197*1.25*1*1,IF(AND(EXACT(G197,'Data Base'!$T$37),EXACT(H197,'Data Base'!$V$37),EXACT(K197,'Data Base'!$X$35)),I197*1.25*0.5*1,IF(AND(EXACT(G197,'Data Base'!$T$37),EXACT(H197,'Data Base'!$V$38),EXACT(K197,'Data Base'!$X$35)),I197*1.25*1.2*1,IF(AND(EXACT(G197,'Data Base'!$T$37),OR(EXACT(H197,'Data Base'!$V$36),EXACT(H197,'Data Base'!$V$35)),EXACT(K197,'Data Base'!$X$36)),I197*1.25*1*0.75,IF(AND(EXACT(G197,'Data Base'!$T$37),EXACT(H197,'Data Base'!$V$37),EXACT(K197,'Data Base'!$X$36)),I197*1.25*0.5*0.75,IF(AND(EXACT(G197,'Data Base'!$T$37),EXACT(H197,'Data Base'!$V$38),EXACT(K197,'Data Base'!$X$36)),I197*1.25*1.2*0.75,IF(AND(EXACT(G197,'Data Base'!$T$37),OR(EXACT(H197,'Data Base'!$V$36),EXACT(H197,'Data Base'!$V$35)),EXACT(K197,'Data Base'!$X$37)),I197*1.25*1*0.5,IF(AND(EXACT(G197,'Data Base'!$T$37),EXACT(H197,'Data Base'!$V$37),EXACT(K197,'Data Base'!$X$37)),I197*1.25*0.5*0.5,IF(AND(EXACT(G197,'Data Base'!$T$37),EXACT(H197,'Data Base'!$V$38),EXACT(K197,'Data Base'!$X$37)),I197*1.25*1.2*0.5))))))))))))))))))))))))))),"")</f>
        <v/>
      </c>
    </row>
    <row r="198" spans="1:13" ht="21" customHeight="1">
      <c r="A198" s="99">
        <v>2</v>
      </c>
      <c r="B198" s="1349" t="str">
        <f t="shared" ref="B198:B211" si="24">IF(NOT(EXACT(D198,"")),B197,"")</f>
        <v/>
      </c>
      <c r="C198" s="1350"/>
      <c r="D198" s="148" t="str">
        <f t="shared" ref="D198:D211" si="25">IF(NOT(EXACT(E198,"")),D197,"")</f>
        <v/>
      </c>
      <c r="E198" s="1365"/>
      <c r="F198" s="1365"/>
      <c r="G198" s="165"/>
      <c r="H198" s="140"/>
      <c r="I198" s="4"/>
      <c r="J198" s="4"/>
      <c r="K198" s="140"/>
      <c r="L198" s="4" t="s">
        <v>652</v>
      </c>
      <c r="M198" s="166" t="str">
        <f>IF(AND(NOT(EXACT(D198,"")),NOT(EXACT(G198,"")),NOT(EXACT(E198,"")),NOT(EXACT(B198,"")),NOT(EXACT(I198,"")),NOT(EXACT(H198,""))),IF(AND(EXACT(G198,'Data Base'!$T$35),OR(EXACT(H198,'Data Base'!$V$36),EXACT(H198,'Data Base'!$V$35)),EXACT(K198,'Data Base'!$X$35)),I198*0.5*1*1,IF(AND(EXACT(G198,'Data Base'!$T$35),EXACT(H198,'Data Base'!$V$37),EXACT(K198,'Data Base'!$X$35)),I198*0.5*0.5*1,IF(AND(EXACT(G198,'Data Base'!$T$35),EXACT(H198,'Data Base'!$V$38),EXACT(K198,'Data Base'!$X$35)),I198*0.5*1.2*1,IF(AND(EXACT(G198,'Data Base'!$T$35),OR(EXACT(H198,'Data Base'!$V$36),EXACT(H198,'Data Base'!$V$35)),EXACT(K198,'Data Base'!$X$36)),I198*0.5*1*0.75,IF(AND(EXACT(G198,'Data Base'!$T$35),EXACT(H198,'Data Base'!$V$37),EXACT(K198,'Data Base'!$X$36)),I198*0.5*0.5*0.75,IF(AND(EXACT(G198,'Data Base'!$T$35),EXACT(H198,'Data Base'!$V$38),EXACT(K198,'Data Base'!$X$36)),I198*0.5*1.2*0.75,IF(AND(EXACT(G198,'Data Base'!$T$35),OR(EXACT(H198,'Data Base'!$V$36),EXACT(H198,'Data Base'!$V$35)),EXACT(K198,'Data Base'!$X$37)),I198*0.5*1*0.5,IF(AND(EXACT(G198,'Data Base'!$T$35),EXACT(H198,'Data Base'!$V$37),EXACT(K198,'Data Base'!$X$37)),I198*0.5*0.5*0.5,IF(AND(EXACT(G198,'Data Base'!$T$35),EXACT(H198,'Data Base'!$V$38),EXACT(K198,'Data Base'!$X$37)),I198*0.5*1.2*0.5,IF(AND(EXACT(G198,'Data Base'!$T$36),OR(EXACT(H198,'Data Base'!$V$36),EXACT(H198,'Data Base'!$V$35)),EXACT(K198,'Data Base'!$X$35)),I198*1*1*1,IF(AND(EXACT(G198,'Data Base'!$T$36),EXACT(H198,'Data Base'!$V$37),EXACT(K198,'Data Base'!$X$35)),I198*1*0.5*1,IF(AND(EXACT(G198,'Data Base'!$T$36),EXACT(H198,'Data Base'!$V$38),EXACT(K198,'Data Base'!$X$35)),I198*1*1.2*1,IF(AND(EXACT(G198,'Data Base'!$T$36),OR(EXACT(H198,'Data Base'!$V$36),EXACT(H198,'Data Base'!$V$35)),EXACT(K198,'Data Base'!$X$36)),I198*1*1*0.75,IF(AND(EXACT(G198,'Data Base'!$T$36),EXACT(H198,'Data Base'!$V$37),EXACT(K198,'Data Base'!$X$36)),I198*1*0.5*0.75,IF(AND(EXACT(G198,'Data Base'!$T$36),EXACT(H198,'Data Base'!$V$38),EXACT(K198,'Data Base'!$X$36)),I198*1*1.2*0.75,IF(AND(EXACT(G198,'Data Base'!$T$36),OR(EXACT(H198,'Data Base'!$V$36),EXACT(H198,'Data Base'!$V$35)),EXACT(K198,'Data Base'!$X$37)),I198*1*1*0.5,IF(AND(EXACT(G198,'Data Base'!$T$36),EXACT(H198,'Data Base'!$V$37),EXACT(K198,'Data Base'!$X$37)),I198*1*0.5*0.5,IF(AND(EXACT(G198,'Data Base'!$T$36),EXACT(H198,'Data Base'!$V$38),EXACT(K198,'Data Base'!$X$37)),I198*1*1.2*0.5,IF(AND(EXACT(G198,'Data Base'!$T$37),OR(EXACT(H198,'Data Base'!$V$36),EXACT(H198,'Data Base'!$V$35)),EXACT(K198,'Data Base'!$X$35)),I198*1.25*1*1,IF(AND(EXACT(G198,'Data Base'!$T$37),EXACT(H198,'Data Base'!$V$37),EXACT(K198,'Data Base'!$X$35)),I198*1.25*0.5*1,IF(AND(EXACT(G198,'Data Base'!$T$37),EXACT(H198,'Data Base'!$V$38),EXACT(K198,'Data Base'!$X$35)),I198*1.25*1.2*1,IF(AND(EXACT(G198,'Data Base'!$T$37),OR(EXACT(H198,'Data Base'!$V$36),EXACT(H198,'Data Base'!$V$35)),EXACT(K198,'Data Base'!$X$36)),I198*1.25*1*0.75,IF(AND(EXACT(G198,'Data Base'!$T$37),EXACT(H198,'Data Base'!$V$37),EXACT(K198,'Data Base'!$X$36)),I198*1.25*0.5*0.75,IF(AND(EXACT(G198,'Data Base'!$T$37),EXACT(H198,'Data Base'!$V$38),EXACT(K198,'Data Base'!$X$36)),I198*1.25*1.2*0.75,IF(AND(EXACT(G198,'Data Base'!$T$37),OR(EXACT(H198,'Data Base'!$V$36),EXACT(H198,'Data Base'!$V$35)),EXACT(K198,'Data Base'!$X$37)),I198*1.25*1*0.5,IF(AND(EXACT(G198,'Data Base'!$T$37),EXACT(H198,'Data Base'!$V$37),EXACT(K198,'Data Base'!$X$37)),I198*1.25*0.5*0.5,IF(AND(EXACT(G198,'Data Base'!$T$37),EXACT(H198,'Data Base'!$V$38),EXACT(K198,'Data Base'!$X$37)),I198*1.25*1.2*0.5))))))))))))))))))))))))))),"")</f>
        <v/>
      </c>
    </row>
    <row r="199" spans="1:13" ht="21" customHeight="1">
      <c r="A199" s="99">
        <v>3</v>
      </c>
      <c r="B199" s="1349" t="str">
        <f t="shared" si="24"/>
        <v/>
      </c>
      <c r="C199" s="1350"/>
      <c r="D199" s="148" t="str">
        <f t="shared" si="25"/>
        <v/>
      </c>
      <c r="E199" s="1351"/>
      <c r="F199" s="1352"/>
      <c r="G199" s="165"/>
      <c r="H199" s="140"/>
      <c r="I199" s="4"/>
      <c r="J199" s="4"/>
      <c r="K199" s="140"/>
      <c r="L199" s="4" t="s">
        <v>652</v>
      </c>
      <c r="M199" s="166" t="str">
        <f>IF(AND(NOT(EXACT(D199,"")),NOT(EXACT(G199,"")),NOT(EXACT(E199,"")),NOT(EXACT(B199,"")),NOT(EXACT(I199,"")),NOT(EXACT(H199,""))),IF(AND(EXACT(G199,'Data Base'!$T$35),OR(EXACT(H199,'Data Base'!$V$36),EXACT(H199,'Data Base'!$V$35)),EXACT(K199,'Data Base'!$X$35)),I199*0.5*1*1,IF(AND(EXACT(G199,'Data Base'!$T$35),EXACT(H199,'Data Base'!$V$37),EXACT(K199,'Data Base'!$X$35)),I199*0.5*0.5*1,IF(AND(EXACT(G199,'Data Base'!$T$35),EXACT(H199,'Data Base'!$V$38),EXACT(K199,'Data Base'!$X$35)),I199*0.5*1.2*1,IF(AND(EXACT(G199,'Data Base'!$T$35),OR(EXACT(H199,'Data Base'!$V$36),EXACT(H199,'Data Base'!$V$35)),EXACT(K199,'Data Base'!$X$36)),I199*0.5*1*0.75,IF(AND(EXACT(G199,'Data Base'!$T$35),EXACT(H199,'Data Base'!$V$37),EXACT(K199,'Data Base'!$X$36)),I199*0.5*0.5*0.75,IF(AND(EXACT(G199,'Data Base'!$T$35),EXACT(H199,'Data Base'!$V$38),EXACT(K199,'Data Base'!$X$36)),I199*0.5*1.2*0.75,IF(AND(EXACT(G199,'Data Base'!$T$35),OR(EXACT(H199,'Data Base'!$V$36),EXACT(H199,'Data Base'!$V$35)),EXACT(K199,'Data Base'!$X$37)),I199*0.5*1*0.5,IF(AND(EXACT(G199,'Data Base'!$T$35),EXACT(H199,'Data Base'!$V$37),EXACT(K199,'Data Base'!$X$37)),I199*0.5*0.5*0.5,IF(AND(EXACT(G199,'Data Base'!$T$35),EXACT(H199,'Data Base'!$V$38),EXACT(K199,'Data Base'!$X$37)),I199*0.5*1.2*0.5,IF(AND(EXACT(G199,'Data Base'!$T$36),OR(EXACT(H199,'Data Base'!$V$36),EXACT(H199,'Data Base'!$V$35)),EXACT(K199,'Data Base'!$X$35)),I199*1*1*1,IF(AND(EXACT(G199,'Data Base'!$T$36),EXACT(H199,'Data Base'!$V$37),EXACT(K199,'Data Base'!$X$35)),I199*1*0.5*1,IF(AND(EXACT(G199,'Data Base'!$T$36),EXACT(H199,'Data Base'!$V$38),EXACT(K199,'Data Base'!$X$35)),I199*1*1.2*1,IF(AND(EXACT(G199,'Data Base'!$T$36),OR(EXACT(H199,'Data Base'!$V$36),EXACT(H199,'Data Base'!$V$35)),EXACT(K199,'Data Base'!$X$36)),I199*1*1*0.75,IF(AND(EXACT(G199,'Data Base'!$T$36),EXACT(H199,'Data Base'!$V$37),EXACT(K199,'Data Base'!$X$36)),I199*1*0.5*0.75,IF(AND(EXACT(G199,'Data Base'!$T$36),EXACT(H199,'Data Base'!$V$38),EXACT(K199,'Data Base'!$X$36)),I199*1*1.2*0.75,IF(AND(EXACT(G199,'Data Base'!$T$36),OR(EXACT(H199,'Data Base'!$V$36),EXACT(H199,'Data Base'!$V$35)),EXACT(K199,'Data Base'!$X$37)),I199*1*1*0.5,IF(AND(EXACT(G199,'Data Base'!$T$36),EXACT(H199,'Data Base'!$V$37),EXACT(K199,'Data Base'!$X$37)),I199*1*0.5*0.5,IF(AND(EXACT(G199,'Data Base'!$T$36),EXACT(H199,'Data Base'!$V$38),EXACT(K199,'Data Base'!$X$37)),I199*1*1.2*0.5,IF(AND(EXACT(G199,'Data Base'!$T$37),OR(EXACT(H199,'Data Base'!$V$36),EXACT(H199,'Data Base'!$V$35)),EXACT(K199,'Data Base'!$X$35)),I199*1.25*1*1,IF(AND(EXACT(G199,'Data Base'!$T$37),EXACT(H199,'Data Base'!$V$37),EXACT(K199,'Data Base'!$X$35)),I199*1.25*0.5*1,IF(AND(EXACT(G199,'Data Base'!$T$37),EXACT(H199,'Data Base'!$V$38),EXACT(K199,'Data Base'!$X$35)),I199*1.25*1.2*1,IF(AND(EXACT(G199,'Data Base'!$T$37),OR(EXACT(H199,'Data Base'!$V$36),EXACT(H199,'Data Base'!$V$35)),EXACT(K199,'Data Base'!$X$36)),I199*1.25*1*0.75,IF(AND(EXACT(G199,'Data Base'!$T$37),EXACT(H199,'Data Base'!$V$37),EXACT(K199,'Data Base'!$X$36)),I199*1.25*0.5*0.75,IF(AND(EXACT(G199,'Data Base'!$T$37),EXACT(H199,'Data Base'!$V$38),EXACT(K199,'Data Base'!$X$36)),I199*1.25*1.2*0.75,IF(AND(EXACT(G199,'Data Base'!$T$37),OR(EXACT(H199,'Data Base'!$V$36),EXACT(H199,'Data Base'!$V$35)),EXACT(K199,'Data Base'!$X$37)),I199*1.25*1*0.5,IF(AND(EXACT(G199,'Data Base'!$T$37),EXACT(H199,'Data Base'!$V$37),EXACT(K199,'Data Base'!$X$37)),I199*1.25*0.5*0.5,IF(AND(EXACT(G199,'Data Base'!$T$37),EXACT(H199,'Data Base'!$V$38),EXACT(K199,'Data Base'!$X$37)),I199*1.25*1.2*0.5))))))))))))))))))))))))))),"")</f>
        <v/>
      </c>
    </row>
    <row r="200" spans="1:13" ht="21" customHeight="1">
      <c r="A200" s="97">
        <v>4</v>
      </c>
      <c r="B200" s="1349" t="str">
        <f t="shared" si="24"/>
        <v/>
      </c>
      <c r="C200" s="1350"/>
      <c r="D200" s="148" t="str">
        <f t="shared" si="25"/>
        <v/>
      </c>
      <c r="E200" s="1351"/>
      <c r="F200" s="1352"/>
      <c r="G200" s="165"/>
      <c r="H200" s="140"/>
      <c r="I200" s="4"/>
      <c r="J200" s="4"/>
      <c r="K200" s="140"/>
      <c r="L200" s="4" t="s">
        <v>652</v>
      </c>
      <c r="M200" s="166" t="str">
        <f>IF(AND(NOT(EXACT(D200,"")),NOT(EXACT(G200,"")),NOT(EXACT(E200,"")),NOT(EXACT(B200,"")),NOT(EXACT(I200,"")),NOT(EXACT(H200,""))),IF(AND(EXACT(G200,'Data Base'!$T$35),OR(EXACT(H200,'Data Base'!$V$36),EXACT(H200,'Data Base'!$V$35)),EXACT(K200,'Data Base'!$X$35)),I200*0.5*1*1,IF(AND(EXACT(G200,'Data Base'!$T$35),EXACT(H200,'Data Base'!$V$37),EXACT(K200,'Data Base'!$X$35)),I200*0.5*0.5*1,IF(AND(EXACT(G200,'Data Base'!$T$35),EXACT(H200,'Data Base'!$V$38),EXACT(K200,'Data Base'!$X$35)),I200*0.5*1.2*1,IF(AND(EXACT(G200,'Data Base'!$T$35),OR(EXACT(H200,'Data Base'!$V$36),EXACT(H200,'Data Base'!$V$35)),EXACT(K200,'Data Base'!$X$36)),I200*0.5*1*0.75,IF(AND(EXACT(G200,'Data Base'!$T$35),EXACT(H200,'Data Base'!$V$37),EXACT(K200,'Data Base'!$X$36)),I200*0.5*0.5*0.75,IF(AND(EXACT(G200,'Data Base'!$T$35),EXACT(H200,'Data Base'!$V$38),EXACT(K200,'Data Base'!$X$36)),I200*0.5*1.2*0.75,IF(AND(EXACT(G200,'Data Base'!$T$35),OR(EXACT(H200,'Data Base'!$V$36),EXACT(H200,'Data Base'!$V$35)),EXACT(K200,'Data Base'!$X$37)),I200*0.5*1*0.5,IF(AND(EXACT(G200,'Data Base'!$T$35),EXACT(H200,'Data Base'!$V$37),EXACT(K200,'Data Base'!$X$37)),I200*0.5*0.5*0.5,IF(AND(EXACT(G200,'Data Base'!$T$35),EXACT(H200,'Data Base'!$V$38),EXACT(K200,'Data Base'!$X$37)),I200*0.5*1.2*0.5,IF(AND(EXACT(G200,'Data Base'!$T$36),OR(EXACT(H200,'Data Base'!$V$36),EXACT(H200,'Data Base'!$V$35)),EXACT(K200,'Data Base'!$X$35)),I200*1*1*1,IF(AND(EXACT(G200,'Data Base'!$T$36),EXACT(H200,'Data Base'!$V$37),EXACT(K200,'Data Base'!$X$35)),I200*1*0.5*1,IF(AND(EXACT(G200,'Data Base'!$T$36),EXACT(H200,'Data Base'!$V$38),EXACT(K200,'Data Base'!$X$35)),I200*1*1.2*1,IF(AND(EXACT(G200,'Data Base'!$T$36),OR(EXACT(H200,'Data Base'!$V$36),EXACT(H200,'Data Base'!$V$35)),EXACT(K200,'Data Base'!$X$36)),I200*1*1*0.75,IF(AND(EXACT(G200,'Data Base'!$T$36),EXACT(H200,'Data Base'!$V$37),EXACT(K200,'Data Base'!$X$36)),I200*1*0.5*0.75,IF(AND(EXACT(G200,'Data Base'!$T$36),EXACT(H200,'Data Base'!$V$38),EXACT(K200,'Data Base'!$X$36)),I200*1*1.2*0.75,IF(AND(EXACT(G200,'Data Base'!$T$36),OR(EXACT(H200,'Data Base'!$V$36),EXACT(H200,'Data Base'!$V$35)),EXACT(K200,'Data Base'!$X$37)),I200*1*1*0.5,IF(AND(EXACT(G200,'Data Base'!$T$36),EXACT(H200,'Data Base'!$V$37),EXACT(K200,'Data Base'!$X$37)),I200*1*0.5*0.5,IF(AND(EXACT(G200,'Data Base'!$T$36),EXACT(H200,'Data Base'!$V$38),EXACT(K200,'Data Base'!$X$37)),I200*1*1.2*0.5,IF(AND(EXACT(G200,'Data Base'!$T$37),OR(EXACT(H200,'Data Base'!$V$36),EXACT(H200,'Data Base'!$V$35)),EXACT(K200,'Data Base'!$X$35)),I200*1.25*1*1,IF(AND(EXACT(G200,'Data Base'!$T$37),EXACT(H200,'Data Base'!$V$37),EXACT(K200,'Data Base'!$X$35)),I200*1.25*0.5*1,IF(AND(EXACT(G200,'Data Base'!$T$37),EXACT(H200,'Data Base'!$V$38),EXACT(K200,'Data Base'!$X$35)),I200*1.25*1.2*1,IF(AND(EXACT(G200,'Data Base'!$T$37),OR(EXACT(H200,'Data Base'!$V$36),EXACT(H200,'Data Base'!$V$35)),EXACT(K200,'Data Base'!$X$36)),I200*1.25*1*0.75,IF(AND(EXACT(G200,'Data Base'!$T$37),EXACT(H200,'Data Base'!$V$37),EXACT(K200,'Data Base'!$X$36)),I200*1.25*0.5*0.75,IF(AND(EXACT(G200,'Data Base'!$T$37),EXACT(H200,'Data Base'!$V$38),EXACT(K200,'Data Base'!$X$36)),I200*1.25*1.2*0.75,IF(AND(EXACT(G200,'Data Base'!$T$37),OR(EXACT(H200,'Data Base'!$V$36),EXACT(H200,'Data Base'!$V$35)),EXACT(K200,'Data Base'!$X$37)),I200*1.25*1*0.5,IF(AND(EXACT(G200,'Data Base'!$T$37),EXACT(H200,'Data Base'!$V$37),EXACT(K200,'Data Base'!$X$37)),I200*1.25*0.5*0.5,IF(AND(EXACT(G200,'Data Base'!$T$37),EXACT(H200,'Data Base'!$V$38),EXACT(K200,'Data Base'!$X$37)),I200*1.25*1.2*0.5))))))))))))))))))))))))))),"")</f>
        <v/>
      </c>
    </row>
    <row r="201" spans="1:13" ht="21" customHeight="1">
      <c r="A201" s="99">
        <v>5</v>
      </c>
      <c r="B201" s="1349" t="str">
        <f t="shared" si="24"/>
        <v/>
      </c>
      <c r="C201" s="1350"/>
      <c r="D201" s="148" t="str">
        <f t="shared" si="25"/>
        <v/>
      </c>
      <c r="E201" s="1351"/>
      <c r="F201" s="1352"/>
      <c r="G201" s="165"/>
      <c r="H201" s="140"/>
      <c r="I201" s="4"/>
      <c r="J201" s="4"/>
      <c r="K201" s="140"/>
      <c r="L201" s="4" t="s">
        <v>652</v>
      </c>
      <c r="M201" s="166" t="str">
        <f>IF(AND(NOT(EXACT(D201,"")),NOT(EXACT(G201,"")),NOT(EXACT(E201,"")),NOT(EXACT(B201,"")),NOT(EXACT(I201,"")),NOT(EXACT(H201,""))),IF(AND(EXACT(G201,'Data Base'!$T$35),OR(EXACT(H201,'Data Base'!$V$36),EXACT(H201,'Data Base'!$V$35)),EXACT(K201,'Data Base'!$X$35)),I201*0.5*1*1,IF(AND(EXACT(G201,'Data Base'!$T$35),EXACT(H201,'Data Base'!$V$37),EXACT(K201,'Data Base'!$X$35)),I201*0.5*0.5*1,IF(AND(EXACT(G201,'Data Base'!$T$35),EXACT(H201,'Data Base'!$V$38),EXACT(K201,'Data Base'!$X$35)),I201*0.5*1.2*1,IF(AND(EXACT(G201,'Data Base'!$T$35),OR(EXACT(H201,'Data Base'!$V$36),EXACT(H201,'Data Base'!$V$35)),EXACT(K201,'Data Base'!$X$36)),I201*0.5*1*0.75,IF(AND(EXACT(G201,'Data Base'!$T$35),EXACT(H201,'Data Base'!$V$37),EXACT(K201,'Data Base'!$X$36)),I201*0.5*0.5*0.75,IF(AND(EXACT(G201,'Data Base'!$T$35),EXACT(H201,'Data Base'!$V$38),EXACT(K201,'Data Base'!$X$36)),I201*0.5*1.2*0.75,IF(AND(EXACT(G201,'Data Base'!$T$35),OR(EXACT(H201,'Data Base'!$V$36),EXACT(H201,'Data Base'!$V$35)),EXACT(K201,'Data Base'!$X$37)),I201*0.5*1*0.5,IF(AND(EXACT(G201,'Data Base'!$T$35),EXACT(H201,'Data Base'!$V$37),EXACT(K201,'Data Base'!$X$37)),I201*0.5*0.5*0.5,IF(AND(EXACT(G201,'Data Base'!$T$35),EXACT(H201,'Data Base'!$V$38),EXACT(K201,'Data Base'!$X$37)),I201*0.5*1.2*0.5,IF(AND(EXACT(G201,'Data Base'!$T$36),OR(EXACT(H201,'Data Base'!$V$36),EXACT(H201,'Data Base'!$V$35)),EXACT(K201,'Data Base'!$X$35)),I201*1*1*1,IF(AND(EXACT(G201,'Data Base'!$T$36),EXACT(H201,'Data Base'!$V$37),EXACT(K201,'Data Base'!$X$35)),I201*1*0.5*1,IF(AND(EXACT(G201,'Data Base'!$T$36),EXACT(H201,'Data Base'!$V$38),EXACT(K201,'Data Base'!$X$35)),I201*1*1.2*1,IF(AND(EXACT(G201,'Data Base'!$T$36),OR(EXACT(H201,'Data Base'!$V$36),EXACT(H201,'Data Base'!$V$35)),EXACT(K201,'Data Base'!$X$36)),I201*1*1*0.75,IF(AND(EXACT(G201,'Data Base'!$T$36),EXACT(H201,'Data Base'!$V$37),EXACT(K201,'Data Base'!$X$36)),I201*1*0.5*0.75,IF(AND(EXACT(G201,'Data Base'!$T$36),EXACT(H201,'Data Base'!$V$38),EXACT(K201,'Data Base'!$X$36)),I201*1*1.2*0.75,IF(AND(EXACT(G201,'Data Base'!$T$36),OR(EXACT(H201,'Data Base'!$V$36),EXACT(H201,'Data Base'!$V$35)),EXACT(K201,'Data Base'!$X$37)),I201*1*1*0.5,IF(AND(EXACT(G201,'Data Base'!$T$36),EXACT(H201,'Data Base'!$V$37),EXACT(K201,'Data Base'!$X$37)),I201*1*0.5*0.5,IF(AND(EXACT(G201,'Data Base'!$T$36),EXACT(H201,'Data Base'!$V$38),EXACT(K201,'Data Base'!$X$37)),I201*1*1.2*0.5,IF(AND(EXACT(G201,'Data Base'!$T$37),OR(EXACT(H201,'Data Base'!$V$36),EXACT(H201,'Data Base'!$V$35)),EXACT(K201,'Data Base'!$X$35)),I201*1.25*1*1,IF(AND(EXACT(G201,'Data Base'!$T$37),EXACT(H201,'Data Base'!$V$37),EXACT(K201,'Data Base'!$X$35)),I201*1.25*0.5*1,IF(AND(EXACT(G201,'Data Base'!$T$37),EXACT(H201,'Data Base'!$V$38),EXACT(K201,'Data Base'!$X$35)),I201*1.25*1.2*1,IF(AND(EXACT(G201,'Data Base'!$T$37),OR(EXACT(H201,'Data Base'!$V$36),EXACT(H201,'Data Base'!$V$35)),EXACT(K201,'Data Base'!$X$36)),I201*1.25*1*0.75,IF(AND(EXACT(G201,'Data Base'!$T$37),EXACT(H201,'Data Base'!$V$37),EXACT(K201,'Data Base'!$X$36)),I201*1.25*0.5*0.75,IF(AND(EXACT(G201,'Data Base'!$T$37),EXACT(H201,'Data Base'!$V$38),EXACT(K201,'Data Base'!$X$36)),I201*1.25*1.2*0.75,IF(AND(EXACT(G201,'Data Base'!$T$37),OR(EXACT(H201,'Data Base'!$V$36),EXACT(H201,'Data Base'!$V$35)),EXACT(K201,'Data Base'!$X$37)),I201*1.25*1*0.5,IF(AND(EXACT(G201,'Data Base'!$T$37),EXACT(H201,'Data Base'!$V$37),EXACT(K201,'Data Base'!$X$37)),I201*1.25*0.5*0.5,IF(AND(EXACT(G201,'Data Base'!$T$37),EXACT(H201,'Data Base'!$V$38),EXACT(K201,'Data Base'!$X$37)),I201*1.25*1.2*0.5))))))))))))))))))))))))))),"")</f>
        <v/>
      </c>
    </row>
    <row r="202" spans="1:13" ht="21" customHeight="1">
      <c r="A202" s="99">
        <v>6</v>
      </c>
      <c r="B202" s="1349" t="str">
        <f t="shared" si="24"/>
        <v/>
      </c>
      <c r="C202" s="1350"/>
      <c r="D202" s="148" t="str">
        <f t="shared" si="25"/>
        <v/>
      </c>
      <c r="E202" s="1351"/>
      <c r="F202" s="1352"/>
      <c r="G202" s="165"/>
      <c r="H202" s="140"/>
      <c r="I202" s="4"/>
      <c r="J202" s="4"/>
      <c r="K202" s="140"/>
      <c r="L202" s="4" t="s">
        <v>652</v>
      </c>
      <c r="M202" s="166" t="str">
        <f>IF(AND(NOT(EXACT(D202,"")),NOT(EXACT(G202,"")),NOT(EXACT(E202,"")),NOT(EXACT(B202,"")),NOT(EXACT(I202,"")),NOT(EXACT(H202,""))),IF(AND(EXACT(G202,'Data Base'!$T$35),OR(EXACT(H202,'Data Base'!$V$36),EXACT(H202,'Data Base'!$V$35)),EXACT(K202,'Data Base'!$X$35)),I202*0.5*1*1,IF(AND(EXACT(G202,'Data Base'!$T$35),EXACT(H202,'Data Base'!$V$37),EXACT(K202,'Data Base'!$X$35)),I202*0.5*0.5*1,IF(AND(EXACT(G202,'Data Base'!$T$35),EXACT(H202,'Data Base'!$V$38),EXACT(K202,'Data Base'!$X$35)),I202*0.5*1.2*1,IF(AND(EXACT(G202,'Data Base'!$T$35),OR(EXACT(H202,'Data Base'!$V$36),EXACT(H202,'Data Base'!$V$35)),EXACT(K202,'Data Base'!$X$36)),I202*0.5*1*0.75,IF(AND(EXACT(G202,'Data Base'!$T$35),EXACT(H202,'Data Base'!$V$37),EXACT(K202,'Data Base'!$X$36)),I202*0.5*0.5*0.75,IF(AND(EXACT(G202,'Data Base'!$T$35),EXACT(H202,'Data Base'!$V$38),EXACT(K202,'Data Base'!$X$36)),I202*0.5*1.2*0.75,IF(AND(EXACT(G202,'Data Base'!$T$35),OR(EXACT(H202,'Data Base'!$V$36),EXACT(H202,'Data Base'!$V$35)),EXACT(K202,'Data Base'!$X$37)),I202*0.5*1*0.5,IF(AND(EXACT(G202,'Data Base'!$T$35),EXACT(H202,'Data Base'!$V$37),EXACT(K202,'Data Base'!$X$37)),I202*0.5*0.5*0.5,IF(AND(EXACT(G202,'Data Base'!$T$35),EXACT(H202,'Data Base'!$V$38),EXACT(K202,'Data Base'!$X$37)),I202*0.5*1.2*0.5,IF(AND(EXACT(G202,'Data Base'!$T$36),OR(EXACT(H202,'Data Base'!$V$36),EXACT(H202,'Data Base'!$V$35)),EXACT(K202,'Data Base'!$X$35)),I202*1*1*1,IF(AND(EXACT(G202,'Data Base'!$T$36),EXACT(H202,'Data Base'!$V$37),EXACT(K202,'Data Base'!$X$35)),I202*1*0.5*1,IF(AND(EXACT(G202,'Data Base'!$T$36),EXACT(H202,'Data Base'!$V$38),EXACT(K202,'Data Base'!$X$35)),I202*1*1.2*1,IF(AND(EXACT(G202,'Data Base'!$T$36),OR(EXACT(H202,'Data Base'!$V$36),EXACT(H202,'Data Base'!$V$35)),EXACT(K202,'Data Base'!$X$36)),I202*1*1*0.75,IF(AND(EXACT(G202,'Data Base'!$T$36),EXACT(H202,'Data Base'!$V$37),EXACT(K202,'Data Base'!$X$36)),I202*1*0.5*0.75,IF(AND(EXACT(G202,'Data Base'!$T$36),EXACT(H202,'Data Base'!$V$38),EXACT(K202,'Data Base'!$X$36)),I202*1*1.2*0.75,IF(AND(EXACT(G202,'Data Base'!$T$36),OR(EXACT(H202,'Data Base'!$V$36),EXACT(H202,'Data Base'!$V$35)),EXACT(K202,'Data Base'!$X$37)),I202*1*1*0.5,IF(AND(EXACT(G202,'Data Base'!$T$36),EXACT(H202,'Data Base'!$V$37),EXACT(K202,'Data Base'!$X$37)),I202*1*0.5*0.5,IF(AND(EXACT(G202,'Data Base'!$T$36),EXACT(H202,'Data Base'!$V$38),EXACT(K202,'Data Base'!$X$37)),I202*1*1.2*0.5,IF(AND(EXACT(G202,'Data Base'!$T$37),OR(EXACT(H202,'Data Base'!$V$36),EXACT(H202,'Data Base'!$V$35)),EXACT(K202,'Data Base'!$X$35)),I202*1.25*1*1,IF(AND(EXACT(G202,'Data Base'!$T$37),EXACT(H202,'Data Base'!$V$37),EXACT(K202,'Data Base'!$X$35)),I202*1.25*0.5*1,IF(AND(EXACT(G202,'Data Base'!$T$37),EXACT(H202,'Data Base'!$V$38),EXACT(K202,'Data Base'!$X$35)),I202*1.25*1.2*1,IF(AND(EXACT(G202,'Data Base'!$T$37),OR(EXACT(H202,'Data Base'!$V$36),EXACT(H202,'Data Base'!$V$35)),EXACT(K202,'Data Base'!$X$36)),I202*1.25*1*0.75,IF(AND(EXACT(G202,'Data Base'!$T$37),EXACT(H202,'Data Base'!$V$37),EXACT(K202,'Data Base'!$X$36)),I202*1.25*0.5*0.75,IF(AND(EXACT(G202,'Data Base'!$T$37),EXACT(H202,'Data Base'!$V$38),EXACT(K202,'Data Base'!$X$36)),I202*1.25*1.2*0.75,IF(AND(EXACT(G202,'Data Base'!$T$37),OR(EXACT(H202,'Data Base'!$V$36),EXACT(H202,'Data Base'!$V$35)),EXACT(K202,'Data Base'!$X$37)),I202*1.25*1*0.5,IF(AND(EXACT(G202,'Data Base'!$T$37),EXACT(H202,'Data Base'!$V$37),EXACT(K202,'Data Base'!$X$37)),I202*1.25*0.5*0.5,IF(AND(EXACT(G202,'Data Base'!$T$37),EXACT(H202,'Data Base'!$V$38),EXACT(K202,'Data Base'!$X$37)),I202*1.25*1.2*0.5))))))))))))))))))))))))))),"")</f>
        <v/>
      </c>
    </row>
    <row r="203" spans="1:13" ht="21" customHeight="1">
      <c r="A203" s="97">
        <v>7</v>
      </c>
      <c r="B203" s="1349" t="str">
        <f t="shared" si="24"/>
        <v/>
      </c>
      <c r="C203" s="1350"/>
      <c r="D203" s="148" t="str">
        <f t="shared" si="25"/>
        <v/>
      </c>
      <c r="E203" s="1351"/>
      <c r="F203" s="1352"/>
      <c r="G203" s="165"/>
      <c r="H203" s="140"/>
      <c r="I203" s="4"/>
      <c r="J203" s="4"/>
      <c r="K203" s="140"/>
      <c r="L203" s="4" t="s">
        <v>652</v>
      </c>
      <c r="M203" s="166" t="str">
        <f>IF(AND(NOT(EXACT(D203,"")),NOT(EXACT(G203,"")),NOT(EXACT(E203,"")),NOT(EXACT(B203,"")),NOT(EXACT(I203,"")),NOT(EXACT(H203,""))),IF(AND(EXACT(G203,'Data Base'!$T$35),OR(EXACT(H203,'Data Base'!$V$36),EXACT(H203,'Data Base'!$V$35)),EXACT(K203,'Data Base'!$X$35)),I203*0.5*1*1,IF(AND(EXACT(G203,'Data Base'!$T$35),EXACT(H203,'Data Base'!$V$37),EXACT(K203,'Data Base'!$X$35)),I203*0.5*0.5*1,IF(AND(EXACT(G203,'Data Base'!$T$35),EXACT(H203,'Data Base'!$V$38),EXACT(K203,'Data Base'!$X$35)),I203*0.5*1.2*1,IF(AND(EXACT(G203,'Data Base'!$T$35),OR(EXACT(H203,'Data Base'!$V$36),EXACT(H203,'Data Base'!$V$35)),EXACT(K203,'Data Base'!$X$36)),I203*0.5*1*0.75,IF(AND(EXACT(G203,'Data Base'!$T$35),EXACT(H203,'Data Base'!$V$37),EXACT(K203,'Data Base'!$X$36)),I203*0.5*0.5*0.75,IF(AND(EXACT(G203,'Data Base'!$T$35),EXACT(H203,'Data Base'!$V$38),EXACT(K203,'Data Base'!$X$36)),I203*0.5*1.2*0.75,IF(AND(EXACT(G203,'Data Base'!$T$35),OR(EXACT(H203,'Data Base'!$V$36),EXACT(H203,'Data Base'!$V$35)),EXACT(K203,'Data Base'!$X$37)),I203*0.5*1*0.5,IF(AND(EXACT(G203,'Data Base'!$T$35),EXACT(H203,'Data Base'!$V$37),EXACT(K203,'Data Base'!$X$37)),I203*0.5*0.5*0.5,IF(AND(EXACT(G203,'Data Base'!$T$35),EXACT(H203,'Data Base'!$V$38),EXACT(K203,'Data Base'!$X$37)),I203*0.5*1.2*0.5,IF(AND(EXACT(G203,'Data Base'!$T$36),OR(EXACT(H203,'Data Base'!$V$36),EXACT(H203,'Data Base'!$V$35)),EXACT(K203,'Data Base'!$X$35)),I203*1*1*1,IF(AND(EXACT(G203,'Data Base'!$T$36),EXACT(H203,'Data Base'!$V$37),EXACT(K203,'Data Base'!$X$35)),I203*1*0.5*1,IF(AND(EXACT(G203,'Data Base'!$T$36),EXACT(H203,'Data Base'!$V$38),EXACT(K203,'Data Base'!$X$35)),I203*1*1.2*1,IF(AND(EXACT(G203,'Data Base'!$T$36),OR(EXACT(H203,'Data Base'!$V$36),EXACT(H203,'Data Base'!$V$35)),EXACT(K203,'Data Base'!$X$36)),I203*1*1*0.75,IF(AND(EXACT(G203,'Data Base'!$T$36),EXACT(H203,'Data Base'!$V$37),EXACT(K203,'Data Base'!$X$36)),I203*1*0.5*0.75,IF(AND(EXACT(G203,'Data Base'!$T$36),EXACT(H203,'Data Base'!$V$38),EXACT(K203,'Data Base'!$X$36)),I203*1*1.2*0.75,IF(AND(EXACT(G203,'Data Base'!$T$36),OR(EXACT(H203,'Data Base'!$V$36),EXACT(H203,'Data Base'!$V$35)),EXACT(K203,'Data Base'!$X$37)),I203*1*1*0.5,IF(AND(EXACT(G203,'Data Base'!$T$36),EXACT(H203,'Data Base'!$V$37),EXACT(K203,'Data Base'!$X$37)),I203*1*0.5*0.5,IF(AND(EXACT(G203,'Data Base'!$T$36),EXACT(H203,'Data Base'!$V$38),EXACT(K203,'Data Base'!$X$37)),I203*1*1.2*0.5,IF(AND(EXACT(G203,'Data Base'!$T$37),OR(EXACT(H203,'Data Base'!$V$36),EXACT(H203,'Data Base'!$V$35)),EXACT(K203,'Data Base'!$X$35)),I203*1.25*1*1,IF(AND(EXACT(G203,'Data Base'!$T$37),EXACT(H203,'Data Base'!$V$37),EXACT(K203,'Data Base'!$X$35)),I203*1.25*0.5*1,IF(AND(EXACT(G203,'Data Base'!$T$37),EXACT(H203,'Data Base'!$V$38),EXACT(K203,'Data Base'!$X$35)),I203*1.25*1.2*1,IF(AND(EXACT(G203,'Data Base'!$T$37),OR(EXACT(H203,'Data Base'!$V$36),EXACT(H203,'Data Base'!$V$35)),EXACT(K203,'Data Base'!$X$36)),I203*1.25*1*0.75,IF(AND(EXACT(G203,'Data Base'!$T$37),EXACT(H203,'Data Base'!$V$37),EXACT(K203,'Data Base'!$X$36)),I203*1.25*0.5*0.75,IF(AND(EXACT(G203,'Data Base'!$T$37),EXACT(H203,'Data Base'!$V$38),EXACT(K203,'Data Base'!$X$36)),I203*1.25*1.2*0.75,IF(AND(EXACT(G203,'Data Base'!$T$37),OR(EXACT(H203,'Data Base'!$V$36),EXACT(H203,'Data Base'!$V$35)),EXACT(K203,'Data Base'!$X$37)),I203*1.25*1*0.5,IF(AND(EXACT(G203,'Data Base'!$T$37),EXACT(H203,'Data Base'!$V$37),EXACT(K203,'Data Base'!$X$37)),I203*1.25*0.5*0.5,IF(AND(EXACT(G203,'Data Base'!$T$37),EXACT(H203,'Data Base'!$V$38),EXACT(K203,'Data Base'!$X$37)),I203*1.25*1.2*0.5))))))))))))))))))))))))))),"")</f>
        <v/>
      </c>
    </row>
    <row r="204" spans="1:13" ht="21" customHeight="1">
      <c r="A204" s="99">
        <v>8</v>
      </c>
      <c r="B204" s="1349" t="str">
        <f t="shared" si="24"/>
        <v/>
      </c>
      <c r="C204" s="1350"/>
      <c r="D204" s="148" t="str">
        <f t="shared" si="25"/>
        <v/>
      </c>
      <c r="E204" s="1351"/>
      <c r="F204" s="1352"/>
      <c r="G204" s="165"/>
      <c r="H204" s="140"/>
      <c r="I204" s="4"/>
      <c r="J204" s="4"/>
      <c r="K204" s="140"/>
      <c r="L204" s="4" t="s">
        <v>652</v>
      </c>
      <c r="M204" s="166" t="str">
        <f>IF(AND(NOT(EXACT(D204,"")),NOT(EXACT(G204,"")),NOT(EXACT(E204,"")),NOT(EXACT(B204,"")),NOT(EXACT(I204,"")),NOT(EXACT(H204,""))),IF(AND(EXACT(G204,'Data Base'!$T$35),OR(EXACT(H204,'Data Base'!$V$36),EXACT(H204,'Data Base'!$V$35)),EXACT(K204,'Data Base'!$X$35)),I204*0.5*1*1,IF(AND(EXACT(G204,'Data Base'!$T$35),EXACT(H204,'Data Base'!$V$37),EXACT(K204,'Data Base'!$X$35)),I204*0.5*0.5*1,IF(AND(EXACT(G204,'Data Base'!$T$35),EXACT(H204,'Data Base'!$V$38),EXACT(K204,'Data Base'!$X$35)),I204*0.5*1.2*1,IF(AND(EXACT(G204,'Data Base'!$T$35),OR(EXACT(H204,'Data Base'!$V$36),EXACT(H204,'Data Base'!$V$35)),EXACT(K204,'Data Base'!$X$36)),I204*0.5*1*0.75,IF(AND(EXACT(G204,'Data Base'!$T$35),EXACT(H204,'Data Base'!$V$37),EXACT(K204,'Data Base'!$X$36)),I204*0.5*0.5*0.75,IF(AND(EXACT(G204,'Data Base'!$T$35),EXACT(H204,'Data Base'!$V$38),EXACT(K204,'Data Base'!$X$36)),I204*0.5*1.2*0.75,IF(AND(EXACT(G204,'Data Base'!$T$35),OR(EXACT(H204,'Data Base'!$V$36),EXACT(H204,'Data Base'!$V$35)),EXACT(K204,'Data Base'!$X$37)),I204*0.5*1*0.5,IF(AND(EXACT(G204,'Data Base'!$T$35),EXACT(H204,'Data Base'!$V$37),EXACT(K204,'Data Base'!$X$37)),I204*0.5*0.5*0.5,IF(AND(EXACT(G204,'Data Base'!$T$35),EXACT(H204,'Data Base'!$V$38),EXACT(K204,'Data Base'!$X$37)),I204*0.5*1.2*0.5,IF(AND(EXACT(G204,'Data Base'!$T$36),OR(EXACT(H204,'Data Base'!$V$36),EXACT(H204,'Data Base'!$V$35)),EXACT(K204,'Data Base'!$X$35)),I204*1*1*1,IF(AND(EXACT(G204,'Data Base'!$T$36),EXACT(H204,'Data Base'!$V$37),EXACT(K204,'Data Base'!$X$35)),I204*1*0.5*1,IF(AND(EXACT(G204,'Data Base'!$T$36),EXACT(H204,'Data Base'!$V$38),EXACT(K204,'Data Base'!$X$35)),I204*1*1.2*1,IF(AND(EXACT(G204,'Data Base'!$T$36),OR(EXACT(H204,'Data Base'!$V$36),EXACT(H204,'Data Base'!$V$35)),EXACT(K204,'Data Base'!$X$36)),I204*1*1*0.75,IF(AND(EXACT(G204,'Data Base'!$T$36),EXACT(H204,'Data Base'!$V$37),EXACT(K204,'Data Base'!$X$36)),I204*1*0.5*0.75,IF(AND(EXACT(G204,'Data Base'!$T$36),EXACT(H204,'Data Base'!$V$38),EXACT(K204,'Data Base'!$X$36)),I204*1*1.2*0.75,IF(AND(EXACT(G204,'Data Base'!$T$36),OR(EXACT(H204,'Data Base'!$V$36),EXACT(H204,'Data Base'!$V$35)),EXACT(K204,'Data Base'!$X$37)),I204*1*1*0.5,IF(AND(EXACT(G204,'Data Base'!$T$36),EXACT(H204,'Data Base'!$V$37),EXACT(K204,'Data Base'!$X$37)),I204*1*0.5*0.5,IF(AND(EXACT(G204,'Data Base'!$T$36),EXACT(H204,'Data Base'!$V$38),EXACT(K204,'Data Base'!$X$37)),I204*1*1.2*0.5,IF(AND(EXACT(G204,'Data Base'!$T$37),OR(EXACT(H204,'Data Base'!$V$36),EXACT(H204,'Data Base'!$V$35)),EXACT(K204,'Data Base'!$X$35)),I204*1.25*1*1,IF(AND(EXACT(G204,'Data Base'!$T$37),EXACT(H204,'Data Base'!$V$37),EXACT(K204,'Data Base'!$X$35)),I204*1.25*0.5*1,IF(AND(EXACT(G204,'Data Base'!$T$37),EXACT(H204,'Data Base'!$V$38),EXACT(K204,'Data Base'!$X$35)),I204*1.25*1.2*1,IF(AND(EXACT(G204,'Data Base'!$T$37),OR(EXACT(H204,'Data Base'!$V$36),EXACT(H204,'Data Base'!$V$35)),EXACT(K204,'Data Base'!$X$36)),I204*1.25*1*0.75,IF(AND(EXACT(G204,'Data Base'!$T$37),EXACT(H204,'Data Base'!$V$37),EXACT(K204,'Data Base'!$X$36)),I204*1.25*0.5*0.75,IF(AND(EXACT(G204,'Data Base'!$T$37),EXACT(H204,'Data Base'!$V$38),EXACT(K204,'Data Base'!$X$36)),I204*1.25*1.2*0.75,IF(AND(EXACT(G204,'Data Base'!$T$37),OR(EXACT(H204,'Data Base'!$V$36),EXACT(H204,'Data Base'!$V$35)),EXACT(K204,'Data Base'!$X$37)),I204*1.25*1*0.5,IF(AND(EXACT(G204,'Data Base'!$T$37),EXACT(H204,'Data Base'!$V$37),EXACT(K204,'Data Base'!$X$37)),I204*1.25*0.5*0.5,IF(AND(EXACT(G204,'Data Base'!$T$37),EXACT(H204,'Data Base'!$V$38),EXACT(K204,'Data Base'!$X$37)),I204*1.25*1.2*0.5))))))))))))))))))))))))))),"")</f>
        <v/>
      </c>
    </row>
    <row r="205" spans="1:13" ht="21" customHeight="1">
      <c r="A205" s="99">
        <v>9</v>
      </c>
      <c r="B205" s="1349" t="str">
        <f t="shared" si="24"/>
        <v/>
      </c>
      <c r="C205" s="1350"/>
      <c r="D205" s="148" t="str">
        <f t="shared" si="25"/>
        <v/>
      </c>
      <c r="E205" s="1351"/>
      <c r="F205" s="1352"/>
      <c r="G205" s="165"/>
      <c r="H205" s="140"/>
      <c r="I205" s="4"/>
      <c r="J205" s="4"/>
      <c r="K205" s="140"/>
      <c r="L205" s="4" t="s">
        <v>652</v>
      </c>
      <c r="M205" s="166" t="str">
        <f>IF(AND(NOT(EXACT(D205,"")),NOT(EXACT(G205,"")),NOT(EXACT(E205,"")),NOT(EXACT(B205,"")),NOT(EXACT(I205,"")),NOT(EXACT(H205,""))),IF(AND(EXACT(G205,'Data Base'!$T$35),OR(EXACT(H205,'Data Base'!$V$36),EXACT(H205,'Data Base'!$V$35)),EXACT(K205,'Data Base'!$X$35)),I205*0.5*1*1,IF(AND(EXACT(G205,'Data Base'!$T$35),EXACT(H205,'Data Base'!$V$37),EXACT(K205,'Data Base'!$X$35)),I205*0.5*0.5*1,IF(AND(EXACT(G205,'Data Base'!$T$35),EXACT(H205,'Data Base'!$V$38),EXACT(K205,'Data Base'!$X$35)),I205*0.5*1.2*1,IF(AND(EXACT(G205,'Data Base'!$T$35),OR(EXACT(H205,'Data Base'!$V$36),EXACT(H205,'Data Base'!$V$35)),EXACT(K205,'Data Base'!$X$36)),I205*0.5*1*0.75,IF(AND(EXACT(G205,'Data Base'!$T$35),EXACT(H205,'Data Base'!$V$37),EXACT(K205,'Data Base'!$X$36)),I205*0.5*0.5*0.75,IF(AND(EXACT(G205,'Data Base'!$T$35),EXACT(H205,'Data Base'!$V$38),EXACT(K205,'Data Base'!$X$36)),I205*0.5*1.2*0.75,IF(AND(EXACT(G205,'Data Base'!$T$35),OR(EXACT(H205,'Data Base'!$V$36),EXACT(H205,'Data Base'!$V$35)),EXACT(K205,'Data Base'!$X$37)),I205*0.5*1*0.5,IF(AND(EXACT(G205,'Data Base'!$T$35),EXACT(H205,'Data Base'!$V$37),EXACT(K205,'Data Base'!$X$37)),I205*0.5*0.5*0.5,IF(AND(EXACT(G205,'Data Base'!$T$35),EXACT(H205,'Data Base'!$V$38),EXACT(K205,'Data Base'!$X$37)),I205*0.5*1.2*0.5,IF(AND(EXACT(G205,'Data Base'!$T$36),OR(EXACT(H205,'Data Base'!$V$36),EXACT(H205,'Data Base'!$V$35)),EXACT(K205,'Data Base'!$X$35)),I205*1*1*1,IF(AND(EXACT(G205,'Data Base'!$T$36),EXACT(H205,'Data Base'!$V$37),EXACT(K205,'Data Base'!$X$35)),I205*1*0.5*1,IF(AND(EXACT(G205,'Data Base'!$T$36),EXACT(H205,'Data Base'!$V$38),EXACT(K205,'Data Base'!$X$35)),I205*1*1.2*1,IF(AND(EXACT(G205,'Data Base'!$T$36),OR(EXACT(H205,'Data Base'!$V$36),EXACT(H205,'Data Base'!$V$35)),EXACT(K205,'Data Base'!$X$36)),I205*1*1*0.75,IF(AND(EXACT(G205,'Data Base'!$T$36),EXACT(H205,'Data Base'!$V$37),EXACT(K205,'Data Base'!$X$36)),I205*1*0.5*0.75,IF(AND(EXACT(G205,'Data Base'!$T$36),EXACT(H205,'Data Base'!$V$38),EXACT(K205,'Data Base'!$X$36)),I205*1*1.2*0.75,IF(AND(EXACT(G205,'Data Base'!$T$36),OR(EXACT(H205,'Data Base'!$V$36),EXACT(H205,'Data Base'!$V$35)),EXACT(K205,'Data Base'!$X$37)),I205*1*1*0.5,IF(AND(EXACT(G205,'Data Base'!$T$36),EXACT(H205,'Data Base'!$V$37),EXACT(K205,'Data Base'!$X$37)),I205*1*0.5*0.5,IF(AND(EXACT(G205,'Data Base'!$T$36),EXACT(H205,'Data Base'!$V$38),EXACT(K205,'Data Base'!$X$37)),I205*1*1.2*0.5,IF(AND(EXACT(G205,'Data Base'!$T$37),OR(EXACT(H205,'Data Base'!$V$36),EXACT(H205,'Data Base'!$V$35)),EXACT(K205,'Data Base'!$X$35)),I205*1.25*1*1,IF(AND(EXACT(G205,'Data Base'!$T$37),EXACT(H205,'Data Base'!$V$37),EXACT(K205,'Data Base'!$X$35)),I205*1.25*0.5*1,IF(AND(EXACT(G205,'Data Base'!$T$37),EXACT(H205,'Data Base'!$V$38),EXACT(K205,'Data Base'!$X$35)),I205*1.25*1.2*1,IF(AND(EXACT(G205,'Data Base'!$T$37),OR(EXACT(H205,'Data Base'!$V$36),EXACT(H205,'Data Base'!$V$35)),EXACT(K205,'Data Base'!$X$36)),I205*1.25*1*0.75,IF(AND(EXACT(G205,'Data Base'!$T$37),EXACT(H205,'Data Base'!$V$37),EXACT(K205,'Data Base'!$X$36)),I205*1.25*0.5*0.75,IF(AND(EXACT(G205,'Data Base'!$T$37),EXACT(H205,'Data Base'!$V$38),EXACT(K205,'Data Base'!$X$36)),I205*1.25*1.2*0.75,IF(AND(EXACT(G205,'Data Base'!$T$37),OR(EXACT(H205,'Data Base'!$V$36),EXACT(H205,'Data Base'!$V$35)),EXACT(K205,'Data Base'!$X$37)),I205*1.25*1*0.5,IF(AND(EXACT(G205,'Data Base'!$T$37),EXACT(H205,'Data Base'!$V$37),EXACT(K205,'Data Base'!$X$37)),I205*1.25*0.5*0.5,IF(AND(EXACT(G205,'Data Base'!$T$37),EXACT(H205,'Data Base'!$V$38),EXACT(K205,'Data Base'!$X$37)),I205*1.25*1.2*0.5))))))))))))))))))))))))))),"")</f>
        <v/>
      </c>
    </row>
    <row r="206" spans="1:13" ht="21" customHeight="1">
      <c r="A206" s="97">
        <v>10</v>
      </c>
      <c r="B206" s="1349" t="str">
        <f t="shared" si="24"/>
        <v/>
      </c>
      <c r="C206" s="1350"/>
      <c r="D206" s="148" t="str">
        <f t="shared" si="25"/>
        <v/>
      </c>
      <c r="E206" s="1351"/>
      <c r="F206" s="1352"/>
      <c r="G206" s="165"/>
      <c r="H206" s="140"/>
      <c r="I206" s="4"/>
      <c r="J206" s="4"/>
      <c r="K206" s="140"/>
      <c r="L206" s="4" t="s">
        <v>652</v>
      </c>
      <c r="M206" s="166" t="str">
        <f>IF(AND(NOT(EXACT(D206,"")),NOT(EXACT(G206,"")),NOT(EXACT(E206,"")),NOT(EXACT(B206,"")),NOT(EXACT(I206,"")),NOT(EXACT(H206,""))),IF(AND(EXACT(G206,'Data Base'!$T$35),OR(EXACT(H206,'Data Base'!$V$36),EXACT(H206,'Data Base'!$V$35)),EXACT(K206,'Data Base'!$X$35)),I206*0.5*1*1,IF(AND(EXACT(G206,'Data Base'!$T$35),EXACT(H206,'Data Base'!$V$37),EXACT(K206,'Data Base'!$X$35)),I206*0.5*0.5*1,IF(AND(EXACT(G206,'Data Base'!$T$35),EXACT(H206,'Data Base'!$V$38),EXACT(K206,'Data Base'!$X$35)),I206*0.5*1.2*1,IF(AND(EXACT(G206,'Data Base'!$T$35),OR(EXACT(H206,'Data Base'!$V$36),EXACT(H206,'Data Base'!$V$35)),EXACT(K206,'Data Base'!$X$36)),I206*0.5*1*0.75,IF(AND(EXACT(G206,'Data Base'!$T$35),EXACT(H206,'Data Base'!$V$37),EXACT(K206,'Data Base'!$X$36)),I206*0.5*0.5*0.75,IF(AND(EXACT(G206,'Data Base'!$T$35),EXACT(H206,'Data Base'!$V$38),EXACT(K206,'Data Base'!$X$36)),I206*0.5*1.2*0.75,IF(AND(EXACT(G206,'Data Base'!$T$35),OR(EXACT(H206,'Data Base'!$V$36),EXACT(H206,'Data Base'!$V$35)),EXACT(K206,'Data Base'!$X$37)),I206*0.5*1*0.5,IF(AND(EXACT(G206,'Data Base'!$T$35),EXACT(H206,'Data Base'!$V$37),EXACT(K206,'Data Base'!$X$37)),I206*0.5*0.5*0.5,IF(AND(EXACT(G206,'Data Base'!$T$35),EXACT(H206,'Data Base'!$V$38),EXACT(K206,'Data Base'!$X$37)),I206*0.5*1.2*0.5,IF(AND(EXACT(G206,'Data Base'!$T$36),OR(EXACT(H206,'Data Base'!$V$36),EXACT(H206,'Data Base'!$V$35)),EXACT(K206,'Data Base'!$X$35)),I206*1*1*1,IF(AND(EXACT(G206,'Data Base'!$T$36),EXACT(H206,'Data Base'!$V$37),EXACT(K206,'Data Base'!$X$35)),I206*1*0.5*1,IF(AND(EXACT(G206,'Data Base'!$T$36),EXACT(H206,'Data Base'!$V$38),EXACT(K206,'Data Base'!$X$35)),I206*1*1.2*1,IF(AND(EXACT(G206,'Data Base'!$T$36),OR(EXACT(H206,'Data Base'!$V$36),EXACT(H206,'Data Base'!$V$35)),EXACT(K206,'Data Base'!$X$36)),I206*1*1*0.75,IF(AND(EXACT(G206,'Data Base'!$T$36),EXACT(H206,'Data Base'!$V$37),EXACT(K206,'Data Base'!$X$36)),I206*1*0.5*0.75,IF(AND(EXACT(G206,'Data Base'!$T$36),EXACT(H206,'Data Base'!$V$38),EXACT(K206,'Data Base'!$X$36)),I206*1*1.2*0.75,IF(AND(EXACT(G206,'Data Base'!$T$36),OR(EXACT(H206,'Data Base'!$V$36),EXACT(H206,'Data Base'!$V$35)),EXACT(K206,'Data Base'!$X$37)),I206*1*1*0.5,IF(AND(EXACT(G206,'Data Base'!$T$36),EXACT(H206,'Data Base'!$V$37),EXACT(K206,'Data Base'!$X$37)),I206*1*0.5*0.5,IF(AND(EXACT(G206,'Data Base'!$T$36),EXACT(H206,'Data Base'!$V$38),EXACT(K206,'Data Base'!$X$37)),I206*1*1.2*0.5,IF(AND(EXACT(G206,'Data Base'!$T$37),OR(EXACT(H206,'Data Base'!$V$36),EXACT(H206,'Data Base'!$V$35)),EXACT(K206,'Data Base'!$X$35)),I206*1.25*1*1,IF(AND(EXACT(G206,'Data Base'!$T$37),EXACT(H206,'Data Base'!$V$37),EXACT(K206,'Data Base'!$X$35)),I206*1.25*0.5*1,IF(AND(EXACT(G206,'Data Base'!$T$37),EXACT(H206,'Data Base'!$V$38),EXACT(K206,'Data Base'!$X$35)),I206*1.25*1.2*1,IF(AND(EXACT(G206,'Data Base'!$T$37),OR(EXACT(H206,'Data Base'!$V$36),EXACT(H206,'Data Base'!$V$35)),EXACT(K206,'Data Base'!$X$36)),I206*1.25*1*0.75,IF(AND(EXACT(G206,'Data Base'!$T$37),EXACT(H206,'Data Base'!$V$37),EXACT(K206,'Data Base'!$X$36)),I206*1.25*0.5*0.75,IF(AND(EXACT(G206,'Data Base'!$T$37),EXACT(H206,'Data Base'!$V$38),EXACT(K206,'Data Base'!$X$36)),I206*1.25*1.2*0.75,IF(AND(EXACT(G206,'Data Base'!$T$37),OR(EXACT(H206,'Data Base'!$V$36),EXACT(H206,'Data Base'!$V$35)),EXACT(K206,'Data Base'!$X$37)),I206*1.25*1*0.5,IF(AND(EXACT(G206,'Data Base'!$T$37),EXACT(H206,'Data Base'!$V$37),EXACT(K206,'Data Base'!$X$37)),I206*1.25*0.5*0.5,IF(AND(EXACT(G206,'Data Base'!$T$37),EXACT(H206,'Data Base'!$V$38),EXACT(K206,'Data Base'!$X$37)),I206*1.25*1.2*0.5))))))))))))))))))))))))))),"")</f>
        <v/>
      </c>
    </row>
    <row r="207" spans="1:13" ht="21" customHeight="1">
      <c r="A207" s="99">
        <v>11</v>
      </c>
      <c r="B207" s="1349" t="str">
        <f t="shared" si="24"/>
        <v/>
      </c>
      <c r="C207" s="1350"/>
      <c r="D207" s="148" t="str">
        <f t="shared" si="25"/>
        <v/>
      </c>
      <c r="E207" s="1351"/>
      <c r="F207" s="1352"/>
      <c r="G207" s="165"/>
      <c r="H207" s="140"/>
      <c r="I207" s="4"/>
      <c r="J207" s="4"/>
      <c r="K207" s="140"/>
      <c r="L207" s="4" t="s">
        <v>652</v>
      </c>
      <c r="M207" s="166" t="str">
        <f>IF(AND(NOT(EXACT(D207,"")),NOT(EXACT(G207,"")),NOT(EXACT(E207,"")),NOT(EXACT(B207,"")),NOT(EXACT(I207,"")),NOT(EXACT(H207,""))),IF(AND(EXACT(G207,'Data Base'!$T$35),OR(EXACT(H207,'Data Base'!$V$36),EXACT(H207,'Data Base'!$V$35)),EXACT(K207,'Data Base'!$X$35)),I207*0.5*1*1,IF(AND(EXACT(G207,'Data Base'!$T$35),EXACT(H207,'Data Base'!$V$37),EXACT(K207,'Data Base'!$X$35)),I207*0.5*0.5*1,IF(AND(EXACT(G207,'Data Base'!$T$35),EXACT(H207,'Data Base'!$V$38),EXACT(K207,'Data Base'!$X$35)),I207*0.5*1.2*1,IF(AND(EXACT(G207,'Data Base'!$T$35),OR(EXACT(H207,'Data Base'!$V$36),EXACT(H207,'Data Base'!$V$35)),EXACT(K207,'Data Base'!$X$36)),I207*0.5*1*0.75,IF(AND(EXACT(G207,'Data Base'!$T$35),EXACT(H207,'Data Base'!$V$37),EXACT(K207,'Data Base'!$X$36)),I207*0.5*0.5*0.75,IF(AND(EXACT(G207,'Data Base'!$T$35),EXACT(H207,'Data Base'!$V$38),EXACT(K207,'Data Base'!$X$36)),I207*0.5*1.2*0.75,IF(AND(EXACT(G207,'Data Base'!$T$35),OR(EXACT(H207,'Data Base'!$V$36),EXACT(H207,'Data Base'!$V$35)),EXACT(K207,'Data Base'!$X$37)),I207*0.5*1*0.5,IF(AND(EXACT(G207,'Data Base'!$T$35),EXACT(H207,'Data Base'!$V$37),EXACT(K207,'Data Base'!$X$37)),I207*0.5*0.5*0.5,IF(AND(EXACT(G207,'Data Base'!$T$35),EXACT(H207,'Data Base'!$V$38),EXACT(K207,'Data Base'!$X$37)),I207*0.5*1.2*0.5,IF(AND(EXACT(G207,'Data Base'!$T$36),OR(EXACT(H207,'Data Base'!$V$36),EXACT(H207,'Data Base'!$V$35)),EXACT(K207,'Data Base'!$X$35)),I207*1*1*1,IF(AND(EXACT(G207,'Data Base'!$T$36),EXACT(H207,'Data Base'!$V$37),EXACT(K207,'Data Base'!$X$35)),I207*1*0.5*1,IF(AND(EXACT(G207,'Data Base'!$T$36),EXACT(H207,'Data Base'!$V$38),EXACT(K207,'Data Base'!$X$35)),I207*1*1.2*1,IF(AND(EXACT(G207,'Data Base'!$T$36),OR(EXACT(H207,'Data Base'!$V$36),EXACT(H207,'Data Base'!$V$35)),EXACT(K207,'Data Base'!$X$36)),I207*1*1*0.75,IF(AND(EXACT(G207,'Data Base'!$T$36),EXACT(H207,'Data Base'!$V$37),EXACT(K207,'Data Base'!$X$36)),I207*1*0.5*0.75,IF(AND(EXACT(G207,'Data Base'!$T$36),EXACT(H207,'Data Base'!$V$38),EXACT(K207,'Data Base'!$X$36)),I207*1*1.2*0.75,IF(AND(EXACT(G207,'Data Base'!$T$36),OR(EXACT(H207,'Data Base'!$V$36),EXACT(H207,'Data Base'!$V$35)),EXACT(K207,'Data Base'!$X$37)),I207*1*1*0.5,IF(AND(EXACT(G207,'Data Base'!$T$36),EXACT(H207,'Data Base'!$V$37),EXACT(K207,'Data Base'!$X$37)),I207*1*0.5*0.5,IF(AND(EXACT(G207,'Data Base'!$T$36),EXACT(H207,'Data Base'!$V$38),EXACT(K207,'Data Base'!$X$37)),I207*1*1.2*0.5,IF(AND(EXACT(G207,'Data Base'!$T$37),OR(EXACT(H207,'Data Base'!$V$36),EXACT(H207,'Data Base'!$V$35)),EXACT(K207,'Data Base'!$X$35)),I207*1.25*1*1,IF(AND(EXACT(G207,'Data Base'!$T$37),EXACT(H207,'Data Base'!$V$37),EXACT(K207,'Data Base'!$X$35)),I207*1.25*0.5*1,IF(AND(EXACT(G207,'Data Base'!$T$37),EXACT(H207,'Data Base'!$V$38),EXACT(K207,'Data Base'!$X$35)),I207*1.25*1.2*1,IF(AND(EXACT(G207,'Data Base'!$T$37),OR(EXACT(H207,'Data Base'!$V$36),EXACT(H207,'Data Base'!$V$35)),EXACT(K207,'Data Base'!$X$36)),I207*1.25*1*0.75,IF(AND(EXACT(G207,'Data Base'!$T$37),EXACT(H207,'Data Base'!$V$37),EXACT(K207,'Data Base'!$X$36)),I207*1.25*0.5*0.75,IF(AND(EXACT(G207,'Data Base'!$T$37),EXACT(H207,'Data Base'!$V$38),EXACT(K207,'Data Base'!$X$36)),I207*1.25*1.2*0.75,IF(AND(EXACT(G207,'Data Base'!$T$37),OR(EXACT(H207,'Data Base'!$V$36),EXACT(H207,'Data Base'!$V$35)),EXACT(K207,'Data Base'!$X$37)),I207*1.25*1*0.5,IF(AND(EXACT(G207,'Data Base'!$T$37),EXACT(H207,'Data Base'!$V$37),EXACT(K207,'Data Base'!$X$37)),I207*1.25*0.5*0.5,IF(AND(EXACT(G207,'Data Base'!$T$37),EXACT(H207,'Data Base'!$V$38),EXACT(K207,'Data Base'!$X$37)),I207*1.25*1.2*0.5))))))))))))))))))))))))))),"")</f>
        <v/>
      </c>
    </row>
    <row r="208" spans="1:13" ht="21" customHeight="1">
      <c r="A208" s="99">
        <v>12</v>
      </c>
      <c r="B208" s="1349" t="str">
        <f t="shared" si="24"/>
        <v/>
      </c>
      <c r="C208" s="1350"/>
      <c r="D208" s="148" t="str">
        <f t="shared" si="25"/>
        <v/>
      </c>
      <c r="E208" s="1351"/>
      <c r="F208" s="1352"/>
      <c r="G208" s="165"/>
      <c r="H208" s="140"/>
      <c r="I208" s="4"/>
      <c r="J208" s="4"/>
      <c r="K208" s="140"/>
      <c r="L208" s="4" t="s">
        <v>652</v>
      </c>
      <c r="M208" s="166" t="str">
        <f>IF(AND(NOT(EXACT(D208,"")),NOT(EXACT(G208,"")),NOT(EXACT(E208,"")),NOT(EXACT(B208,"")),NOT(EXACT(I208,"")),NOT(EXACT(H208,""))),IF(AND(EXACT(G208,'Data Base'!$T$35),OR(EXACT(H208,'Data Base'!$V$36),EXACT(H208,'Data Base'!$V$35)),EXACT(K208,'Data Base'!$X$35)),I208*0.5*1*1,IF(AND(EXACT(G208,'Data Base'!$T$35),EXACT(H208,'Data Base'!$V$37),EXACT(K208,'Data Base'!$X$35)),I208*0.5*0.5*1,IF(AND(EXACT(G208,'Data Base'!$T$35),EXACT(H208,'Data Base'!$V$38),EXACT(K208,'Data Base'!$X$35)),I208*0.5*1.2*1,IF(AND(EXACT(G208,'Data Base'!$T$35),OR(EXACT(H208,'Data Base'!$V$36),EXACT(H208,'Data Base'!$V$35)),EXACT(K208,'Data Base'!$X$36)),I208*0.5*1*0.75,IF(AND(EXACT(G208,'Data Base'!$T$35),EXACT(H208,'Data Base'!$V$37),EXACT(K208,'Data Base'!$X$36)),I208*0.5*0.5*0.75,IF(AND(EXACT(G208,'Data Base'!$T$35),EXACT(H208,'Data Base'!$V$38),EXACT(K208,'Data Base'!$X$36)),I208*0.5*1.2*0.75,IF(AND(EXACT(G208,'Data Base'!$T$35),OR(EXACT(H208,'Data Base'!$V$36),EXACT(H208,'Data Base'!$V$35)),EXACT(K208,'Data Base'!$X$37)),I208*0.5*1*0.5,IF(AND(EXACT(G208,'Data Base'!$T$35),EXACT(H208,'Data Base'!$V$37),EXACT(K208,'Data Base'!$X$37)),I208*0.5*0.5*0.5,IF(AND(EXACT(G208,'Data Base'!$T$35),EXACT(H208,'Data Base'!$V$38),EXACT(K208,'Data Base'!$X$37)),I208*0.5*1.2*0.5,IF(AND(EXACT(G208,'Data Base'!$T$36),OR(EXACT(H208,'Data Base'!$V$36),EXACT(H208,'Data Base'!$V$35)),EXACT(K208,'Data Base'!$X$35)),I208*1*1*1,IF(AND(EXACT(G208,'Data Base'!$T$36),EXACT(H208,'Data Base'!$V$37),EXACT(K208,'Data Base'!$X$35)),I208*1*0.5*1,IF(AND(EXACT(G208,'Data Base'!$T$36),EXACT(H208,'Data Base'!$V$38),EXACT(K208,'Data Base'!$X$35)),I208*1*1.2*1,IF(AND(EXACT(G208,'Data Base'!$T$36),OR(EXACT(H208,'Data Base'!$V$36),EXACT(H208,'Data Base'!$V$35)),EXACT(K208,'Data Base'!$X$36)),I208*1*1*0.75,IF(AND(EXACT(G208,'Data Base'!$T$36),EXACT(H208,'Data Base'!$V$37),EXACT(K208,'Data Base'!$X$36)),I208*1*0.5*0.75,IF(AND(EXACT(G208,'Data Base'!$T$36),EXACT(H208,'Data Base'!$V$38),EXACT(K208,'Data Base'!$X$36)),I208*1*1.2*0.75,IF(AND(EXACT(G208,'Data Base'!$T$36),OR(EXACT(H208,'Data Base'!$V$36),EXACT(H208,'Data Base'!$V$35)),EXACT(K208,'Data Base'!$X$37)),I208*1*1*0.5,IF(AND(EXACT(G208,'Data Base'!$T$36),EXACT(H208,'Data Base'!$V$37),EXACT(K208,'Data Base'!$X$37)),I208*1*0.5*0.5,IF(AND(EXACT(G208,'Data Base'!$T$36),EXACT(H208,'Data Base'!$V$38),EXACT(K208,'Data Base'!$X$37)),I208*1*1.2*0.5,IF(AND(EXACT(G208,'Data Base'!$T$37),OR(EXACT(H208,'Data Base'!$V$36),EXACT(H208,'Data Base'!$V$35)),EXACT(K208,'Data Base'!$X$35)),I208*1.25*1*1,IF(AND(EXACT(G208,'Data Base'!$T$37),EXACT(H208,'Data Base'!$V$37),EXACT(K208,'Data Base'!$X$35)),I208*1.25*0.5*1,IF(AND(EXACT(G208,'Data Base'!$T$37),EXACT(H208,'Data Base'!$V$38),EXACT(K208,'Data Base'!$X$35)),I208*1.25*1.2*1,IF(AND(EXACT(G208,'Data Base'!$T$37),OR(EXACT(H208,'Data Base'!$V$36),EXACT(H208,'Data Base'!$V$35)),EXACT(K208,'Data Base'!$X$36)),I208*1.25*1*0.75,IF(AND(EXACT(G208,'Data Base'!$T$37),EXACT(H208,'Data Base'!$V$37),EXACT(K208,'Data Base'!$X$36)),I208*1.25*0.5*0.75,IF(AND(EXACT(G208,'Data Base'!$T$37),EXACT(H208,'Data Base'!$V$38),EXACT(K208,'Data Base'!$X$36)),I208*1.25*1.2*0.75,IF(AND(EXACT(G208,'Data Base'!$T$37),OR(EXACT(H208,'Data Base'!$V$36),EXACT(H208,'Data Base'!$V$35)),EXACT(K208,'Data Base'!$X$37)),I208*1.25*1*0.5,IF(AND(EXACT(G208,'Data Base'!$T$37),EXACT(H208,'Data Base'!$V$37),EXACT(K208,'Data Base'!$X$37)),I208*1.25*0.5*0.5,IF(AND(EXACT(G208,'Data Base'!$T$37),EXACT(H208,'Data Base'!$V$38),EXACT(K208,'Data Base'!$X$37)),I208*1.25*1.2*0.5))))))))))))))))))))))))))),"")</f>
        <v/>
      </c>
    </row>
    <row r="209" spans="1:13" ht="21" customHeight="1">
      <c r="A209" s="97">
        <v>13</v>
      </c>
      <c r="B209" s="1349" t="str">
        <f t="shared" si="24"/>
        <v/>
      </c>
      <c r="C209" s="1350"/>
      <c r="D209" s="148" t="str">
        <f t="shared" si="25"/>
        <v/>
      </c>
      <c r="E209" s="1351"/>
      <c r="F209" s="1352"/>
      <c r="G209" s="165"/>
      <c r="H209" s="140"/>
      <c r="I209" s="4"/>
      <c r="J209" s="4"/>
      <c r="K209" s="140"/>
      <c r="L209" s="4" t="s">
        <v>652</v>
      </c>
      <c r="M209" s="166" t="str">
        <f>IF(AND(NOT(EXACT(D209,"")),NOT(EXACT(G209,"")),NOT(EXACT(E209,"")),NOT(EXACT(B209,"")),NOT(EXACT(I209,"")),NOT(EXACT(H209,""))),IF(AND(EXACT(G209,'Data Base'!$T$35),OR(EXACT(H209,'Data Base'!$V$36),EXACT(H209,'Data Base'!$V$35)),EXACT(K209,'Data Base'!$X$35)),I209*0.5*1*1,IF(AND(EXACT(G209,'Data Base'!$T$35),EXACT(H209,'Data Base'!$V$37),EXACT(K209,'Data Base'!$X$35)),I209*0.5*0.5*1,IF(AND(EXACT(G209,'Data Base'!$T$35),EXACT(H209,'Data Base'!$V$38),EXACT(K209,'Data Base'!$X$35)),I209*0.5*1.2*1,IF(AND(EXACT(G209,'Data Base'!$T$35),OR(EXACT(H209,'Data Base'!$V$36),EXACT(H209,'Data Base'!$V$35)),EXACT(K209,'Data Base'!$X$36)),I209*0.5*1*0.75,IF(AND(EXACT(G209,'Data Base'!$T$35),EXACT(H209,'Data Base'!$V$37),EXACT(K209,'Data Base'!$X$36)),I209*0.5*0.5*0.75,IF(AND(EXACT(G209,'Data Base'!$T$35),EXACT(H209,'Data Base'!$V$38),EXACT(K209,'Data Base'!$X$36)),I209*0.5*1.2*0.75,IF(AND(EXACT(G209,'Data Base'!$T$35),OR(EXACT(H209,'Data Base'!$V$36),EXACT(H209,'Data Base'!$V$35)),EXACT(K209,'Data Base'!$X$37)),I209*0.5*1*0.5,IF(AND(EXACT(G209,'Data Base'!$T$35),EXACT(H209,'Data Base'!$V$37),EXACT(K209,'Data Base'!$X$37)),I209*0.5*0.5*0.5,IF(AND(EXACT(G209,'Data Base'!$T$35),EXACT(H209,'Data Base'!$V$38),EXACT(K209,'Data Base'!$X$37)),I209*0.5*1.2*0.5,IF(AND(EXACT(G209,'Data Base'!$T$36),OR(EXACT(H209,'Data Base'!$V$36),EXACT(H209,'Data Base'!$V$35)),EXACT(K209,'Data Base'!$X$35)),I209*1*1*1,IF(AND(EXACT(G209,'Data Base'!$T$36),EXACT(H209,'Data Base'!$V$37),EXACT(K209,'Data Base'!$X$35)),I209*1*0.5*1,IF(AND(EXACT(G209,'Data Base'!$T$36),EXACT(H209,'Data Base'!$V$38),EXACT(K209,'Data Base'!$X$35)),I209*1*1.2*1,IF(AND(EXACT(G209,'Data Base'!$T$36),OR(EXACT(H209,'Data Base'!$V$36),EXACT(H209,'Data Base'!$V$35)),EXACT(K209,'Data Base'!$X$36)),I209*1*1*0.75,IF(AND(EXACT(G209,'Data Base'!$T$36),EXACT(H209,'Data Base'!$V$37),EXACT(K209,'Data Base'!$X$36)),I209*1*0.5*0.75,IF(AND(EXACT(G209,'Data Base'!$T$36),EXACT(H209,'Data Base'!$V$38),EXACT(K209,'Data Base'!$X$36)),I209*1*1.2*0.75,IF(AND(EXACT(G209,'Data Base'!$T$36),OR(EXACT(H209,'Data Base'!$V$36),EXACT(H209,'Data Base'!$V$35)),EXACT(K209,'Data Base'!$X$37)),I209*1*1*0.5,IF(AND(EXACT(G209,'Data Base'!$T$36),EXACT(H209,'Data Base'!$V$37),EXACT(K209,'Data Base'!$X$37)),I209*1*0.5*0.5,IF(AND(EXACT(G209,'Data Base'!$T$36),EXACT(H209,'Data Base'!$V$38),EXACT(K209,'Data Base'!$X$37)),I209*1*1.2*0.5,IF(AND(EXACT(G209,'Data Base'!$T$37),OR(EXACT(H209,'Data Base'!$V$36),EXACT(H209,'Data Base'!$V$35)),EXACT(K209,'Data Base'!$X$35)),I209*1.25*1*1,IF(AND(EXACT(G209,'Data Base'!$T$37),EXACT(H209,'Data Base'!$V$37),EXACT(K209,'Data Base'!$X$35)),I209*1.25*0.5*1,IF(AND(EXACT(G209,'Data Base'!$T$37),EXACT(H209,'Data Base'!$V$38),EXACT(K209,'Data Base'!$X$35)),I209*1.25*1.2*1,IF(AND(EXACT(G209,'Data Base'!$T$37),OR(EXACT(H209,'Data Base'!$V$36),EXACT(H209,'Data Base'!$V$35)),EXACT(K209,'Data Base'!$X$36)),I209*1.25*1*0.75,IF(AND(EXACT(G209,'Data Base'!$T$37),EXACT(H209,'Data Base'!$V$37),EXACT(K209,'Data Base'!$X$36)),I209*1.25*0.5*0.75,IF(AND(EXACT(G209,'Data Base'!$T$37),EXACT(H209,'Data Base'!$V$38),EXACT(K209,'Data Base'!$X$36)),I209*1.25*1.2*0.75,IF(AND(EXACT(G209,'Data Base'!$T$37),OR(EXACT(H209,'Data Base'!$V$36),EXACT(H209,'Data Base'!$V$35)),EXACT(K209,'Data Base'!$X$37)),I209*1.25*1*0.5,IF(AND(EXACT(G209,'Data Base'!$T$37),EXACT(H209,'Data Base'!$V$37),EXACT(K209,'Data Base'!$X$37)),I209*1.25*0.5*0.5,IF(AND(EXACT(G209,'Data Base'!$T$37),EXACT(H209,'Data Base'!$V$38),EXACT(K209,'Data Base'!$X$37)),I209*1.25*1.2*0.5))))))))))))))))))))))))))),"")</f>
        <v/>
      </c>
    </row>
    <row r="210" spans="1:13" ht="21" customHeight="1">
      <c r="A210" s="99">
        <v>14</v>
      </c>
      <c r="B210" s="1349" t="str">
        <f t="shared" si="24"/>
        <v/>
      </c>
      <c r="C210" s="1350"/>
      <c r="D210" s="148" t="str">
        <f t="shared" si="25"/>
        <v/>
      </c>
      <c r="E210" s="1351"/>
      <c r="F210" s="1352"/>
      <c r="G210" s="165"/>
      <c r="H210" s="140"/>
      <c r="I210" s="4"/>
      <c r="J210" s="4"/>
      <c r="K210" s="140"/>
      <c r="L210" s="4" t="s">
        <v>652</v>
      </c>
      <c r="M210" s="166" t="str">
        <f>IF(AND(NOT(EXACT(D210,"")),NOT(EXACT(G210,"")),NOT(EXACT(E210,"")),NOT(EXACT(B210,"")),NOT(EXACT(I210,"")),NOT(EXACT(H210,""))),IF(AND(EXACT(G210,'Data Base'!$T$35),OR(EXACT(H210,'Data Base'!$V$36),EXACT(H210,'Data Base'!$V$35)),EXACT(K210,'Data Base'!$X$35)),I210*0.5*1*1,IF(AND(EXACT(G210,'Data Base'!$T$35),EXACT(H210,'Data Base'!$V$37),EXACT(K210,'Data Base'!$X$35)),I210*0.5*0.5*1,IF(AND(EXACT(G210,'Data Base'!$T$35),EXACT(H210,'Data Base'!$V$38),EXACT(K210,'Data Base'!$X$35)),I210*0.5*1.2*1,IF(AND(EXACT(G210,'Data Base'!$T$35),OR(EXACT(H210,'Data Base'!$V$36),EXACT(H210,'Data Base'!$V$35)),EXACT(K210,'Data Base'!$X$36)),I210*0.5*1*0.75,IF(AND(EXACT(G210,'Data Base'!$T$35),EXACT(H210,'Data Base'!$V$37),EXACT(K210,'Data Base'!$X$36)),I210*0.5*0.5*0.75,IF(AND(EXACT(G210,'Data Base'!$T$35),EXACT(H210,'Data Base'!$V$38),EXACT(K210,'Data Base'!$X$36)),I210*0.5*1.2*0.75,IF(AND(EXACT(G210,'Data Base'!$T$35),OR(EXACT(H210,'Data Base'!$V$36),EXACT(H210,'Data Base'!$V$35)),EXACT(K210,'Data Base'!$X$37)),I210*0.5*1*0.5,IF(AND(EXACT(G210,'Data Base'!$T$35),EXACT(H210,'Data Base'!$V$37),EXACT(K210,'Data Base'!$X$37)),I210*0.5*0.5*0.5,IF(AND(EXACT(G210,'Data Base'!$T$35),EXACT(H210,'Data Base'!$V$38),EXACT(K210,'Data Base'!$X$37)),I210*0.5*1.2*0.5,IF(AND(EXACT(G210,'Data Base'!$T$36),OR(EXACT(H210,'Data Base'!$V$36),EXACT(H210,'Data Base'!$V$35)),EXACT(K210,'Data Base'!$X$35)),I210*1*1*1,IF(AND(EXACT(G210,'Data Base'!$T$36),EXACT(H210,'Data Base'!$V$37),EXACT(K210,'Data Base'!$X$35)),I210*1*0.5*1,IF(AND(EXACT(G210,'Data Base'!$T$36),EXACT(H210,'Data Base'!$V$38),EXACT(K210,'Data Base'!$X$35)),I210*1*1.2*1,IF(AND(EXACT(G210,'Data Base'!$T$36),OR(EXACT(H210,'Data Base'!$V$36),EXACT(H210,'Data Base'!$V$35)),EXACT(K210,'Data Base'!$X$36)),I210*1*1*0.75,IF(AND(EXACT(G210,'Data Base'!$T$36),EXACT(H210,'Data Base'!$V$37),EXACT(K210,'Data Base'!$X$36)),I210*1*0.5*0.75,IF(AND(EXACT(G210,'Data Base'!$T$36),EXACT(H210,'Data Base'!$V$38),EXACT(K210,'Data Base'!$X$36)),I210*1*1.2*0.75,IF(AND(EXACT(G210,'Data Base'!$T$36),OR(EXACT(H210,'Data Base'!$V$36),EXACT(H210,'Data Base'!$V$35)),EXACT(K210,'Data Base'!$X$37)),I210*1*1*0.5,IF(AND(EXACT(G210,'Data Base'!$T$36),EXACT(H210,'Data Base'!$V$37),EXACT(K210,'Data Base'!$X$37)),I210*1*0.5*0.5,IF(AND(EXACT(G210,'Data Base'!$T$36),EXACT(H210,'Data Base'!$V$38),EXACT(K210,'Data Base'!$X$37)),I210*1*1.2*0.5,IF(AND(EXACT(G210,'Data Base'!$T$37),OR(EXACT(H210,'Data Base'!$V$36),EXACT(H210,'Data Base'!$V$35)),EXACT(K210,'Data Base'!$X$35)),I210*1.25*1*1,IF(AND(EXACT(G210,'Data Base'!$T$37),EXACT(H210,'Data Base'!$V$37),EXACT(K210,'Data Base'!$X$35)),I210*1.25*0.5*1,IF(AND(EXACT(G210,'Data Base'!$T$37),EXACT(H210,'Data Base'!$V$38),EXACT(K210,'Data Base'!$X$35)),I210*1.25*1.2*1,IF(AND(EXACT(G210,'Data Base'!$T$37),OR(EXACT(H210,'Data Base'!$V$36),EXACT(H210,'Data Base'!$V$35)),EXACT(K210,'Data Base'!$X$36)),I210*1.25*1*0.75,IF(AND(EXACT(G210,'Data Base'!$T$37),EXACT(H210,'Data Base'!$V$37),EXACT(K210,'Data Base'!$X$36)),I210*1.25*0.5*0.75,IF(AND(EXACT(G210,'Data Base'!$T$37),EXACT(H210,'Data Base'!$V$38),EXACT(K210,'Data Base'!$X$36)),I210*1.25*1.2*0.75,IF(AND(EXACT(G210,'Data Base'!$T$37),OR(EXACT(H210,'Data Base'!$V$36),EXACT(H210,'Data Base'!$V$35)),EXACT(K210,'Data Base'!$X$37)),I210*1.25*1*0.5,IF(AND(EXACT(G210,'Data Base'!$T$37),EXACT(H210,'Data Base'!$V$37),EXACT(K210,'Data Base'!$X$37)),I210*1.25*0.5*0.5,IF(AND(EXACT(G210,'Data Base'!$T$37),EXACT(H210,'Data Base'!$V$38),EXACT(K210,'Data Base'!$X$37)),I210*1.25*1.2*0.5))))))))))))))))))))))))))),"")</f>
        <v/>
      </c>
    </row>
    <row r="211" spans="1:13" ht="21" customHeight="1" thickBot="1">
      <c r="A211" s="106">
        <v>15</v>
      </c>
      <c r="B211" s="1355" t="str">
        <f t="shared" si="24"/>
        <v/>
      </c>
      <c r="C211" s="1356"/>
      <c r="D211" s="107" t="str">
        <f t="shared" si="25"/>
        <v/>
      </c>
      <c r="E211" s="1357"/>
      <c r="F211" s="1358"/>
      <c r="G211" s="167"/>
      <c r="H211" s="108"/>
      <c r="I211" s="105"/>
      <c r="J211" s="105"/>
      <c r="K211" s="108"/>
      <c r="L211" s="105" t="s">
        <v>652</v>
      </c>
      <c r="M211" s="168" t="str">
        <f>IF(AND(NOT(EXACT(D211,"")),NOT(EXACT(G211,"")),NOT(EXACT(E211,"")),NOT(EXACT(B211,"")),NOT(EXACT(I211,"")),NOT(EXACT(H211,""))),IF(AND(EXACT(G211,'Data Base'!$T$35),OR(EXACT(H211,'Data Base'!$V$36),EXACT(H211,'Data Base'!$V$35)),EXACT(K211,'Data Base'!$X$35)),I211*0.5*1*1,IF(AND(EXACT(G211,'Data Base'!$T$35),EXACT(H211,'Data Base'!$V$37),EXACT(K211,'Data Base'!$X$35)),I211*0.5*0.5*1,IF(AND(EXACT(G211,'Data Base'!$T$35),EXACT(H211,'Data Base'!$V$38),EXACT(K211,'Data Base'!$X$35)),I211*0.5*1.2*1,IF(AND(EXACT(G211,'Data Base'!$T$35),OR(EXACT(H211,'Data Base'!$V$36),EXACT(H211,'Data Base'!$V$35)),EXACT(K211,'Data Base'!$X$36)),I211*0.5*1*0.75,IF(AND(EXACT(G211,'Data Base'!$T$35),EXACT(H211,'Data Base'!$V$37),EXACT(K211,'Data Base'!$X$36)),I211*0.5*0.5*0.75,IF(AND(EXACT(G211,'Data Base'!$T$35),EXACT(H211,'Data Base'!$V$38),EXACT(K211,'Data Base'!$X$36)),I211*0.5*1.2*0.75,IF(AND(EXACT(G211,'Data Base'!$T$35),OR(EXACT(H211,'Data Base'!$V$36),EXACT(H211,'Data Base'!$V$35)),EXACT(K211,'Data Base'!$X$37)),I211*0.5*1*0.5,IF(AND(EXACT(G211,'Data Base'!$T$35),EXACT(H211,'Data Base'!$V$37),EXACT(K211,'Data Base'!$X$37)),I211*0.5*0.5*0.5,IF(AND(EXACT(G211,'Data Base'!$T$35),EXACT(H211,'Data Base'!$V$38),EXACT(K211,'Data Base'!$X$37)),I211*0.5*1.2*0.5,IF(AND(EXACT(G211,'Data Base'!$T$36),OR(EXACT(H211,'Data Base'!$V$36),EXACT(H211,'Data Base'!$V$35)),EXACT(K211,'Data Base'!$X$35)),I211*1*1*1,IF(AND(EXACT(G211,'Data Base'!$T$36),EXACT(H211,'Data Base'!$V$37),EXACT(K211,'Data Base'!$X$35)),I211*1*0.5*1,IF(AND(EXACT(G211,'Data Base'!$T$36),EXACT(H211,'Data Base'!$V$38),EXACT(K211,'Data Base'!$X$35)),I211*1*1.2*1,IF(AND(EXACT(G211,'Data Base'!$T$36),OR(EXACT(H211,'Data Base'!$V$36),EXACT(H211,'Data Base'!$V$35)),EXACT(K211,'Data Base'!$X$36)),I211*1*1*0.75,IF(AND(EXACT(G211,'Data Base'!$T$36),EXACT(H211,'Data Base'!$V$37),EXACT(K211,'Data Base'!$X$36)),I211*1*0.5*0.75,IF(AND(EXACT(G211,'Data Base'!$T$36),EXACT(H211,'Data Base'!$V$38),EXACT(K211,'Data Base'!$X$36)),I211*1*1.2*0.75,IF(AND(EXACT(G211,'Data Base'!$T$36),OR(EXACT(H211,'Data Base'!$V$36),EXACT(H211,'Data Base'!$V$35)),EXACT(K211,'Data Base'!$X$37)),I211*1*1*0.5,IF(AND(EXACT(G211,'Data Base'!$T$36),EXACT(H211,'Data Base'!$V$37),EXACT(K211,'Data Base'!$X$37)),I211*1*0.5*0.5,IF(AND(EXACT(G211,'Data Base'!$T$36),EXACT(H211,'Data Base'!$V$38),EXACT(K211,'Data Base'!$X$37)),I211*1*1.2*0.5,IF(AND(EXACT(G211,'Data Base'!$T$37),OR(EXACT(H211,'Data Base'!$V$36),EXACT(H211,'Data Base'!$V$35)),EXACT(K211,'Data Base'!$X$35)),I211*1.25*1*1,IF(AND(EXACT(G211,'Data Base'!$T$37),EXACT(H211,'Data Base'!$V$37),EXACT(K211,'Data Base'!$X$35)),I211*1.25*0.5*1,IF(AND(EXACT(G211,'Data Base'!$T$37),EXACT(H211,'Data Base'!$V$38),EXACT(K211,'Data Base'!$X$35)),I211*1.25*1.2*1,IF(AND(EXACT(G211,'Data Base'!$T$37),OR(EXACT(H211,'Data Base'!$V$36),EXACT(H211,'Data Base'!$V$35)),EXACT(K211,'Data Base'!$X$36)),I211*1.25*1*0.75,IF(AND(EXACT(G211,'Data Base'!$T$37),EXACT(H211,'Data Base'!$V$37),EXACT(K211,'Data Base'!$X$36)),I211*1.25*0.5*0.75,IF(AND(EXACT(G211,'Data Base'!$T$37),EXACT(H211,'Data Base'!$V$38),EXACT(K211,'Data Base'!$X$36)),I211*1.25*1.2*0.75,IF(AND(EXACT(G211,'Data Base'!$T$37),OR(EXACT(H211,'Data Base'!$V$36),EXACT(H211,'Data Base'!$V$35)),EXACT(K211,'Data Base'!$X$37)),I211*1.25*1*0.5,IF(AND(EXACT(G211,'Data Base'!$T$37),EXACT(H211,'Data Base'!$V$37),EXACT(K211,'Data Base'!$X$37)),I211*1.25*0.5*0.5,IF(AND(EXACT(G211,'Data Base'!$T$37),EXACT(H211,'Data Base'!$V$38),EXACT(K211,'Data Base'!$X$37)),I211*1.25*1.2*0.5))))))))))))))))))))))))))),"")</f>
        <v/>
      </c>
    </row>
    <row r="212" spans="1:13" ht="21" customHeight="1" thickBot="1">
      <c r="A212" s="1359" t="s">
        <v>653</v>
      </c>
      <c r="B212" s="1360"/>
      <c r="C212" s="1360"/>
      <c r="D212" s="1360"/>
      <c r="E212" s="1360"/>
      <c r="F212" s="1360"/>
      <c r="G212" s="1360"/>
      <c r="H212" s="1360"/>
      <c r="I212" s="109">
        <f>B197</f>
        <v>0</v>
      </c>
      <c r="J212" s="109">
        <f>D197</f>
        <v>0</v>
      </c>
      <c r="K212" s="1361"/>
      <c r="L212" s="1362"/>
      <c r="M212" s="110">
        <f>IF(SUM(M197:M211)&gt;5,5,SUM(M197:M211))</f>
        <v>0</v>
      </c>
    </row>
    <row r="213" spans="1:13" ht="21" customHeight="1">
      <c r="A213" s="97">
        <v>1</v>
      </c>
      <c r="B213" s="1363"/>
      <c r="C213" s="1364"/>
      <c r="D213" s="104"/>
      <c r="E213" s="1353"/>
      <c r="F213" s="1354"/>
      <c r="G213" s="169"/>
      <c r="H213" s="104"/>
      <c r="I213" s="98"/>
      <c r="J213" s="98"/>
      <c r="K213" s="104"/>
      <c r="L213" s="98" t="s">
        <v>652</v>
      </c>
      <c r="M213" s="166" t="str">
        <f>IF(AND(NOT(EXACT(D213,"")),NOT(EXACT(G213,"")),NOT(EXACT(E213,"")),NOT(EXACT(B213,"")),NOT(EXACT(I213,"")),NOT(EXACT(H213,""))),IF(AND(EXACT(G213,'Data Base'!$T$35),OR(EXACT(H213,'Data Base'!$V$36),EXACT(H213,'Data Base'!$V$35)),EXACT(K213,'Data Base'!$X$35)),I213*0.5*1*1,IF(AND(EXACT(G213,'Data Base'!$T$35),EXACT(H213,'Data Base'!$V$37),EXACT(K213,'Data Base'!$X$35)),I213*0.5*0.5*1,IF(AND(EXACT(G213,'Data Base'!$T$35),EXACT(H213,'Data Base'!$V$38),EXACT(K213,'Data Base'!$X$35)),I213*0.5*1.2*1,IF(AND(EXACT(G213,'Data Base'!$T$35),OR(EXACT(H213,'Data Base'!$V$36),EXACT(H213,'Data Base'!$V$35)),EXACT(K213,'Data Base'!$X$36)),I213*0.5*1*0.75,IF(AND(EXACT(G213,'Data Base'!$T$35),EXACT(H213,'Data Base'!$V$37),EXACT(K213,'Data Base'!$X$36)),I213*0.5*0.5*0.75,IF(AND(EXACT(G213,'Data Base'!$T$35),EXACT(H213,'Data Base'!$V$38),EXACT(K213,'Data Base'!$X$36)),I213*0.5*1.2*0.75,IF(AND(EXACT(G213,'Data Base'!$T$35),OR(EXACT(H213,'Data Base'!$V$36),EXACT(H213,'Data Base'!$V$35)),EXACT(K213,'Data Base'!$X$37)),I213*0.5*1*0.5,IF(AND(EXACT(G213,'Data Base'!$T$35),EXACT(H213,'Data Base'!$V$37),EXACT(K213,'Data Base'!$X$37)),I213*0.5*0.5*0.5,IF(AND(EXACT(G213,'Data Base'!$T$35),EXACT(H213,'Data Base'!$V$38),EXACT(K213,'Data Base'!$X$37)),I213*0.5*1.2*0.5,IF(AND(EXACT(G213,'Data Base'!$T$36),OR(EXACT(H213,'Data Base'!$V$36),EXACT(H213,'Data Base'!$V$35)),EXACT(K213,'Data Base'!$X$35)),I213*1*1*1,IF(AND(EXACT(G213,'Data Base'!$T$36),EXACT(H213,'Data Base'!$V$37),EXACT(K213,'Data Base'!$X$35)),I213*1*0.5*1,IF(AND(EXACT(G213,'Data Base'!$T$36),EXACT(H213,'Data Base'!$V$38),EXACT(K213,'Data Base'!$X$35)),I213*1*1.2*1,IF(AND(EXACT(G213,'Data Base'!$T$36),OR(EXACT(H213,'Data Base'!$V$36),EXACT(H213,'Data Base'!$V$35)),EXACT(K213,'Data Base'!$X$36)),I213*1*1*0.75,IF(AND(EXACT(G213,'Data Base'!$T$36),EXACT(H213,'Data Base'!$V$37),EXACT(K213,'Data Base'!$X$36)),I213*1*0.5*0.75,IF(AND(EXACT(G213,'Data Base'!$T$36),EXACT(H213,'Data Base'!$V$38),EXACT(K213,'Data Base'!$X$36)),I213*1*1.2*0.75,IF(AND(EXACT(G213,'Data Base'!$T$36),OR(EXACT(H213,'Data Base'!$V$36),EXACT(H213,'Data Base'!$V$35)),EXACT(K213,'Data Base'!$X$37)),I213*1*1*0.5,IF(AND(EXACT(G213,'Data Base'!$T$36),EXACT(H213,'Data Base'!$V$37),EXACT(K213,'Data Base'!$X$37)),I213*1*0.5*0.5,IF(AND(EXACT(G213,'Data Base'!$T$36),EXACT(H213,'Data Base'!$V$38),EXACT(K213,'Data Base'!$X$37)),I213*1*1.2*0.5,IF(AND(EXACT(G213,'Data Base'!$T$37),OR(EXACT(H213,'Data Base'!$V$36),EXACT(H213,'Data Base'!$V$35)),EXACT(K213,'Data Base'!$X$35)),I213*1.25*1*1,IF(AND(EXACT(G213,'Data Base'!$T$37),EXACT(H213,'Data Base'!$V$37),EXACT(K213,'Data Base'!$X$35)),I213*1.25*0.5*1,IF(AND(EXACT(G213,'Data Base'!$T$37),EXACT(H213,'Data Base'!$V$38),EXACT(K213,'Data Base'!$X$35)),I213*1.25*1.2*1,IF(AND(EXACT(G213,'Data Base'!$T$37),OR(EXACT(H213,'Data Base'!$V$36),EXACT(H213,'Data Base'!$V$35)),EXACT(K213,'Data Base'!$X$36)),I213*1.25*1*0.75,IF(AND(EXACT(G213,'Data Base'!$T$37),EXACT(H213,'Data Base'!$V$37),EXACT(K213,'Data Base'!$X$36)),I213*1.25*0.5*0.75,IF(AND(EXACT(G213,'Data Base'!$T$37),EXACT(H213,'Data Base'!$V$38),EXACT(K213,'Data Base'!$X$36)),I213*1.25*1.2*0.75,IF(AND(EXACT(G213,'Data Base'!$T$37),OR(EXACT(H213,'Data Base'!$V$36),EXACT(H213,'Data Base'!$V$35)),EXACT(K213,'Data Base'!$X$37)),I213*1.25*1*0.5,IF(AND(EXACT(G213,'Data Base'!$T$37),EXACT(H213,'Data Base'!$V$37),EXACT(K213,'Data Base'!$X$37)),I213*1.25*0.5*0.5,IF(AND(EXACT(G213,'Data Base'!$T$37),EXACT(H213,'Data Base'!$V$38),EXACT(K213,'Data Base'!$X$37)),I213*1.25*1.2*0.5))))))))))))))))))))))))))),"")</f>
        <v/>
      </c>
    </row>
    <row r="214" spans="1:13" ht="21" customHeight="1">
      <c r="A214" s="99">
        <v>2</v>
      </c>
      <c r="B214" s="1349" t="str">
        <f t="shared" ref="B214:B227" si="26">IF(NOT(EXACT(D214,"")),B213,"")</f>
        <v/>
      </c>
      <c r="C214" s="1350"/>
      <c r="D214" s="148" t="str">
        <f t="shared" ref="D214:D227" si="27">IF(NOT(EXACT(E214,"")),D213,"")</f>
        <v/>
      </c>
      <c r="E214" s="1365"/>
      <c r="F214" s="1365"/>
      <c r="G214" s="165"/>
      <c r="H214" s="140"/>
      <c r="I214" s="4"/>
      <c r="J214" s="4"/>
      <c r="K214" s="140"/>
      <c r="L214" s="4" t="s">
        <v>652</v>
      </c>
      <c r="M214" s="166" t="str">
        <f>IF(AND(NOT(EXACT(D214,"")),NOT(EXACT(G214,"")),NOT(EXACT(E214,"")),NOT(EXACT(B214,"")),NOT(EXACT(I214,"")),NOT(EXACT(H214,""))),IF(AND(EXACT(G214,'Data Base'!$T$35),OR(EXACT(H214,'Data Base'!$V$36),EXACT(H214,'Data Base'!$V$35)),EXACT(K214,'Data Base'!$X$35)),I214*0.5*1*1,IF(AND(EXACT(G214,'Data Base'!$T$35),EXACT(H214,'Data Base'!$V$37),EXACT(K214,'Data Base'!$X$35)),I214*0.5*0.5*1,IF(AND(EXACT(G214,'Data Base'!$T$35),EXACT(H214,'Data Base'!$V$38),EXACT(K214,'Data Base'!$X$35)),I214*0.5*1.2*1,IF(AND(EXACT(G214,'Data Base'!$T$35),OR(EXACT(H214,'Data Base'!$V$36),EXACT(H214,'Data Base'!$V$35)),EXACT(K214,'Data Base'!$X$36)),I214*0.5*1*0.75,IF(AND(EXACT(G214,'Data Base'!$T$35),EXACT(H214,'Data Base'!$V$37),EXACT(K214,'Data Base'!$X$36)),I214*0.5*0.5*0.75,IF(AND(EXACT(G214,'Data Base'!$T$35),EXACT(H214,'Data Base'!$V$38),EXACT(K214,'Data Base'!$X$36)),I214*0.5*1.2*0.75,IF(AND(EXACT(G214,'Data Base'!$T$35),OR(EXACT(H214,'Data Base'!$V$36),EXACT(H214,'Data Base'!$V$35)),EXACT(K214,'Data Base'!$X$37)),I214*0.5*1*0.5,IF(AND(EXACT(G214,'Data Base'!$T$35),EXACT(H214,'Data Base'!$V$37),EXACT(K214,'Data Base'!$X$37)),I214*0.5*0.5*0.5,IF(AND(EXACT(G214,'Data Base'!$T$35),EXACT(H214,'Data Base'!$V$38),EXACT(K214,'Data Base'!$X$37)),I214*0.5*1.2*0.5,IF(AND(EXACT(G214,'Data Base'!$T$36),OR(EXACT(H214,'Data Base'!$V$36),EXACT(H214,'Data Base'!$V$35)),EXACT(K214,'Data Base'!$X$35)),I214*1*1*1,IF(AND(EXACT(G214,'Data Base'!$T$36),EXACT(H214,'Data Base'!$V$37),EXACT(K214,'Data Base'!$X$35)),I214*1*0.5*1,IF(AND(EXACT(G214,'Data Base'!$T$36),EXACT(H214,'Data Base'!$V$38),EXACT(K214,'Data Base'!$X$35)),I214*1*1.2*1,IF(AND(EXACT(G214,'Data Base'!$T$36),OR(EXACT(H214,'Data Base'!$V$36),EXACT(H214,'Data Base'!$V$35)),EXACT(K214,'Data Base'!$X$36)),I214*1*1*0.75,IF(AND(EXACT(G214,'Data Base'!$T$36),EXACT(H214,'Data Base'!$V$37),EXACT(K214,'Data Base'!$X$36)),I214*1*0.5*0.75,IF(AND(EXACT(G214,'Data Base'!$T$36),EXACT(H214,'Data Base'!$V$38),EXACT(K214,'Data Base'!$X$36)),I214*1*1.2*0.75,IF(AND(EXACT(G214,'Data Base'!$T$36),OR(EXACT(H214,'Data Base'!$V$36),EXACT(H214,'Data Base'!$V$35)),EXACT(K214,'Data Base'!$X$37)),I214*1*1*0.5,IF(AND(EXACT(G214,'Data Base'!$T$36),EXACT(H214,'Data Base'!$V$37),EXACT(K214,'Data Base'!$X$37)),I214*1*0.5*0.5,IF(AND(EXACT(G214,'Data Base'!$T$36),EXACT(H214,'Data Base'!$V$38),EXACT(K214,'Data Base'!$X$37)),I214*1*1.2*0.5,IF(AND(EXACT(G214,'Data Base'!$T$37),OR(EXACT(H214,'Data Base'!$V$36),EXACT(H214,'Data Base'!$V$35)),EXACT(K214,'Data Base'!$X$35)),I214*1.25*1*1,IF(AND(EXACT(G214,'Data Base'!$T$37),EXACT(H214,'Data Base'!$V$37),EXACT(K214,'Data Base'!$X$35)),I214*1.25*0.5*1,IF(AND(EXACT(G214,'Data Base'!$T$37),EXACT(H214,'Data Base'!$V$38),EXACT(K214,'Data Base'!$X$35)),I214*1.25*1.2*1,IF(AND(EXACT(G214,'Data Base'!$T$37),OR(EXACT(H214,'Data Base'!$V$36),EXACT(H214,'Data Base'!$V$35)),EXACT(K214,'Data Base'!$X$36)),I214*1.25*1*0.75,IF(AND(EXACT(G214,'Data Base'!$T$37),EXACT(H214,'Data Base'!$V$37),EXACT(K214,'Data Base'!$X$36)),I214*1.25*0.5*0.75,IF(AND(EXACT(G214,'Data Base'!$T$37),EXACT(H214,'Data Base'!$V$38),EXACT(K214,'Data Base'!$X$36)),I214*1.25*1.2*0.75,IF(AND(EXACT(G214,'Data Base'!$T$37),OR(EXACT(H214,'Data Base'!$V$36),EXACT(H214,'Data Base'!$V$35)),EXACT(K214,'Data Base'!$X$37)),I214*1.25*1*0.5,IF(AND(EXACT(G214,'Data Base'!$T$37),EXACT(H214,'Data Base'!$V$37),EXACT(K214,'Data Base'!$X$37)),I214*1.25*0.5*0.5,IF(AND(EXACT(G214,'Data Base'!$T$37),EXACT(H214,'Data Base'!$V$38),EXACT(K214,'Data Base'!$X$37)),I214*1.25*1.2*0.5))))))))))))))))))))))))))),"")</f>
        <v/>
      </c>
    </row>
    <row r="215" spans="1:13" ht="21" customHeight="1">
      <c r="A215" s="99">
        <v>3</v>
      </c>
      <c r="B215" s="1349" t="str">
        <f t="shared" si="26"/>
        <v/>
      </c>
      <c r="C215" s="1350"/>
      <c r="D215" s="148" t="str">
        <f t="shared" si="27"/>
        <v/>
      </c>
      <c r="E215" s="1351"/>
      <c r="F215" s="1352"/>
      <c r="G215" s="165"/>
      <c r="H215" s="140"/>
      <c r="I215" s="4"/>
      <c r="J215" s="4"/>
      <c r="K215" s="140"/>
      <c r="L215" s="4" t="s">
        <v>652</v>
      </c>
      <c r="M215" s="166" t="str">
        <f>IF(AND(NOT(EXACT(D215,"")),NOT(EXACT(G215,"")),NOT(EXACT(E215,"")),NOT(EXACT(B215,"")),NOT(EXACT(I215,"")),NOT(EXACT(H215,""))),IF(AND(EXACT(G215,'Data Base'!$T$35),OR(EXACT(H215,'Data Base'!$V$36),EXACT(H215,'Data Base'!$V$35)),EXACT(K215,'Data Base'!$X$35)),I215*0.5*1*1,IF(AND(EXACT(G215,'Data Base'!$T$35),EXACT(H215,'Data Base'!$V$37),EXACT(K215,'Data Base'!$X$35)),I215*0.5*0.5*1,IF(AND(EXACT(G215,'Data Base'!$T$35),EXACT(H215,'Data Base'!$V$38),EXACT(K215,'Data Base'!$X$35)),I215*0.5*1.2*1,IF(AND(EXACT(G215,'Data Base'!$T$35),OR(EXACT(H215,'Data Base'!$V$36),EXACT(H215,'Data Base'!$V$35)),EXACT(K215,'Data Base'!$X$36)),I215*0.5*1*0.75,IF(AND(EXACT(G215,'Data Base'!$T$35),EXACT(H215,'Data Base'!$V$37),EXACT(K215,'Data Base'!$X$36)),I215*0.5*0.5*0.75,IF(AND(EXACT(G215,'Data Base'!$T$35),EXACT(H215,'Data Base'!$V$38),EXACT(K215,'Data Base'!$X$36)),I215*0.5*1.2*0.75,IF(AND(EXACT(G215,'Data Base'!$T$35),OR(EXACT(H215,'Data Base'!$V$36),EXACT(H215,'Data Base'!$V$35)),EXACT(K215,'Data Base'!$X$37)),I215*0.5*1*0.5,IF(AND(EXACT(G215,'Data Base'!$T$35),EXACT(H215,'Data Base'!$V$37),EXACT(K215,'Data Base'!$X$37)),I215*0.5*0.5*0.5,IF(AND(EXACT(G215,'Data Base'!$T$35),EXACT(H215,'Data Base'!$V$38),EXACT(K215,'Data Base'!$X$37)),I215*0.5*1.2*0.5,IF(AND(EXACT(G215,'Data Base'!$T$36),OR(EXACT(H215,'Data Base'!$V$36),EXACT(H215,'Data Base'!$V$35)),EXACT(K215,'Data Base'!$X$35)),I215*1*1*1,IF(AND(EXACT(G215,'Data Base'!$T$36),EXACT(H215,'Data Base'!$V$37),EXACT(K215,'Data Base'!$X$35)),I215*1*0.5*1,IF(AND(EXACT(G215,'Data Base'!$T$36),EXACT(H215,'Data Base'!$V$38),EXACT(K215,'Data Base'!$X$35)),I215*1*1.2*1,IF(AND(EXACT(G215,'Data Base'!$T$36),OR(EXACT(H215,'Data Base'!$V$36),EXACT(H215,'Data Base'!$V$35)),EXACT(K215,'Data Base'!$X$36)),I215*1*1*0.75,IF(AND(EXACT(G215,'Data Base'!$T$36),EXACT(H215,'Data Base'!$V$37),EXACT(K215,'Data Base'!$X$36)),I215*1*0.5*0.75,IF(AND(EXACT(G215,'Data Base'!$T$36),EXACT(H215,'Data Base'!$V$38),EXACT(K215,'Data Base'!$X$36)),I215*1*1.2*0.75,IF(AND(EXACT(G215,'Data Base'!$T$36),OR(EXACT(H215,'Data Base'!$V$36),EXACT(H215,'Data Base'!$V$35)),EXACT(K215,'Data Base'!$X$37)),I215*1*1*0.5,IF(AND(EXACT(G215,'Data Base'!$T$36),EXACT(H215,'Data Base'!$V$37),EXACT(K215,'Data Base'!$X$37)),I215*1*0.5*0.5,IF(AND(EXACT(G215,'Data Base'!$T$36),EXACT(H215,'Data Base'!$V$38),EXACT(K215,'Data Base'!$X$37)),I215*1*1.2*0.5,IF(AND(EXACT(G215,'Data Base'!$T$37),OR(EXACT(H215,'Data Base'!$V$36),EXACT(H215,'Data Base'!$V$35)),EXACT(K215,'Data Base'!$X$35)),I215*1.25*1*1,IF(AND(EXACT(G215,'Data Base'!$T$37),EXACT(H215,'Data Base'!$V$37),EXACT(K215,'Data Base'!$X$35)),I215*1.25*0.5*1,IF(AND(EXACT(G215,'Data Base'!$T$37),EXACT(H215,'Data Base'!$V$38),EXACT(K215,'Data Base'!$X$35)),I215*1.25*1.2*1,IF(AND(EXACT(G215,'Data Base'!$T$37),OR(EXACT(H215,'Data Base'!$V$36),EXACT(H215,'Data Base'!$V$35)),EXACT(K215,'Data Base'!$X$36)),I215*1.25*1*0.75,IF(AND(EXACT(G215,'Data Base'!$T$37),EXACT(H215,'Data Base'!$V$37),EXACT(K215,'Data Base'!$X$36)),I215*1.25*0.5*0.75,IF(AND(EXACT(G215,'Data Base'!$T$37),EXACT(H215,'Data Base'!$V$38),EXACT(K215,'Data Base'!$X$36)),I215*1.25*1.2*0.75,IF(AND(EXACT(G215,'Data Base'!$T$37),OR(EXACT(H215,'Data Base'!$V$36),EXACT(H215,'Data Base'!$V$35)),EXACT(K215,'Data Base'!$X$37)),I215*1.25*1*0.5,IF(AND(EXACT(G215,'Data Base'!$T$37),EXACT(H215,'Data Base'!$V$37),EXACT(K215,'Data Base'!$X$37)),I215*1.25*0.5*0.5,IF(AND(EXACT(G215,'Data Base'!$T$37),EXACT(H215,'Data Base'!$V$38),EXACT(K215,'Data Base'!$X$37)),I215*1.25*1.2*0.5))))))))))))))))))))))))))),"")</f>
        <v/>
      </c>
    </row>
    <row r="216" spans="1:13" ht="21" customHeight="1">
      <c r="A216" s="97">
        <v>4</v>
      </c>
      <c r="B216" s="1349" t="str">
        <f t="shared" si="26"/>
        <v/>
      </c>
      <c r="C216" s="1350"/>
      <c r="D216" s="148" t="str">
        <f t="shared" si="27"/>
        <v/>
      </c>
      <c r="E216" s="1351"/>
      <c r="F216" s="1352"/>
      <c r="G216" s="165"/>
      <c r="H216" s="140"/>
      <c r="I216" s="4"/>
      <c r="J216" s="4"/>
      <c r="K216" s="140"/>
      <c r="L216" s="4" t="s">
        <v>652</v>
      </c>
      <c r="M216" s="166" t="str">
        <f>IF(AND(NOT(EXACT(D216,"")),NOT(EXACT(G216,"")),NOT(EXACT(E216,"")),NOT(EXACT(B216,"")),NOT(EXACT(I216,"")),NOT(EXACT(H216,""))),IF(AND(EXACT(G216,'Data Base'!$T$35),OR(EXACT(H216,'Data Base'!$V$36),EXACT(H216,'Data Base'!$V$35)),EXACT(K216,'Data Base'!$X$35)),I216*0.5*1*1,IF(AND(EXACT(G216,'Data Base'!$T$35),EXACT(H216,'Data Base'!$V$37),EXACT(K216,'Data Base'!$X$35)),I216*0.5*0.5*1,IF(AND(EXACT(G216,'Data Base'!$T$35),EXACT(H216,'Data Base'!$V$38),EXACT(K216,'Data Base'!$X$35)),I216*0.5*1.2*1,IF(AND(EXACT(G216,'Data Base'!$T$35),OR(EXACT(H216,'Data Base'!$V$36),EXACT(H216,'Data Base'!$V$35)),EXACT(K216,'Data Base'!$X$36)),I216*0.5*1*0.75,IF(AND(EXACT(G216,'Data Base'!$T$35),EXACT(H216,'Data Base'!$V$37),EXACT(K216,'Data Base'!$X$36)),I216*0.5*0.5*0.75,IF(AND(EXACT(G216,'Data Base'!$T$35),EXACT(H216,'Data Base'!$V$38),EXACT(K216,'Data Base'!$X$36)),I216*0.5*1.2*0.75,IF(AND(EXACT(G216,'Data Base'!$T$35),OR(EXACT(H216,'Data Base'!$V$36),EXACT(H216,'Data Base'!$V$35)),EXACT(K216,'Data Base'!$X$37)),I216*0.5*1*0.5,IF(AND(EXACT(G216,'Data Base'!$T$35),EXACT(H216,'Data Base'!$V$37),EXACT(K216,'Data Base'!$X$37)),I216*0.5*0.5*0.5,IF(AND(EXACT(G216,'Data Base'!$T$35),EXACT(H216,'Data Base'!$V$38),EXACT(K216,'Data Base'!$X$37)),I216*0.5*1.2*0.5,IF(AND(EXACT(G216,'Data Base'!$T$36),OR(EXACT(H216,'Data Base'!$V$36),EXACT(H216,'Data Base'!$V$35)),EXACT(K216,'Data Base'!$X$35)),I216*1*1*1,IF(AND(EXACT(G216,'Data Base'!$T$36),EXACT(H216,'Data Base'!$V$37),EXACT(K216,'Data Base'!$X$35)),I216*1*0.5*1,IF(AND(EXACT(G216,'Data Base'!$T$36),EXACT(H216,'Data Base'!$V$38),EXACT(K216,'Data Base'!$X$35)),I216*1*1.2*1,IF(AND(EXACT(G216,'Data Base'!$T$36),OR(EXACT(H216,'Data Base'!$V$36),EXACT(H216,'Data Base'!$V$35)),EXACT(K216,'Data Base'!$X$36)),I216*1*1*0.75,IF(AND(EXACT(G216,'Data Base'!$T$36),EXACT(H216,'Data Base'!$V$37),EXACT(K216,'Data Base'!$X$36)),I216*1*0.5*0.75,IF(AND(EXACT(G216,'Data Base'!$T$36),EXACT(H216,'Data Base'!$V$38),EXACT(K216,'Data Base'!$X$36)),I216*1*1.2*0.75,IF(AND(EXACT(G216,'Data Base'!$T$36),OR(EXACT(H216,'Data Base'!$V$36),EXACT(H216,'Data Base'!$V$35)),EXACT(K216,'Data Base'!$X$37)),I216*1*1*0.5,IF(AND(EXACT(G216,'Data Base'!$T$36),EXACT(H216,'Data Base'!$V$37),EXACT(K216,'Data Base'!$X$37)),I216*1*0.5*0.5,IF(AND(EXACT(G216,'Data Base'!$T$36),EXACT(H216,'Data Base'!$V$38),EXACT(K216,'Data Base'!$X$37)),I216*1*1.2*0.5,IF(AND(EXACT(G216,'Data Base'!$T$37),OR(EXACT(H216,'Data Base'!$V$36),EXACT(H216,'Data Base'!$V$35)),EXACT(K216,'Data Base'!$X$35)),I216*1.25*1*1,IF(AND(EXACT(G216,'Data Base'!$T$37),EXACT(H216,'Data Base'!$V$37),EXACT(K216,'Data Base'!$X$35)),I216*1.25*0.5*1,IF(AND(EXACT(G216,'Data Base'!$T$37),EXACT(H216,'Data Base'!$V$38),EXACT(K216,'Data Base'!$X$35)),I216*1.25*1.2*1,IF(AND(EXACT(G216,'Data Base'!$T$37),OR(EXACT(H216,'Data Base'!$V$36),EXACT(H216,'Data Base'!$V$35)),EXACT(K216,'Data Base'!$X$36)),I216*1.25*1*0.75,IF(AND(EXACT(G216,'Data Base'!$T$37),EXACT(H216,'Data Base'!$V$37),EXACT(K216,'Data Base'!$X$36)),I216*1.25*0.5*0.75,IF(AND(EXACT(G216,'Data Base'!$T$37),EXACT(H216,'Data Base'!$V$38),EXACT(K216,'Data Base'!$X$36)),I216*1.25*1.2*0.75,IF(AND(EXACT(G216,'Data Base'!$T$37),OR(EXACT(H216,'Data Base'!$V$36),EXACT(H216,'Data Base'!$V$35)),EXACT(K216,'Data Base'!$X$37)),I216*1.25*1*0.5,IF(AND(EXACT(G216,'Data Base'!$T$37),EXACT(H216,'Data Base'!$V$37),EXACT(K216,'Data Base'!$X$37)),I216*1.25*0.5*0.5,IF(AND(EXACT(G216,'Data Base'!$T$37),EXACT(H216,'Data Base'!$V$38),EXACT(K216,'Data Base'!$X$37)),I216*1.25*1.2*0.5))))))))))))))))))))))))))),"")</f>
        <v/>
      </c>
    </row>
    <row r="217" spans="1:13" ht="21" customHeight="1">
      <c r="A217" s="99">
        <v>5</v>
      </c>
      <c r="B217" s="1349" t="str">
        <f t="shared" si="26"/>
        <v/>
      </c>
      <c r="C217" s="1350"/>
      <c r="D217" s="148" t="str">
        <f t="shared" si="27"/>
        <v/>
      </c>
      <c r="E217" s="1351"/>
      <c r="F217" s="1352"/>
      <c r="G217" s="165"/>
      <c r="H217" s="140"/>
      <c r="I217" s="4"/>
      <c r="J217" s="4"/>
      <c r="K217" s="140"/>
      <c r="L217" s="4" t="s">
        <v>652</v>
      </c>
      <c r="M217" s="166" t="str">
        <f>IF(AND(NOT(EXACT(D217,"")),NOT(EXACT(G217,"")),NOT(EXACT(E217,"")),NOT(EXACT(B217,"")),NOT(EXACT(I217,"")),NOT(EXACT(H217,""))),IF(AND(EXACT(G217,'Data Base'!$T$35),OR(EXACT(H217,'Data Base'!$V$36),EXACT(H217,'Data Base'!$V$35)),EXACT(K217,'Data Base'!$X$35)),I217*0.5*1*1,IF(AND(EXACT(G217,'Data Base'!$T$35),EXACT(H217,'Data Base'!$V$37),EXACT(K217,'Data Base'!$X$35)),I217*0.5*0.5*1,IF(AND(EXACT(G217,'Data Base'!$T$35),EXACT(H217,'Data Base'!$V$38),EXACT(K217,'Data Base'!$X$35)),I217*0.5*1.2*1,IF(AND(EXACT(G217,'Data Base'!$T$35),OR(EXACT(H217,'Data Base'!$V$36),EXACT(H217,'Data Base'!$V$35)),EXACT(K217,'Data Base'!$X$36)),I217*0.5*1*0.75,IF(AND(EXACT(G217,'Data Base'!$T$35),EXACT(H217,'Data Base'!$V$37),EXACT(K217,'Data Base'!$X$36)),I217*0.5*0.5*0.75,IF(AND(EXACT(G217,'Data Base'!$T$35),EXACT(H217,'Data Base'!$V$38),EXACT(K217,'Data Base'!$X$36)),I217*0.5*1.2*0.75,IF(AND(EXACT(G217,'Data Base'!$T$35),OR(EXACT(H217,'Data Base'!$V$36),EXACT(H217,'Data Base'!$V$35)),EXACT(K217,'Data Base'!$X$37)),I217*0.5*1*0.5,IF(AND(EXACT(G217,'Data Base'!$T$35),EXACT(H217,'Data Base'!$V$37),EXACT(K217,'Data Base'!$X$37)),I217*0.5*0.5*0.5,IF(AND(EXACT(G217,'Data Base'!$T$35),EXACT(H217,'Data Base'!$V$38),EXACT(K217,'Data Base'!$X$37)),I217*0.5*1.2*0.5,IF(AND(EXACT(G217,'Data Base'!$T$36),OR(EXACT(H217,'Data Base'!$V$36),EXACT(H217,'Data Base'!$V$35)),EXACT(K217,'Data Base'!$X$35)),I217*1*1*1,IF(AND(EXACT(G217,'Data Base'!$T$36),EXACT(H217,'Data Base'!$V$37),EXACT(K217,'Data Base'!$X$35)),I217*1*0.5*1,IF(AND(EXACT(G217,'Data Base'!$T$36),EXACT(H217,'Data Base'!$V$38),EXACT(K217,'Data Base'!$X$35)),I217*1*1.2*1,IF(AND(EXACT(G217,'Data Base'!$T$36),OR(EXACT(H217,'Data Base'!$V$36),EXACT(H217,'Data Base'!$V$35)),EXACT(K217,'Data Base'!$X$36)),I217*1*1*0.75,IF(AND(EXACT(G217,'Data Base'!$T$36),EXACT(H217,'Data Base'!$V$37),EXACT(K217,'Data Base'!$X$36)),I217*1*0.5*0.75,IF(AND(EXACT(G217,'Data Base'!$T$36),EXACT(H217,'Data Base'!$V$38),EXACT(K217,'Data Base'!$X$36)),I217*1*1.2*0.75,IF(AND(EXACT(G217,'Data Base'!$T$36),OR(EXACT(H217,'Data Base'!$V$36),EXACT(H217,'Data Base'!$V$35)),EXACT(K217,'Data Base'!$X$37)),I217*1*1*0.5,IF(AND(EXACT(G217,'Data Base'!$T$36),EXACT(H217,'Data Base'!$V$37),EXACT(K217,'Data Base'!$X$37)),I217*1*0.5*0.5,IF(AND(EXACT(G217,'Data Base'!$T$36),EXACT(H217,'Data Base'!$V$38),EXACT(K217,'Data Base'!$X$37)),I217*1*1.2*0.5,IF(AND(EXACT(G217,'Data Base'!$T$37),OR(EXACT(H217,'Data Base'!$V$36),EXACT(H217,'Data Base'!$V$35)),EXACT(K217,'Data Base'!$X$35)),I217*1.25*1*1,IF(AND(EXACT(G217,'Data Base'!$T$37),EXACT(H217,'Data Base'!$V$37),EXACT(K217,'Data Base'!$X$35)),I217*1.25*0.5*1,IF(AND(EXACT(G217,'Data Base'!$T$37),EXACT(H217,'Data Base'!$V$38),EXACT(K217,'Data Base'!$X$35)),I217*1.25*1.2*1,IF(AND(EXACT(G217,'Data Base'!$T$37),OR(EXACT(H217,'Data Base'!$V$36),EXACT(H217,'Data Base'!$V$35)),EXACT(K217,'Data Base'!$X$36)),I217*1.25*1*0.75,IF(AND(EXACT(G217,'Data Base'!$T$37),EXACT(H217,'Data Base'!$V$37),EXACT(K217,'Data Base'!$X$36)),I217*1.25*0.5*0.75,IF(AND(EXACT(G217,'Data Base'!$T$37),EXACT(H217,'Data Base'!$V$38),EXACT(K217,'Data Base'!$X$36)),I217*1.25*1.2*0.75,IF(AND(EXACT(G217,'Data Base'!$T$37),OR(EXACT(H217,'Data Base'!$V$36),EXACT(H217,'Data Base'!$V$35)),EXACT(K217,'Data Base'!$X$37)),I217*1.25*1*0.5,IF(AND(EXACT(G217,'Data Base'!$T$37),EXACT(H217,'Data Base'!$V$37),EXACT(K217,'Data Base'!$X$37)),I217*1.25*0.5*0.5,IF(AND(EXACT(G217,'Data Base'!$T$37),EXACT(H217,'Data Base'!$V$38),EXACT(K217,'Data Base'!$X$37)),I217*1.25*1.2*0.5))))))))))))))))))))))))))),"")</f>
        <v/>
      </c>
    </row>
    <row r="218" spans="1:13" ht="21" customHeight="1">
      <c r="A218" s="99">
        <v>6</v>
      </c>
      <c r="B218" s="1349" t="str">
        <f t="shared" si="26"/>
        <v/>
      </c>
      <c r="C218" s="1350"/>
      <c r="D218" s="148" t="str">
        <f t="shared" si="27"/>
        <v/>
      </c>
      <c r="E218" s="1351"/>
      <c r="F218" s="1352"/>
      <c r="G218" s="165"/>
      <c r="H218" s="140"/>
      <c r="I218" s="4"/>
      <c r="J218" s="4"/>
      <c r="K218" s="140"/>
      <c r="L218" s="4" t="s">
        <v>652</v>
      </c>
      <c r="M218" s="166" t="str">
        <f>IF(AND(NOT(EXACT(D218,"")),NOT(EXACT(G218,"")),NOT(EXACT(E218,"")),NOT(EXACT(B218,"")),NOT(EXACT(I218,"")),NOT(EXACT(H218,""))),IF(AND(EXACT(G218,'Data Base'!$T$35),OR(EXACT(H218,'Data Base'!$V$36),EXACT(H218,'Data Base'!$V$35)),EXACT(K218,'Data Base'!$X$35)),I218*0.5*1*1,IF(AND(EXACT(G218,'Data Base'!$T$35),EXACT(H218,'Data Base'!$V$37),EXACT(K218,'Data Base'!$X$35)),I218*0.5*0.5*1,IF(AND(EXACT(G218,'Data Base'!$T$35),EXACT(H218,'Data Base'!$V$38),EXACT(K218,'Data Base'!$X$35)),I218*0.5*1.2*1,IF(AND(EXACT(G218,'Data Base'!$T$35),OR(EXACT(H218,'Data Base'!$V$36),EXACT(H218,'Data Base'!$V$35)),EXACT(K218,'Data Base'!$X$36)),I218*0.5*1*0.75,IF(AND(EXACT(G218,'Data Base'!$T$35),EXACT(H218,'Data Base'!$V$37),EXACT(K218,'Data Base'!$X$36)),I218*0.5*0.5*0.75,IF(AND(EXACT(G218,'Data Base'!$T$35),EXACT(H218,'Data Base'!$V$38),EXACT(K218,'Data Base'!$X$36)),I218*0.5*1.2*0.75,IF(AND(EXACT(G218,'Data Base'!$T$35),OR(EXACT(H218,'Data Base'!$V$36),EXACT(H218,'Data Base'!$V$35)),EXACT(K218,'Data Base'!$X$37)),I218*0.5*1*0.5,IF(AND(EXACT(G218,'Data Base'!$T$35),EXACT(H218,'Data Base'!$V$37),EXACT(K218,'Data Base'!$X$37)),I218*0.5*0.5*0.5,IF(AND(EXACT(G218,'Data Base'!$T$35),EXACT(H218,'Data Base'!$V$38),EXACT(K218,'Data Base'!$X$37)),I218*0.5*1.2*0.5,IF(AND(EXACT(G218,'Data Base'!$T$36),OR(EXACT(H218,'Data Base'!$V$36),EXACT(H218,'Data Base'!$V$35)),EXACT(K218,'Data Base'!$X$35)),I218*1*1*1,IF(AND(EXACT(G218,'Data Base'!$T$36),EXACT(H218,'Data Base'!$V$37),EXACT(K218,'Data Base'!$X$35)),I218*1*0.5*1,IF(AND(EXACT(G218,'Data Base'!$T$36),EXACT(H218,'Data Base'!$V$38),EXACT(K218,'Data Base'!$X$35)),I218*1*1.2*1,IF(AND(EXACT(G218,'Data Base'!$T$36),OR(EXACT(H218,'Data Base'!$V$36),EXACT(H218,'Data Base'!$V$35)),EXACT(K218,'Data Base'!$X$36)),I218*1*1*0.75,IF(AND(EXACT(G218,'Data Base'!$T$36),EXACT(H218,'Data Base'!$V$37),EXACT(K218,'Data Base'!$X$36)),I218*1*0.5*0.75,IF(AND(EXACT(G218,'Data Base'!$T$36),EXACT(H218,'Data Base'!$V$38),EXACT(K218,'Data Base'!$X$36)),I218*1*1.2*0.75,IF(AND(EXACT(G218,'Data Base'!$T$36),OR(EXACT(H218,'Data Base'!$V$36),EXACT(H218,'Data Base'!$V$35)),EXACT(K218,'Data Base'!$X$37)),I218*1*1*0.5,IF(AND(EXACT(G218,'Data Base'!$T$36),EXACT(H218,'Data Base'!$V$37),EXACT(K218,'Data Base'!$X$37)),I218*1*0.5*0.5,IF(AND(EXACT(G218,'Data Base'!$T$36),EXACT(H218,'Data Base'!$V$38),EXACT(K218,'Data Base'!$X$37)),I218*1*1.2*0.5,IF(AND(EXACT(G218,'Data Base'!$T$37),OR(EXACT(H218,'Data Base'!$V$36),EXACT(H218,'Data Base'!$V$35)),EXACT(K218,'Data Base'!$X$35)),I218*1.25*1*1,IF(AND(EXACT(G218,'Data Base'!$T$37),EXACT(H218,'Data Base'!$V$37),EXACT(K218,'Data Base'!$X$35)),I218*1.25*0.5*1,IF(AND(EXACT(G218,'Data Base'!$T$37),EXACT(H218,'Data Base'!$V$38),EXACT(K218,'Data Base'!$X$35)),I218*1.25*1.2*1,IF(AND(EXACT(G218,'Data Base'!$T$37),OR(EXACT(H218,'Data Base'!$V$36),EXACT(H218,'Data Base'!$V$35)),EXACT(K218,'Data Base'!$X$36)),I218*1.25*1*0.75,IF(AND(EXACT(G218,'Data Base'!$T$37),EXACT(H218,'Data Base'!$V$37),EXACT(K218,'Data Base'!$X$36)),I218*1.25*0.5*0.75,IF(AND(EXACT(G218,'Data Base'!$T$37),EXACT(H218,'Data Base'!$V$38),EXACT(K218,'Data Base'!$X$36)),I218*1.25*1.2*0.75,IF(AND(EXACT(G218,'Data Base'!$T$37),OR(EXACT(H218,'Data Base'!$V$36),EXACT(H218,'Data Base'!$V$35)),EXACT(K218,'Data Base'!$X$37)),I218*1.25*1*0.5,IF(AND(EXACT(G218,'Data Base'!$T$37),EXACT(H218,'Data Base'!$V$37),EXACT(K218,'Data Base'!$X$37)),I218*1.25*0.5*0.5,IF(AND(EXACT(G218,'Data Base'!$T$37),EXACT(H218,'Data Base'!$V$38),EXACT(K218,'Data Base'!$X$37)),I218*1.25*1.2*0.5))))))))))))))))))))))))))),"")</f>
        <v/>
      </c>
    </row>
    <row r="219" spans="1:13" ht="21" customHeight="1">
      <c r="A219" s="97">
        <v>7</v>
      </c>
      <c r="B219" s="1349" t="str">
        <f t="shared" si="26"/>
        <v/>
      </c>
      <c r="C219" s="1350"/>
      <c r="D219" s="148" t="str">
        <f t="shared" si="27"/>
        <v/>
      </c>
      <c r="E219" s="1351"/>
      <c r="F219" s="1352"/>
      <c r="G219" s="165"/>
      <c r="H219" s="140"/>
      <c r="I219" s="4"/>
      <c r="J219" s="4"/>
      <c r="K219" s="140"/>
      <c r="L219" s="4" t="s">
        <v>652</v>
      </c>
      <c r="M219" s="166" t="str">
        <f>IF(AND(NOT(EXACT(D219,"")),NOT(EXACT(G219,"")),NOT(EXACT(E219,"")),NOT(EXACT(B219,"")),NOT(EXACT(I219,"")),NOT(EXACT(H219,""))),IF(AND(EXACT(G219,'Data Base'!$T$35),OR(EXACT(H219,'Data Base'!$V$36),EXACT(H219,'Data Base'!$V$35)),EXACT(K219,'Data Base'!$X$35)),I219*0.5*1*1,IF(AND(EXACT(G219,'Data Base'!$T$35),EXACT(H219,'Data Base'!$V$37),EXACT(K219,'Data Base'!$X$35)),I219*0.5*0.5*1,IF(AND(EXACT(G219,'Data Base'!$T$35),EXACT(H219,'Data Base'!$V$38),EXACT(K219,'Data Base'!$X$35)),I219*0.5*1.2*1,IF(AND(EXACT(G219,'Data Base'!$T$35),OR(EXACT(H219,'Data Base'!$V$36),EXACT(H219,'Data Base'!$V$35)),EXACT(K219,'Data Base'!$X$36)),I219*0.5*1*0.75,IF(AND(EXACT(G219,'Data Base'!$T$35),EXACT(H219,'Data Base'!$V$37),EXACT(K219,'Data Base'!$X$36)),I219*0.5*0.5*0.75,IF(AND(EXACT(G219,'Data Base'!$T$35),EXACT(H219,'Data Base'!$V$38),EXACT(K219,'Data Base'!$X$36)),I219*0.5*1.2*0.75,IF(AND(EXACT(G219,'Data Base'!$T$35),OR(EXACT(H219,'Data Base'!$V$36),EXACT(H219,'Data Base'!$V$35)),EXACT(K219,'Data Base'!$X$37)),I219*0.5*1*0.5,IF(AND(EXACT(G219,'Data Base'!$T$35),EXACT(H219,'Data Base'!$V$37),EXACT(K219,'Data Base'!$X$37)),I219*0.5*0.5*0.5,IF(AND(EXACT(G219,'Data Base'!$T$35),EXACT(H219,'Data Base'!$V$38),EXACT(K219,'Data Base'!$X$37)),I219*0.5*1.2*0.5,IF(AND(EXACT(G219,'Data Base'!$T$36),OR(EXACT(H219,'Data Base'!$V$36),EXACT(H219,'Data Base'!$V$35)),EXACT(K219,'Data Base'!$X$35)),I219*1*1*1,IF(AND(EXACT(G219,'Data Base'!$T$36),EXACT(H219,'Data Base'!$V$37),EXACT(K219,'Data Base'!$X$35)),I219*1*0.5*1,IF(AND(EXACT(G219,'Data Base'!$T$36),EXACT(H219,'Data Base'!$V$38),EXACT(K219,'Data Base'!$X$35)),I219*1*1.2*1,IF(AND(EXACT(G219,'Data Base'!$T$36),OR(EXACT(H219,'Data Base'!$V$36),EXACT(H219,'Data Base'!$V$35)),EXACT(K219,'Data Base'!$X$36)),I219*1*1*0.75,IF(AND(EXACT(G219,'Data Base'!$T$36),EXACT(H219,'Data Base'!$V$37),EXACT(K219,'Data Base'!$X$36)),I219*1*0.5*0.75,IF(AND(EXACT(G219,'Data Base'!$T$36),EXACT(H219,'Data Base'!$V$38),EXACT(K219,'Data Base'!$X$36)),I219*1*1.2*0.75,IF(AND(EXACT(G219,'Data Base'!$T$36),OR(EXACT(H219,'Data Base'!$V$36),EXACT(H219,'Data Base'!$V$35)),EXACT(K219,'Data Base'!$X$37)),I219*1*1*0.5,IF(AND(EXACT(G219,'Data Base'!$T$36),EXACT(H219,'Data Base'!$V$37),EXACT(K219,'Data Base'!$X$37)),I219*1*0.5*0.5,IF(AND(EXACT(G219,'Data Base'!$T$36),EXACT(H219,'Data Base'!$V$38),EXACT(K219,'Data Base'!$X$37)),I219*1*1.2*0.5,IF(AND(EXACT(G219,'Data Base'!$T$37),OR(EXACT(H219,'Data Base'!$V$36),EXACT(H219,'Data Base'!$V$35)),EXACT(K219,'Data Base'!$X$35)),I219*1.25*1*1,IF(AND(EXACT(G219,'Data Base'!$T$37),EXACT(H219,'Data Base'!$V$37),EXACT(K219,'Data Base'!$X$35)),I219*1.25*0.5*1,IF(AND(EXACT(G219,'Data Base'!$T$37),EXACT(H219,'Data Base'!$V$38),EXACT(K219,'Data Base'!$X$35)),I219*1.25*1.2*1,IF(AND(EXACT(G219,'Data Base'!$T$37),OR(EXACT(H219,'Data Base'!$V$36),EXACT(H219,'Data Base'!$V$35)),EXACT(K219,'Data Base'!$X$36)),I219*1.25*1*0.75,IF(AND(EXACT(G219,'Data Base'!$T$37),EXACT(H219,'Data Base'!$V$37),EXACT(K219,'Data Base'!$X$36)),I219*1.25*0.5*0.75,IF(AND(EXACT(G219,'Data Base'!$T$37),EXACT(H219,'Data Base'!$V$38),EXACT(K219,'Data Base'!$X$36)),I219*1.25*1.2*0.75,IF(AND(EXACT(G219,'Data Base'!$T$37),OR(EXACT(H219,'Data Base'!$V$36),EXACT(H219,'Data Base'!$V$35)),EXACT(K219,'Data Base'!$X$37)),I219*1.25*1*0.5,IF(AND(EXACT(G219,'Data Base'!$T$37),EXACT(H219,'Data Base'!$V$37),EXACT(K219,'Data Base'!$X$37)),I219*1.25*0.5*0.5,IF(AND(EXACT(G219,'Data Base'!$T$37),EXACT(H219,'Data Base'!$V$38),EXACT(K219,'Data Base'!$X$37)),I219*1.25*1.2*0.5))))))))))))))))))))))))))),"")</f>
        <v/>
      </c>
    </row>
    <row r="220" spans="1:13" ht="21" customHeight="1">
      <c r="A220" s="99">
        <v>8</v>
      </c>
      <c r="B220" s="1349" t="str">
        <f t="shared" si="26"/>
        <v/>
      </c>
      <c r="C220" s="1350"/>
      <c r="D220" s="148" t="str">
        <f t="shared" si="27"/>
        <v/>
      </c>
      <c r="E220" s="1351"/>
      <c r="F220" s="1352"/>
      <c r="G220" s="165"/>
      <c r="H220" s="140"/>
      <c r="I220" s="4"/>
      <c r="J220" s="4"/>
      <c r="K220" s="140"/>
      <c r="L220" s="4" t="s">
        <v>652</v>
      </c>
      <c r="M220" s="166" t="str">
        <f>IF(AND(NOT(EXACT(D220,"")),NOT(EXACT(G220,"")),NOT(EXACT(E220,"")),NOT(EXACT(B220,"")),NOT(EXACT(I220,"")),NOT(EXACT(H220,""))),IF(AND(EXACT(G220,'Data Base'!$T$35),OR(EXACT(H220,'Data Base'!$V$36),EXACT(H220,'Data Base'!$V$35)),EXACT(K220,'Data Base'!$X$35)),I220*0.5*1*1,IF(AND(EXACT(G220,'Data Base'!$T$35),EXACT(H220,'Data Base'!$V$37),EXACT(K220,'Data Base'!$X$35)),I220*0.5*0.5*1,IF(AND(EXACT(G220,'Data Base'!$T$35),EXACT(H220,'Data Base'!$V$38),EXACT(K220,'Data Base'!$X$35)),I220*0.5*1.2*1,IF(AND(EXACT(G220,'Data Base'!$T$35),OR(EXACT(H220,'Data Base'!$V$36),EXACT(H220,'Data Base'!$V$35)),EXACT(K220,'Data Base'!$X$36)),I220*0.5*1*0.75,IF(AND(EXACT(G220,'Data Base'!$T$35),EXACT(H220,'Data Base'!$V$37),EXACT(K220,'Data Base'!$X$36)),I220*0.5*0.5*0.75,IF(AND(EXACT(G220,'Data Base'!$T$35),EXACT(H220,'Data Base'!$V$38),EXACT(K220,'Data Base'!$X$36)),I220*0.5*1.2*0.75,IF(AND(EXACT(G220,'Data Base'!$T$35),OR(EXACT(H220,'Data Base'!$V$36),EXACT(H220,'Data Base'!$V$35)),EXACT(K220,'Data Base'!$X$37)),I220*0.5*1*0.5,IF(AND(EXACT(G220,'Data Base'!$T$35),EXACT(H220,'Data Base'!$V$37),EXACT(K220,'Data Base'!$X$37)),I220*0.5*0.5*0.5,IF(AND(EXACT(G220,'Data Base'!$T$35),EXACT(H220,'Data Base'!$V$38),EXACT(K220,'Data Base'!$X$37)),I220*0.5*1.2*0.5,IF(AND(EXACT(G220,'Data Base'!$T$36),OR(EXACT(H220,'Data Base'!$V$36),EXACT(H220,'Data Base'!$V$35)),EXACT(K220,'Data Base'!$X$35)),I220*1*1*1,IF(AND(EXACT(G220,'Data Base'!$T$36),EXACT(H220,'Data Base'!$V$37),EXACT(K220,'Data Base'!$X$35)),I220*1*0.5*1,IF(AND(EXACT(G220,'Data Base'!$T$36),EXACT(H220,'Data Base'!$V$38),EXACT(K220,'Data Base'!$X$35)),I220*1*1.2*1,IF(AND(EXACT(G220,'Data Base'!$T$36),OR(EXACT(H220,'Data Base'!$V$36),EXACT(H220,'Data Base'!$V$35)),EXACT(K220,'Data Base'!$X$36)),I220*1*1*0.75,IF(AND(EXACT(G220,'Data Base'!$T$36),EXACT(H220,'Data Base'!$V$37),EXACT(K220,'Data Base'!$X$36)),I220*1*0.5*0.75,IF(AND(EXACT(G220,'Data Base'!$T$36),EXACT(H220,'Data Base'!$V$38),EXACT(K220,'Data Base'!$X$36)),I220*1*1.2*0.75,IF(AND(EXACT(G220,'Data Base'!$T$36),OR(EXACT(H220,'Data Base'!$V$36),EXACT(H220,'Data Base'!$V$35)),EXACT(K220,'Data Base'!$X$37)),I220*1*1*0.5,IF(AND(EXACT(G220,'Data Base'!$T$36),EXACT(H220,'Data Base'!$V$37),EXACT(K220,'Data Base'!$X$37)),I220*1*0.5*0.5,IF(AND(EXACT(G220,'Data Base'!$T$36),EXACT(H220,'Data Base'!$V$38),EXACT(K220,'Data Base'!$X$37)),I220*1*1.2*0.5,IF(AND(EXACT(G220,'Data Base'!$T$37),OR(EXACT(H220,'Data Base'!$V$36),EXACT(H220,'Data Base'!$V$35)),EXACT(K220,'Data Base'!$X$35)),I220*1.25*1*1,IF(AND(EXACT(G220,'Data Base'!$T$37),EXACT(H220,'Data Base'!$V$37),EXACT(K220,'Data Base'!$X$35)),I220*1.25*0.5*1,IF(AND(EXACT(G220,'Data Base'!$T$37),EXACT(H220,'Data Base'!$V$38),EXACT(K220,'Data Base'!$X$35)),I220*1.25*1.2*1,IF(AND(EXACT(G220,'Data Base'!$T$37),OR(EXACT(H220,'Data Base'!$V$36),EXACT(H220,'Data Base'!$V$35)),EXACT(K220,'Data Base'!$X$36)),I220*1.25*1*0.75,IF(AND(EXACT(G220,'Data Base'!$T$37),EXACT(H220,'Data Base'!$V$37),EXACT(K220,'Data Base'!$X$36)),I220*1.25*0.5*0.75,IF(AND(EXACT(G220,'Data Base'!$T$37),EXACT(H220,'Data Base'!$V$38),EXACT(K220,'Data Base'!$X$36)),I220*1.25*1.2*0.75,IF(AND(EXACT(G220,'Data Base'!$T$37),OR(EXACT(H220,'Data Base'!$V$36),EXACT(H220,'Data Base'!$V$35)),EXACT(K220,'Data Base'!$X$37)),I220*1.25*1*0.5,IF(AND(EXACT(G220,'Data Base'!$T$37),EXACT(H220,'Data Base'!$V$37),EXACT(K220,'Data Base'!$X$37)),I220*1.25*0.5*0.5,IF(AND(EXACT(G220,'Data Base'!$T$37),EXACT(H220,'Data Base'!$V$38),EXACT(K220,'Data Base'!$X$37)),I220*1.25*1.2*0.5))))))))))))))))))))))))))),"")</f>
        <v/>
      </c>
    </row>
    <row r="221" spans="1:13" ht="21" customHeight="1">
      <c r="A221" s="99">
        <v>9</v>
      </c>
      <c r="B221" s="1349" t="str">
        <f t="shared" si="26"/>
        <v/>
      </c>
      <c r="C221" s="1350"/>
      <c r="D221" s="148" t="str">
        <f t="shared" si="27"/>
        <v/>
      </c>
      <c r="E221" s="1351"/>
      <c r="F221" s="1352"/>
      <c r="G221" s="165"/>
      <c r="H221" s="140"/>
      <c r="I221" s="4"/>
      <c r="J221" s="4"/>
      <c r="K221" s="140"/>
      <c r="L221" s="4" t="s">
        <v>652</v>
      </c>
      <c r="M221" s="166" t="str">
        <f>IF(AND(NOT(EXACT(D221,"")),NOT(EXACT(G221,"")),NOT(EXACT(E221,"")),NOT(EXACT(B221,"")),NOT(EXACT(I221,"")),NOT(EXACT(H221,""))),IF(AND(EXACT(G221,'Data Base'!$T$35),OR(EXACT(H221,'Data Base'!$V$36),EXACT(H221,'Data Base'!$V$35)),EXACT(K221,'Data Base'!$X$35)),I221*0.5*1*1,IF(AND(EXACT(G221,'Data Base'!$T$35),EXACT(H221,'Data Base'!$V$37),EXACT(K221,'Data Base'!$X$35)),I221*0.5*0.5*1,IF(AND(EXACT(G221,'Data Base'!$T$35),EXACT(H221,'Data Base'!$V$38),EXACT(K221,'Data Base'!$X$35)),I221*0.5*1.2*1,IF(AND(EXACT(G221,'Data Base'!$T$35),OR(EXACT(H221,'Data Base'!$V$36),EXACT(H221,'Data Base'!$V$35)),EXACT(K221,'Data Base'!$X$36)),I221*0.5*1*0.75,IF(AND(EXACT(G221,'Data Base'!$T$35),EXACT(H221,'Data Base'!$V$37),EXACT(K221,'Data Base'!$X$36)),I221*0.5*0.5*0.75,IF(AND(EXACT(G221,'Data Base'!$T$35),EXACT(H221,'Data Base'!$V$38),EXACT(K221,'Data Base'!$X$36)),I221*0.5*1.2*0.75,IF(AND(EXACT(G221,'Data Base'!$T$35),OR(EXACT(H221,'Data Base'!$V$36),EXACT(H221,'Data Base'!$V$35)),EXACT(K221,'Data Base'!$X$37)),I221*0.5*1*0.5,IF(AND(EXACT(G221,'Data Base'!$T$35),EXACT(H221,'Data Base'!$V$37),EXACT(K221,'Data Base'!$X$37)),I221*0.5*0.5*0.5,IF(AND(EXACT(G221,'Data Base'!$T$35),EXACT(H221,'Data Base'!$V$38),EXACT(K221,'Data Base'!$X$37)),I221*0.5*1.2*0.5,IF(AND(EXACT(G221,'Data Base'!$T$36),OR(EXACT(H221,'Data Base'!$V$36),EXACT(H221,'Data Base'!$V$35)),EXACT(K221,'Data Base'!$X$35)),I221*1*1*1,IF(AND(EXACT(G221,'Data Base'!$T$36),EXACT(H221,'Data Base'!$V$37),EXACT(K221,'Data Base'!$X$35)),I221*1*0.5*1,IF(AND(EXACT(G221,'Data Base'!$T$36),EXACT(H221,'Data Base'!$V$38),EXACT(K221,'Data Base'!$X$35)),I221*1*1.2*1,IF(AND(EXACT(G221,'Data Base'!$T$36),OR(EXACT(H221,'Data Base'!$V$36),EXACT(H221,'Data Base'!$V$35)),EXACT(K221,'Data Base'!$X$36)),I221*1*1*0.75,IF(AND(EXACT(G221,'Data Base'!$T$36),EXACT(H221,'Data Base'!$V$37),EXACT(K221,'Data Base'!$X$36)),I221*1*0.5*0.75,IF(AND(EXACT(G221,'Data Base'!$T$36),EXACT(H221,'Data Base'!$V$38),EXACT(K221,'Data Base'!$X$36)),I221*1*1.2*0.75,IF(AND(EXACT(G221,'Data Base'!$T$36),OR(EXACT(H221,'Data Base'!$V$36),EXACT(H221,'Data Base'!$V$35)),EXACT(K221,'Data Base'!$X$37)),I221*1*1*0.5,IF(AND(EXACT(G221,'Data Base'!$T$36),EXACT(H221,'Data Base'!$V$37),EXACT(K221,'Data Base'!$X$37)),I221*1*0.5*0.5,IF(AND(EXACT(G221,'Data Base'!$T$36),EXACT(H221,'Data Base'!$V$38),EXACT(K221,'Data Base'!$X$37)),I221*1*1.2*0.5,IF(AND(EXACT(G221,'Data Base'!$T$37),OR(EXACT(H221,'Data Base'!$V$36),EXACT(H221,'Data Base'!$V$35)),EXACT(K221,'Data Base'!$X$35)),I221*1.25*1*1,IF(AND(EXACT(G221,'Data Base'!$T$37),EXACT(H221,'Data Base'!$V$37),EXACT(K221,'Data Base'!$X$35)),I221*1.25*0.5*1,IF(AND(EXACT(G221,'Data Base'!$T$37),EXACT(H221,'Data Base'!$V$38),EXACT(K221,'Data Base'!$X$35)),I221*1.25*1.2*1,IF(AND(EXACT(G221,'Data Base'!$T$37),OR(EXACT(H221,'Data Base'!$V$36),EXACT(H221,'Data Base'!$V$35)),EXACT(K221,'Data Base'!$X$36)),I221*1.25*1*0.75,IF(AND(EXACT(G221,'Data Base'!$T$37),EXACT(H221,'Data Base'!$V$37),EXACT(K221,'Data Base'!$X$36)),I221*1.25*0.5*0.75,IF(AND(EXACT(G221,'Data Base'!$T$37),EXACT(H221,'Data Base'!$V$38),EXACT(K221,'Data Base'!$X$36)),I221*1.25*1.2*0.75,IF(AND(EXACT(G221,'Data Base'!$T$37),OR(EXACT(H221,'Data Base'!$V$36),EXACT(H221,'Data Base'!$V$35)),EXACT(K221,'Data Base'!$X$37)),I221*1.25*1*0.5,IF(AND(EXACT(G221,'Data Base'!$T$37),EXACT(H221,'Data Base'!$V$37),EXACT(K221,'Data Base'!$X$37)),I221*1.25*0.5*0.5,IF(AND(EXACT(G221,'Data Base'!$T$37),EXACT(H221,'Data Base'!$V$38),EXACT(K221,'Data Base'!$X$37)),I221*1.25*1.2*0.5))))))))))))))))))))))))))),"")</f>
        <v/>
      </c>
    </row>
    <row r="222" spans="1:13" ht="21" customHeight="1">
      <c r="A222" s="97">
        <v>10</v>
      </c>
      <c r="B222" s="1349" t="str">
        <f t="shared" si="26"/>
        <v/>
      </c>
      <c r="C222" s="1350"/>
      <c r="D222" s="148" t="str">
        <f t="shared" si="27"/>
        <v/>
      </c>
      <c r="E222" s="1351"/>
      <c r="F222" s="1352"/>
      <c r="G222" s="165"/>
      <c r="H222" s="140"/>
      <c r="I222" s="4"/>
      <c r="J222" s="4"/>
      <c r="K222" s="140"/>
      <c r="L222" s="4" t="s">
        <v>652</v>
      </c>
      <c r="M222" s="166" t="str">
        <f>IF(AND(NOT(EXACT(D222,"")),NOT(EXACT(G222,"")),NOT(EXACT(E222,"")),NOT(EXACT(B222,"")),NOT(EXACT(I222,"")),NOT(EXACT(H222,""))),IF(AND(EXACT(G222,'Data Base'!$T$35),OR(EXACT(H222,'Data Base'!$V$36),EXACT(H222,'Data Base'!$V$35)),EXACT(K222,'Data Base'!$X$35)),I222*0.5*1*1,IF(AND(EXACT(G222,'Data Base'!$T$35),EXACT(H222,'Data Base'!$V$37),EXACT(K222,'Data Base'!$X$35)),I222*0.5*0.5*1,IF(AND(EXACT(G222,'Data Base'!$T$35),EXACT(H222,'Data Base'!$V$38),EXACT(K222,'Data Base'!$X$35)),I222*0.5*1.2*1,IF(AND(EXACT(G222,'Data Base'!$T$35),OR(EXACT(H222,'Data Base'!$V$36),EXACT(H222,'Data Base'!$V$35)),EXACT(K222,'Data Base'!$X$36)),I222*0.5*1*0.75,IF(AND(EXACT(G222,'Data Base'!$T$35),EXACT(H222,'Data Base'!$V$37),EXACT(K222,'Data Base'!$X$36)),I222*0.5*0.5*0.75,IF(AND(EXACT(G222,'Data Base'!$T$35),EXACT(H222,'Data Base'!$V$38),EXACT(K222,'Data Base'!$X$36)),I222*0.5*1.2*0.75,IF(AND(EXACT(G222,'Data Base'!$T$35),OR(EXACT(H222,'Data Base'!$V$36),EXACT(H222,'Data Base'!$V$35)),EXACT(K222,'Data Base'!$X$37)),I222*0.5*1*0.5,IF(AND(EXACT(G222,'Data Base'!$T$35),EXACT(H222,'Data Base'!$V$37),EXACT(K222,'Data Base'!$X$37)),I222*0.5*0.5*0.5,IF(AND(EXACT(G222,'Data Base'!$T$35),EXACT(H222,'Data Base'!$V$38),EXACT(K222,'Data Base'!$X$37)),I222*0.5*1.2*0.5,IF(AND(EXACT(G222,'Data Base'!$T$36),OR(EXACT(H222,'Data Base'!$V$36),EXACT(H222,'Data Base'!$V$35)),EXACT(K222,'Data Base'!$X$35)),I222*1*1*1,IF(AND(EXACT(G222,'Data Base'!$T$36),EXACT(H222,'Data Base'!$V$37),EXACT(K222,'Data Base'!$X$35)),I222*1*0.5*1,IF(AND(EXACT(G222,'Data Base'!$T$36),EXACT(H222,'Data Base'!$V$38),EXACT(K222,'Data Base'!$X$35)),I222*1*1.2*1,IF(AND(EXACT(G222,'Data Base'!$T$36),OR(EXACT(H222,'Data Base'!$V$36),EXACT(H222,'Data Base'!$V$35)),EXACT(K222,'Data Base'!$X$36)),I222*1*1*0.75,IF(AND(EXACT(G222,'Data Base'!$T$36),EXACT(H222,'Data Base'!$V$37),EXACT(K222,'Data Base'!$X$36)),I222*1*0.5*0.75,IF(AND(EXACT(G222,'Data Base'!$T$36),EXACT(H222,'Data Base'!$V$38),EXACT(K222,'Data Base'!$X$36)),I222*1*1.2*0.75,IF(AND(EXACT(G222,'Data Base'!$T$36),OR(EXACT(H222,'Data Base'!$V$36),EXACT(H222,'Data Base'!$V$35)),EXACT(K222,'Data Base'!$X$37)),I222*1*1*0.5,IF(AND(EXACT(G222,'Data Base'!$T$36),EXACT(H222,'Data Base'!$V$37),EXACT(K222,'Data Base'!$X$37)),I222*1*0.5*0.5,IF(AND(EXACT(G222,'Data Base'!$T$36),EXACT(H222,'Data Base'!$V$38),EXACT(K222,'Data Base'!$X$37)),I222*1*1.2*0.5,IF(AND(EXACT(G222,'Data Base'!$T$37),OR(EXACT(H222,'Data Base'!$V$36),EXACT(H222,'Data Base'!$V$35)),EXACT(K222,'Data Base'!$X$35)),I222*1.25*1*1,IF(AND(EXACT(G222,'Data Base'!$T$37),EXACT(H222,'Data Base'!$V$37),EXACT(K222,'Data Base'!$X$35)),I222*1.25*0.5*1,IF(AND(EXACT(G222,'Data Base'!$T$37),EXACT(H222,'Data Base'!$V$38),EXACT(K222,'Data Base'!$X$35)),I222*1.25*1.2*1,IF(AND(EXACT(G222,'Data Base'!$T$37),OR(EXACT(H222,'Data Base'!$V$36),EXACT(H222,'Data Base'!$V$35)),EXACT(K222,'Data Base'!$X$36)),I222*1.25*1*0.75,IF(AND(EXACT(G222,'Data Base'!$T$37),EXACT(H222,'Data Base'!$V$37),EXACT(K222,'Data Base'!$X$36)),I222*1.25*0.5*0.75,IF(AND(EXACT(G222,'Data Base'!$T$37),EXACT(H222,'Data Base'!$V$38),EXACT(K222,'Data Base'!$X$36)),I222*1.25*1.2*0.75,IF(AND(EXACT(G222,'Data Base'!$T$37),OR(EXACT(H222,'Data Base'!$V$36),EXACT(H222,'Data Base'!$V$35)),EXACT(K222,'Data Base'!$X$37)),I222*1.25*1*0.5,IF(AND(EXACT(G222,'Data Base'!$T$37),EXACT(H222,'Data Base'!$V$37),EXACT(K222,'Data Base'!$X$37)),I222*1.25*0.5*0.5,IF(AND(EXACT(G222,'Data Base'!$T$37),EXACT(H222,'Data Base'!$V$38),EXACT(K222,'Data Base'!$X$37)),I222*1.25*1.2*0.5))))))))))))))))))))))))))),"")</f>
        <v/>
      </c>
    </row>
    <row r="223" spans="1:13" ht="21" customHeight="1">
      <c r="A223" s="99">
        <v>11</v>
      </c>
      <c r="B223" s="1349" t="str">
        <f t="shared" si="26"/>
        <v/>
      </c>
      <c r="C223" s="1350"/>
      <c r="D223" s="148" t="str">
        <f t="shared" si="27"/>
        <v/>
      </c>
      <c r="E223" s="1351"/>
      <c r="F223" s="1352"/>
      <c r="G223" s="165"/>
      <c r="H223" s="140"/>
      <c r="I223" s="4"/>
      <c r="J223" s="4"/>
      <c r="K223" s="140"/>
      <c r="L223" s="4" t="s">
        <v>652</v>
      </c>
      <c r="M223" s="166" t="str">
        <f>IF(AND(NOT(EXACT(D223,"")),NOT(EXACT(G223,"")),NOT(EXACT(E223,"")),NOT(EXACT(B223,"")),NOT(EXACT(I223,"")),NOT(EXACT(H223,""))),IF(AND(EXACT(G223,'Data Base'!$T$35),OR(EXACT(H223,'Data Base'!$V$36),EXACT(H223,'Data Base'!$V$35)),EXACT(K223,'Data Base'!$X$35)),I223*0.5*1*1,IF(AND(EXACT(G223,'Data Base'!$T$35),EXACT(H223,'Data Base'!$V$37),EXACT(K223,'Data Base'!$X$35)),I223*0.5*0.5*1,IF(AND(EXACT(G223,'Data Base'!$T$35),EXACT(H223,'Data Base'!$V$38),EXACT(K223,'Data Base'!$X$35)),I223*0.5*1.2*1,IF(AND(EXACT(G223,'Data Base'!$T$35),OR(EXACT(H223,'Data Base'!$V$36),EXACT(H223,'Data Base'!$V$35)),EXACT(K223,'Data Base'!$X$36)),I223*0.5*1*0.75,IF(AND(EXACT(G223,'Data Base'!$T$35),EXACT(H223,'Data Base'!$V$37),EXACT(K223,'Data Base'!$X$36)),I223*0.5*0.5*0.75,IF(AND(EXACT(G223,'Data Base'!$T$35),EXACT(H223,'Data Base'!$V$38),EXACT(K223,'Data Base'!$X$36)),I223*0.5*1.2*0.75,IF(AND(EXACT(G223,'Data Base'!$T$35),OR(EXACT(H223,'Data Base'!$V$36),EXACT(H223,'Data Base'!$V$35)),EXACT(K223,'Data Base'!$X$37)),I223*0.5*1*0.5,IF(AND(EXACT(G223,'Data Base'!$T$35),EXACT(H223,'Data Base'!$V$37),EXACT(K223,'Data Base'!$X$37)),I223*0.5*0.5*0.5,IF(AND(EXACT(G223,'Data Base'!$T$35),EXACT(H223,'Data Base'!$V$38),EXACT(K223,'Data Base'!$X$37)),I223*0.5*1.2*0.5,IF(AND(EXACT(G223,'Data Base'!$T$36),OR(EXACT(H223,'Data Base'!$V$36),EXACT(H223,'Data Base'!$V$35)),EXACT(K223,'Data Base'!$X$35)),I223*1*1*1,IF(AND(EXACT(G223,'Data Base'!$T$36),EXACT(H223,'Data Base'!$V$37),EXACT(K223,'Data Base'!$X$35)),I223*1*0.5*1,IF(AND(EXACT(G223,'Data Base'!$T$36),EXACT(H223,'Data Base'!$V$38),EXACT(K223,'Data Base'!$X$35)),I223*1*1.2*1,IF(AND(EXACT(G223,'Data Base'!$T$36),OR(EXACT(H223,'Data Base'!$V$36),EXACT(H223,'Data Base'!$V$35)),EXACT(K223,'Data Base'!$X$36)),I223*1*1*0.75,IF(AND(EXACT(G223,'Data Base'!$T$36),EXACT(H223,'Data Base'!$V$37),EXACT(K223,'Data Base'!$X$36)),I223*1*0.5*0.75,IF(AND(EXACT(G223,'Data Base'!$T$36),EXACT(H223,'Data Base'!$V$38),EXACT(K223,'Data Base'!$X$36)),I223*1*1.2*0.75,IF(AND(EXACT(G223,'Data Base'!$T$36),OR(EXACT(H223,'Data Base'!$V$36),EXACT(H223,'Data Base'!$V$35)),EXACT(K223,'Data Base'!$X$37)),I223*1*1*0.5,IF(AND(EXACT(G223,'Data Base'!$T$36),EXACT(H223,'Data Base'!$V$37),EXACT(K223,'Data Base'!$X$37)),I223*1*0.5*0.5,IF(AND(EXACT(G223,'Data Base'!$T$36),EXACT(H223,'Data Base'!$V$38),EXACT(K223,'Data Base'!$X$37)),I223*1*1.2*0.5,IF(AND(EXACT(G223,'Data Base'!$T$37),OR(EXACT(H223,'Data Base'!$V$36),EXACT(H223,'Data Base'!$V$35)),EXACT(K223,'Data Base'!$X$35)),I223*1.25*1*1,IF(AND(EXACT(G223,'Data Base'!$T$37),EXACT(H223,'Data Base'!$V$37),EXACT(K223,'Data Base'!$X$35)),I223*1.25*0.5*1,IF(AND(EXACT(G223,'Data Base'!$T$37),EXACT(H223,'Data Base'!$V$38),EXACT(K223,'Data Base'!$X$35)),I223*1.25*1.2*1,IF(AND(EXACT(G223,'Data Base'!$T$37),OR(EXACT(H223,'Data Base'!$V$36),EXACT(H223,'Data Base'!$V$35)),EXACT(K223,'Data Base'!$X$36)),I223*1.25*1*0.75,IF(AND(EXACT(G223,'Data Base'!$T$37),EXACT(H223,'Data Base'!$V$37),EXACT(K223,'Data Base'!$X$36)),I223*1.25*0.5*0.75,IF(AND(EXACT(G223,'Data Base'!$T$37),EXACT(H223,'Data Base'!$V$38),EXACT(K223,'Data Base'!$X$36)),I223*1.25*1.2*0.75,IF(AND(EXACT(G223,'Data Base'!$T$37),OR(EXACT(H223,'Data Base'!$V$36),EXACT(H223,'Data Base'!$V$35)),EXACT(K223,'Data Base'!$X$37)),I223*1.25*1*0.5,IF(AND(EXACT(G223,'Data Base'!$T$37),EXACT(H223,'Data Base'!$V$37),EXACT(K223,'Data Base'!$X$37)),I223*1.25*0.5*0.5,IF(AND(EXACT(G223,'Data Base'!$T$37),EXACT(H223,'Data Base'!$V$38),EXACT(K223,'Data Base'!$X$37)),I223*1.25*1.2*0.5))))))))))))))))))))))))))),"")</f>
        <v/>
      </c>
    </row>
    <row r="224" spans="1:13" ht="21" customHeight="1">
      <c r="A224" s="99">
        <v>12</v>
      </c>
      <c r="B224" s="1349" t="str">
        <f t="shared" si="26"/>
        <v/>
      </c>
      <c r="C224" s="1350"/>
      <c r="D224" s="148" t="str">
        <f t="shared" si="27"/>
        <v/>
      </c>
      <c r="E224" s="1351"/>
      <c r="F224" s="1352"/>
      <c r="G224" s="165"/>
      <c r="H224" s="140"/>
      <c r="I224" s="4"/>
      <c r="J224" s="4"/>
      <c r="K224" s="140"/>
      <c r="L224" s="4" t="s">
        <v>652</v>
      </c>
      <c r="M224" s="166" t="str">
        <f>IF(AND(NOT(EXACT(D224,"")),NOT(EXACT(G224,"")),NOT(EXACT(E224,"")),NOT(EXACT(B224,"")),NOT(EXACT(I224,"")),NOT(EXACT(H224,""))),IF(AND(EXACT(G224,'Data Base'!$T$35),OR(EXACT(H224,'Data Base'!$V$36),EXACT(H224,'Data Base'!$V$35)),EXACT(K224,'Data Base'!$X$35)),I224*0.5*1*1,IF(AND(EXACT(G224,'Data Base'!$T$35),EXACT(H224,'Data Base'!$V$37),EXACT(K224,'Data Base'!$X$35)),I224*0.5*0.5*1,IF(AND(EXACT(G224,'Data Base'!$T$35),EXACT(H224,'Data Base'!$V$38),EXACT(K224,'Data Base'!$X$35)),I224*0.5*1.2*1,IF(AND(EXACT(G224,'Data Base'!$T$35),OR(EXACT(H224,'Data Base'!$V$36),EXACT(H224,'Data Base'!$V$35)),EXACT(K224,'Data Base'!$X$36)),I224*0.5*1*0.75,IF(AND(EXACT(G224,'Data Base'!$T$35),EXACT(H224,'Data Base'!$V$37),EXACT(K224,'Data Base'!$X$36)),I224*0.5*0.5*0.75,IF(AND(EXACT(G224,'Data Base'!$T$35),EXACT(H224,'Data Base'!$V$38),EXACT(K224,'Data Base'!$X$36)),I224*0.5*1.2*0.75,IF(AND(EXACT(G224,'Data Base'!$T$35),OR(EXACT(H224,'Data Base'!$V$36),EXACT(H224,'Data Base'!$V$35)),EXACT(K224,'Data Base'!$X$37)),I224*0.5*1*0.5,IF(AND(EXACT(G224,'Data Base'!$T$35),EXACT(H224,'Data Base'!$V$37),EXACT(K224,'Data Base'!$X$37)),I224*0.5*0.5*0.5,IF(AND(EXACT(G224,'Data Base'!$T$35),EXACT(H224,'Data Base'!$V$38),EXACT(K224,'Data Base'!$X$37)),I224*0.5*1.2*0.5,IF(AND(EXACT(G224,'Data Base'!$T$36),OR(EXACT(H224,'Data Base'!$V$36),EXACT(H224,'Data Base'!$V$35)),EXACT(K224,'Data Base'!$X$35)),I224*1*1*1,IF(AND(EXACT(G224,'Data Base'!$T$36),EXACT(H224,'Data Base'!$V$37),EXACT(K224,'Data Base'!$X$35)),I224*1*0.5*1,IF(AND(EXACT(G224,'Data Base'!$T$36),EXACT(H224,'Data Base'!$V$38),EXACT(K224,'Data Base'!$X$35)),I224*1*1.2*1,IF(AND(EXACT(G224,'Data Base'!$T$36),OR(EXACT(H224,'Data Base'!$V$36),EXACT(H224,'Data Base'!$V$35)),EXACT(K224,'Data Base'!$X$36)),I224*1*1*0.75,IF(AND(EXACT(G224,'Data Base'!$T$36),EXACT(H224,'Data Base'!$V$37),EXACT(K224,'Data Base'!$X$36)),I224*1*0.5*0.75,IF(AND(EXACT(G224,'Data Base'!$T$36),EXACT(H224,'Data Base'!$V$38),EXACT(K224,'Data Base'!$X$36)),I224*1*1.2*0.75,IF(AND(EXACT(G224,'Data Base'!$T$36),OR(EXACT(H224,'Data Base'!$V$36),EXACT(H224,'Data Base'!$V$35)),EXACT(K224,'Data Base'!$X$37)),I224*1*1*0.5,IF(AND(EXACT(G224,'Data Base'!$T$36),EXACT(H224,'Data Base'!$V$37),EXACT(K224,'Data Base'!$X$37)),I224*1*0.5*0.5,IF(AND(EXACT(G224,'Data Base'!$T$36),EXACT(H224,'Data Base'!$V$38),EXACT(K224,'Data Base'!$X$37)),I224*1*1.2*0.5,IF(AND(EXACT(G224,'Data Base'!$T$37),OR(EXACT(H224,'Data Base'!$V$36),EXACT(H224,'Data Base'!$V$35)),EXACT(K224,'Data Base'!$X$35)),I224*1.25*1*1,IF(AND(EXACT(G224,'Data Base'!$T$37),EXACT(H224,'Data Base'!$V$37),EXACT(K224,'Data Base'!$X$35)),I224*1.25*0.5*1,IF(AND(EXACT(G224,'Data Base'!$T$37),EXACT(H224,'Data Base'!$V$38),EXACT(K224,'Data Base'!$X$35)),I224*1.25*1.2*1,IF(AND(EXACT(G224,'Data Base'!$T$37),OR(EXACT(H224,'Data Base'!$V$36),EXACT(H224,'Data Base'!$V$35)),EXACT(K224,'Data Base'!$X$36)),I224*1.25*1*0.75,IF(AND(EXACT(G224,'Data Base'!$T$37),EXACT(H224,'Data Base'!$V$37),EXACT(K224,'Data Base'!$X$36)),I224*1.25*0.5*0.75,IF(AND(EXACT(G224,'Data Base'!$T$37),EXACT(H224,'Data Base'!$V$38),EXACT(K224,'Data Base'!$X$36)),I224*1.25*1.2*0.75,IF(AND(EXACT(G224,'Data Base'!$T$37),OR(EXACT(H224,'Data Base'!$V$36),EXACT(H224,'Data Base'!$V$35)),EXACT(K224,'Data Base'!$X$37)),I224*1.25*1*0.5,IF(AND(EXACT(G224,'Data Base'!$T$37),EXACT(H224,'Data Base'!$V$37),EXACT(K224,'Data Base'!$X$37)),I224*1.25*0.5*0.5,IF(AND(EXACT(G224,'Data Base'!$T$37),EXACT(H224,'Data Base'!$V$38),EXACT(K224,'Data Base'!$X$37)),I224*1.25*1.2*0.5))))))))))))))))))))))))))),"")</f>
        <v/>
      </c>
    </row>
    <row r="225" spans="1:13" ht="21" customHeight="1">
      <c r="A225" s="97">
        <v>13</v>
      </c>
      <c r="B225" s="1349" t="str">
        <f t="shared" si="26"/>
        <v/>
      </c>
      <c r="C225" s="1350"/>
      <c r="D225" s="148" t="str">
        <f t="shared" si="27"/>
        <v/>
      </c>
      <c r="E225" s="1351"/>
      <c r="F225" s="1352"/>
      <c r="G225" s="165"/>
      <c r="H225" s="140"/>
      <c r="I225" s="4"/>
      <c r="J225" s="4"/>
      <c r="K225" s="140"/>
      <c r="L225" s="4" t="s">
        <v>652</v>
      </c>
      <c r="M225" s="166" t="str">
        <f>IF(AND(NOT(EXACT(D225,"")),NOT(EXACT(G225,"")),NOT(EXACT(E225,"")),NOT(EXACT(B225,"")),NOT(EXACT(I225,"")),NOT(EXACT(H225,""))),IF(AND(EXACT(G225,'Data Base'!$T$35),OR(EXACT(H225,'Data Base'!$V$36),EXACT(H225,'Data Base'!$V$35)),EXACT(K225,'Data Base'!$X$35)),I225*0.5*1*1,IF(AND(EXACT(G225,'Data Base'!$T$35),EXACT(H225,'Data Base'!$V$37),EXACT(K225,'Data Base'!$X$35)),I225*0.5*0.5*1,IF(AND(EXACT(G225,'Data Base'!$T$35),EXACT(H225,'Data Base'!$V$38),EXACT(K225,'Data Base'!$X$35)),I225*0.5*1.2*1,IF(AND(EXACT(G225,'Data Base'!$T$35),OR(EXACT(H225,'Data Base'!$V$36),EXACT(H225,'Data Base'!$V$35)),EXACT(K225,'Data Base'!$X$36)),I225*0.5*1*0.75,IF(AND(EXACT(G225,'Data Base'!$T$35),EXACT(H225,'Data Base'!$V$37),EXACT(K225,'Data Base'!$X$36)),I225*0.5*0.5*0.75,IF(AND(EXACT(G225,'Data Base'!$T$35),EXACT(H225,'Data Base'!$V$38),EXACT(K225,'Data Base'!$X$36)),I225*0.5*1.2*0.75,IF(AND(EXACT(G225,'Data Base'!$T$35),OR(EXACT(H225,'Data Base'!$V$36),EXACT(H225,'Data Base'!$V$35)),EXACT(K225,'Data Base'!$X$37)),I225*0.5*1*0.5,IF(AND(EXACT(G225,'Data Base'!$T$35),EXACT(H225,'Data Base'!$V$37),EXACT(K225,'Data Base'!$X$37)),I225*0.5*0.5*0.5,IF(AND(EXACT(G225,'Data Base'!$T$35),EXACT(H225,'Data Base'!$V$38),EXACT(K225,'Data Base'!$X$37)),I225*0.5*1.2*0.5,IF(AND(EXACT(G225,'Data Base'!$T$36),OR(EXACT(H225,'Data Base'!$V$36),EXACT(H225,'Data Base'!$V$35)),EXACT(K225,'Data Base'!$X$35)),I225*1*1*1,IF(AND(EXACT(G225,'Data Base'!$T$36),EXACT(H225,'Data Base'!$V$37),EXACT(K225,'Data Base'!$X$35)),I225*1*0.5*1,IF(AND(EXACT(G225,'Data Base'!$T$36),EXACT(H225,'Data Base'!$V$38),EXACT(K225,'Data Base'!$X$35)),I225*1*1.2*1,IF(AND(EXACT(G225,'Data Base'!$T$36),OR(EXACT(H225,'Data Base'!$V$36),EXACT(H225,'Data Base'!$V$35)),EXACT(K225,'Data Base'!$X$36)),I225*1*1*0.75,IF(AND(EXACT(G225,'Data Base'!$T$36),EXACT(H225,'Data Base'!$V$37),EXACT(K225,'Data Base'!$X$36)),I225*1*0.5*0.75,IF(AND(EXACT(G225,'Data Base'!$T$36),EXACT(H225,'Data Base'!$V$38),EXACT(K225,'Data Base'!$X$36)),I225*1*1.2*0.75,IF(AND(EXACT(G225,'Data Base'!$T$36),OR(EXACT(H225,'Data Base'!$V$36),EXACT(H225,'Data Base'!$V$35)),EXACT(K225,'Data Base'!$X$37)),I225*1*1*0.5,IF(AND(EXACT(G225,'Data Base'!$T$36),EXACT(H225,'Data Base'!$V$37),EXACT(K225,'Data Base'!$X$37)),I225*1*0.5*0.5,IF(AND(EXACT(G225,'Data Base'!$T$36),EXACT(H225,'Data Base'!$V$38),EXACT(K225,'Data Base'!$X$37)),I225*1*1.2*0.5,IF(AND(EXACT(G225,'Data Base'!$T$37),OR(EXACT(H225,'Data Base'!$V$36),EXACT(H225,'Data Base'!$V$35)),EXACT(K225,'Data Base'!$X$35)),I225*1.25*1*1,IF(AND(EXACT(G225,'Data Base'!$T$37),EXACT(H225,'Data Base'!$V$37),EXACT(K225,'Data Base'!$X$35)),I225*1.25*0.5*1,IF(AND(EXACT(G225,'Data Base'!$T$37),EXACT(H225,'Data Base'!$V$38),EXACT(K225,'Data Base'!$X$35)),I225*1.25*1.2*1,IF(AND(EXACT(G225,'Data Base'!$T$37),OR(EXACT(H225,'Data Base'!$V$36),EXACT(H225,'Data Base'!$V$35)),EXACT(K225,'Data Base'!$X$36)),I225*1.25*1*0.75,IF(AND(EXACT(G225,'Data Base'!$T$37),EXACT(H225,'Data Base'!$V$37),EXACT(K225,'Data Base'!$X$36)),I225*1.25*0.5*0.75,IF(AND(EXACT(G225,'Data Base'!$T$37),EXACT(H225,'Data Base'!$V$38),EXACT(K225,'Data Base'!$X$36)),I225*1.25*1.2*0.75,IF(AND(EXACT(G225,'Data Base'!$T$37),OR(EXACT(H225,'Data Base'!$V$36),EXACT(H225,'Data Base'!$V$35)),EXACT(K225,'Data Base'!$X$37)),I225*1.25*1*0.5,IF(AND(EXACT(G225,'Data Base'!$T$37),EXACT(H225,'Data Base'!$V$37),EXACT(K225,'Data Base'!$X$37)),I225*1.25*0.5*0.5,IF(AND(EXACT(G225,'Data Base'!$T$37),EXACT(H225,'Data Base'!$V$38),EXACT(K225,'Data Base'!$X$37)),I225*1.25*1.2*0.5))))))))))))))))))))))))))),"")</f>
        <v/>
      </c>
    </row>
    <row r="226" spans="1:13" ht="21" customHeight="1">
      <c r="A226" s="99">
        <v>14</v>
      </c>
      <c r="B226" s="1349" t="str">
        <f t="shared" si="26"/>
        <v/>
      </c>
      <c r="C226" s="1350"/>
      <c r="D226" s="148" t="str">
        <f t="shared" si="27"/>
        <v/>
      </c>
      <c r="E226" s="1351"/>
      <c r="F226" s="1352"/>
      <c r="G226" s="165"/>
      <c r="H226" s="140"/>
      <c r="I226" s="4"/>
      <c r="J226" s="4"/>
      <c r="K226" s="140"/>
      <c r="L226" s="4" t="s">
        <v>652</v>
      </c>
      <c r="M226" s="170" t="str">
        <f>IF(AND(NOT(EXACT(D226,"")),NOT(EXACT(G226,"")),NOT(EXACT(E226,"")),NOT(EXACT(B226,"")),NOT(EXACT(I226,"")),NOT(EXACT(H226,""))),IF(AND(EXACT(G226,'Data Base'!$T$35),OR(EXACT(H226,'Data Base'!$V$36),EXACT(H226,'Data Base'!$V$35)),EXACT(K226,'Data Base'!$X$35)),I226*0.5*1*1,IF(AND(EXACT(G226,'Data Base'!$T$35),EXACT(H226,'Data Base'!$V$37),EXACT(K226,'Data Base'!$X$35)),I226*0.5*0.5*1,IF(AND(EXACT(G226,'Data Base'!$T$35),EXACT(H226,'Data Base'!$V$38),EXACT(K226,'Data Base'!$X$35)),I226*0.5*1.2*1,IF(AND(EXACT(G226,'Data Base'!$T$35),OR(EXACT(H226,'Data Base'!$V$36),EXACT(H226,'Data Base'!$V$35)),EXACT(K226,'Data Base'!$X$36)),I226*0.5*1*0.75,IF(AND(EXACT(G226,'Data Base'!$T$35),EXACT(H226,'Data Base'!$V$37),EXACT(K226,'Data Base'!$X$36)),I226*0.5*0.5*0.75,IF(AND(EXACT(G226,'Data Base'!$T$35),EXACT(H226,'Data Base'!$V$38),EXACT(K226,'Data Base'!$X$36)),I226*0.5*1.2*0.75,IF(AND(EXACT(G226,'Data Base'!$T$35),OR(EXACT(H226,'Data Base'!$V$36),EXACT(H226,'Data Base'!$V$35)),EXACT(K226,'Data Base'!$X$37)),I226*0.5*1*0.5,IF(AND(EXACT(G226,'Data Base'!$T$35),EXACT(H226,'Data Base'!$V$37),EXACT(K226,'Data Base'!$X$37)),I226*0.5*0.5*0.5,IF(AND(EXACT(G226,'Data Base'!$T$35),EXACT(H226,'Data Base'!$V$38),EXACT(K226,'Data Base'!$X$37)),I226*0.5*1.2*0.5,IF(AND(EXACT(G226,'Data Base'!$T$36),OR(EXACT(H226,'Data Base'!$V$36),EXACT(H226,'Data Base'!$V$35)),EXACT(K226,'Data Base'!$X$35)),I226*1*1*1,IF(AND(EXACT(G226,'Data Base'!$T$36),EXACT(H226,'Data Base'!$V$37),EXACT(K226,'Data Base'!$X$35)),I226*1*0.5*1,IF(AND(EXACT(G226,'Data Base'!$T$36),EXACT(H226,'Data Base'!$V$38),EXACT(K226,'Data Base'!$X$35)),I226*1*1.2*1,IF(AND(EXACT(G226,'Data Base'!$T$36),OR(EXACT(H226,'Data Base'!$V$36),EXACT(H226,'Data Base'!$V$35)),EXACT(K226,'Data Base'!$X$36)),I226*1*1*0.75,IF(AND(EXACT(G226,'Data Base'!$T$36),EXACT(H226,'Data Base'!$V$37),EXACT(K226,'Data Base'!$X$36)),I226*1*0.5*0.75,IF(AND(EXACT(G226,'Data Base'!$T$36),EXACT(H226,'Data Base'!$V$38),EXACT(K226,'Data Base'!$X$36)),I226*1*1.2*0.75,IF(AND(EXACT(G226,'Data Base'!$T$36),OR(EXACT(H226,'Data Base'!$V$36),EXACT(H226,'Data Base'!$V$35)),EXACT(K226,'Data Base'!$X$37)),I226*1*1*0.5,IF(AND(EXACT(G226,'Data Base'!$T$36),EXACT(H226,'Data Base'!$V$37),EXACT(K226,'Data Base'!$X$37)),I226*1*0.5*0.5,IF(AND(EXACT(G226,'Data Base'!$T$36),EXACT(H226,'Data Base'!$V$38),EXACT(K226,'Data Base'!$X$37)),I226*1*1.2*0.5,IF(AND(EXACT(G226,'Data Base'!$T$37),OR(EXACT(H226,'Data Base'!$V$36),EXACT(H226,'Data Base'!$V$35)),EXACT(K226,'Data Base'!$X$35)),I226*1.25*1*1,IF(AND(EXACT(G226,'Data Base'!$T$37),EXACT(H226,'Data Base'!$V$37),EXACT(K226,'Data Base'!$X$35)),I226*1.25*0.5*1,IF(AND(EXACT(G226,'Data Base'!$T$37),EXACT(H226,'Data Base'!$V$38),EXACT(K226,'Data Base'!$X$35)),I226*1.25*1.2*1,IF(AND(EXACT(G226,'Data Base'!$T$37),OR(EXACT(H226,'Data Base'!$V$36),EXACT(H226,'Data Base'!$V$35)),EXACT(K226,'Data Base'!$X$36)),I226*1.25*1*0.75,IF(AND(EXACT(G226,'Data Base'!$T$37),EXACT(H226,'Data Base'!$V$37),EXACT(K226,'Data Base'!$X$36)),I226*1.25*0.5*0.75,IF(AND(EXACT(G226,'Data Base'!$T$37),EXACT(H226,'Data Base'!$V$38),EXACT(K226,'Data Base'!$X$36)),I226*1.25*1.2*0.75,IF(AND(EXACT(G226,'Data Base'!$T$37),OR(EXACT(H226,'Data Base'!$V$36),EXACT(H226,'Data Base'!$V$35)),EXACT(K226,'Data Base'!$X$37)),I226*1.25*1*0.5,IF(AND(EXACT(G226,'Data Base'!$T$37),EXACT(H226,'Data Base'!$V$37),EXACT(K226,'Data Base'!$X$37)),I226*1.25*0.5*0.5,IF(AND(EXACT(G226,'Data Base'!$T$37),EXACT(H226,'Data Base'!$V$38),EXACT(K226,'Data Base'!$X$37)),I226*1.25*1.2*0.5))))))))))))))))))))))))))),"")</f>
        <v/>
      </c>
    </row>
    <row r="227" spans="1:13" ht="21" customHeight="1" thickBot="1">
      <c r="A227" s="106">
        <v>15</v>
      </c>
      <c r="B227" s="1355" t="str">
        <f t="shared" si="26"/>
        <v/>
      </c>
      <c r="C227" s="1356"/>
      <c r="D227" s="107" t="str">
        <f t="shared" si="27"/>
        <v/>
      </c>
      <c r="E227" s="1357"/>
      <c r="F227" s="1358"/>
      <c r="G227" s="167"/>
      <c r="H227" s="108"/>
      <c r="I227" s="105"/>
      <c r="J227" s="105"/>
      <c r="K227" s="108"/>
      <c r="L227" s="105" t="s">
        <v>652</v>
      </c>
      <c r="M227" s="168" t="str">
        <f>IF(AND(NOT(EXACT(D227,"")),NOT(EXACT(G227,"")),NOT(EXACT(E227,"")),NOT(EXACT(B227,"")),NOT(EXACT(I227,"")),NOT(EXACT(H227,""))),IF(AND(EXACT(G227,'Data Base'!$T$35),OR(EXACT(H227,'Data Base'!$V$36),EXACT(H227,'Data Base'!$V$35)),EXACT(K227,'Data Base'!$X$35)),I227*0.5*1*1,IF(AND(EXACT(G227,'Data Base'!$T$35),EXACT(H227,'Data Base'!$V$37),EXACT(K227,'Data Base'!$X$35)),I227*0.5*0.5*1,IF(AND(EXACT(G227,'Data Base'!$T$35),EXACT(H227,'Data Base'!$V$38),EXACT(K227,'Data Base'!$X$35)),I227*0.5*1.2*1,IF(AND(EXACT(G227,'Data Base'!$T$35),OR(EXACT(H227,'Data Base'!$V$36),EXACT(H227,'Data Base'!$V$35)),EXACT(K227,'Data Base'!$X$36)),I227*0.5*1*0.75,IF(AND(EXACT(G227,'Data Base'!$T$35),EXACT(H227,'Data Base'!$V$37),EXACT(K227,'Data Base'!$X$36)),I227*0.5*0.5*0.75,IF(AND(EXACT(G227,'Data Base'!$T$35),EXACT(H227,'Data Base'!$V$38),EXACT(K227,'Data Base'!$X$36)),I227*0.5*1.2*0.75,IF(AND(EXACT(G227,'Data Base'!$T$35),OR(EXACT(H227,'Data Base'!$V$36),EXACT(H227,'Data Base'!$V$35)),EXACT(K227,'Data Base'!$X$37)),I227*0.5*1*0.5,IF(AND(EXACT(G227,'Data Base'!$T$35),EXACT(H227,'Data Base'!$V$37),EXACT(K227,'Data Base'!$X$37)),I227*0.5*0.5*0.5,IF(AND(EXACT(G227,'Data Base'!$T$35),EXACT(H227,'Data Base'!$V$38),EXACT(K227,'Data Base'!$X$37)),I227*0.5*1.2*0.5,IF(AND(EXACT(G227,'Data Base'!$T$36),OR(EXACT(H227,'Data Base'!$V$36),EXACT(H227,'Data Base'!$V$35)),EXACT(K227,'Data Base'!$X$35)),I227*1*1*1,IF(AND(EXACT(G227,'Data Base'!$T$36),EXACT(H227,'Data Base'!$V$37),EXACT(K227,'Data Base'!$X$35)),I227*1*0.5*1,IF(AND(EXACT(G227,'Data Base'!$T$36),EXACT(H227,'Data Base'!$V$38),EXACT(K227,'Data Base'!$X$35)),I227*1*1.2*1,IF(AND(EXACT(G227,'Data Base'!$T$36),OR(EXACT(H227,'Data Base'!$V$36),EXACT(H227,'Data Base'!$V$35)),EXACT(K227,'Data Base'!$X$36)),I227*1*1*0.75,IF(AND(EXACT(G227,'Data Base'!$T$36),EXACT(H227,'Data Base'!$V$37),EXACT(K227,'Data Base'!$X$36)),I227*1*0.5*0.75,IF(AND(EXACT(G227,'Data Base'!$T$36),EXACT(H227,'Data Base'!$V$38),EXACT(K227,'Data Base'!$X$36)),I227*1*1.2*0.75,IF(AND(EXACT(G227,'Data Base'!$T$36),OR(EXACT(H227,'Data Base'!$V$36),EXACT(H227,'Data Base'!$V$35)),EXACT(K227,'Data Base'!$X$37)),I227*1*1*0.5,IF(AND(EXACT(G227,'Data Base'!$T$36),EXACT(H227,'Data Base'!$V$37),EXACT(K227,'Data Base'!$X$37)),I227*1*0.5*0.5,IF(AND(EXACT(G227,'Data Base'!$T$36),EXACT(H227,'Data Base'!$V$38),EXACT(K227,'Data Base'!$X$37)),I227*1*1.2*0.5,IF(AND(EXACT(G227,'Data Base'!$T$37),OR(EXACT(H227,'Data Base'!$V$36),EXACT(H227,'Data Base'!$V$35)),EXACT(K227,'Data Base'!$X$35)),I227*1.25*1*1,IF(AND(EXACT(G227,'Data Base'!$T$37),EXACT(H227,'Data Base'!$V$37),EXACT(K227,'Data Base'!$X$35)),I227*1.25*0.5*1,IF(AND(EXACT(G227,'Data Base'!$T$37),EXACT(H227,'Data Base'!$V$38),EXACT(K227,'Data Base'!$X$35)),I227*1.25*1.2*1,IF(AND(EXACT(G227,'Data Base'!$T$37),OR(EXACT(H227,'Data Base'!$V$36),EXACT(H227,'Data Base'!$V$35)),EXACT(K227,'Data Base'!$X$36)),I227*1.25*1*0.75,IF(AND(EXACT(G227,'Data Base'!$T$37),EXACT(H227,'Data Base'!$V$37),EXACT(K227,'Data Base'!$X$36)),I227*1.25*0.5*0.75,IF(AND(EXACT(G227,'Data Base'!$T$37),EXACT(H227,'Data Base'!$V$38),EXACT(K227,'Data Base'!$X$36)),I227*1.25*1.2*0.75,IF(AND(EXACT(G227,'Data Base'!$T$37),OR(EXACT(H227,'Data Base'!$V$36),EXACT(H227,'Data Base'!$V$35)),EXACT(K227,'Data Base'!$X$37)),I227*1.25*1*0.5,IF(AND(EXACT(G227,'Data Base'!$T$37),EXACT(H227,'Data Base'!$V$37),EXACT(K227,'Data Base'!$X$37)),I227*1.25*0.5*0.5,IF(AND(EXACT(G227,'Data Base'!$T$37),EXACT(H227,'Data Base'!$V$38),EXACT(K227,'Data Base'!$X$37)),I227*1.25*1.2*0.5))))))))))))))))))))))))))),"")</f>
        <v/>
      </c>
    </row>
    <row r="228" spans="1:13" ht="21" customHeight="1" thickBot="1">
      <c r="A228" s="1359" t="s">
        <v>653</v>
      </c>
      <c r="B228" s="1360"/>
      <c r="C228" s="1360"/>
      <c r="D228" s="1360"/>
      <c r="E228" s="1360"/>
      <c r="F228" s="1360"/>
      <c r="G228" s="1360"/>
      <c r="H228" s="1360"/>
      <c r="I228" s="109">
        <f>B213</f>
        <v>0</v>
      </c>
      <c r="J228" s="109">
        <f>D213</f>
        <v>0</v>
      </c>
      <c r="K228" s="1361"/>
      <c r="L228" s="1362"/>
      <c r="M228" s="110">
        <f>IF(SUM(M213:M227)&gt;5,5,SUM(M213:M227))</f>
        <v>0</v>
      </c>
    </row>
    <row r="229" spans="1:13" ht="21" customHeight="1">
      <c r="A229" s="97">
        <v>1</v>
      </c>
      <c r="B229" s="1363"/>
      <c r="C229" s="1364"/>
      <c r="D229" s="104"/>
      <c r="E229" s="1353"/>
      <c r="F229" s="1354"/>
      <c r="G229" s="169"/>
      <c r="H229" s="104"/>
      <c r="I229" s="98"/>
      <c r="J229" s="98"/>
      <c r="K229" s="104"/>
      <c r="L229" s="98" t="s">
        <v>652</v>
      </c>
      <c r="M229" s="166" t="str">
        <f>IF(AND(NOT(EXACT(D229,"")),NOT(EXACT(G229,"")),NOT(EXACT(E229,"")),NOT(EXACT(B229,"")),NOT(EXACT(I229,"")),NOT(EXACT(H229,""))),IF(AND(EXACT(G229,'Data Base'!$T$35),OR(EXACT(H229,'Data Base'!$V$36),EXACT(H229,'Data Base'!$V$35)),EXACT(K229,'Data Base'!$X$35)),I229*0.5*1*1,IF(AND(EXACT(G229,'Data Base'!$T$35),EXACT(H229,'Data Base'!$V$37),EXACT(K229,'Data Base'!$X$35)),I229*0.5*0.5*1,IF(AND(EXACT(G229,'Data Base'!$T$35),EXACT(H229,'Data Base'!$V$38),EXACT(K229,'Data Base'!$X$35)),I229*0.5*1.2*1,IF(AND(EXACT(G229,'Data Base'!$T$35),OR(EXACT(H229,'Data Base'!$V$36),EXACT(H229,'Data Base'!$V$35)),EXACT(K229,'Data Base'!$X$36)),I229*0.5*1*0.75,IF(AND(EXACT(G229,'Data Base'!$T$35),EXACT(H229,'Data Base'!$V$37),EXACT(K229,'Data Base'!$X$36)),I229*0.5*0.5*0.75,IF(AND(EXACT(G229,'Data Base'!$T$35),EXACT(H229,'Data Base'!$V$38),EXACT(K229,'Data Base'!$X$36)),I229*0.5*1.2*0.75,IF(AND(EXACT(G229,'Data Base'!$T$35),OR(EXACT(H229,'Data Base'!$V$36),EXACT(H229,'Data Base'!$V$35)),EXACT(K229,'Data Base'!$X$37)),I229*0.5*1*0.5,IF(AND(EXACT(G229,'Data Base'!$T$35),EXACT(H229,'Data Base'!$V$37),EXACT(K229,'Data Base'!$X$37)),I229*0.5*0.5*0.5,IF(AND(EXACT(G229,'Data Base'!$T$35),EXACT(H229,'Data Base'!$V$38),EXACT(K229,'Data Base'!$X$37)),I229*0.5*1.2*0.5,IF(AND(EXACT(G229,'Data Base'!$T$36),OR(EXACT(H229,'Data Base'!$V$36),EXACT(H229,'Data Base'!$V$35)),EXACT(K229,'Data Base'!$X$35)),I229*1*1*1,IF(AND(EXACT(G229,'Data Base'!$T$36),EXACT(H229,'Data Base'!$V$37),EXACT(K229,'Data Base'!$X$35)),I229*1*0.5*1,IF(AND(EXACT(G229,'Data Base'!$T$36),EXACT(H229,'Data Base'!$V$38),EXACT(K229,'Data Base'!$X$35)),I229*1*1.2*1,IF(AND(EXACT(G229,'Data Base'!$T$36),OR(EXACT(H229,'Data Base'!$V$36),EXACT(H229,'Data Base'!$V$35)),EXACT(K229,'Data Base'!$X$36)),I229*1*1*0.75,IF(AND(EXACT(G229,'Data Base'!$T$36),EXACT(H229,'Data Base'!$V$37),EXACT(K229,'Data Base'!$X$36)),I229*1*0.5*0.75,IF(AND(EXACT(G229,'Data Base'!$T$36),EXACT(H229,'Data Base'!$V$38),EXACT(K229,'Data Base'!$X$36)),I229*1*1.2*0.75,IF(AND(EXACT(G229,'Data Base'!$T$36),OR(EXACT(H229,'Data Base'!$V$36),EXACT(H229,'Data Base'!$V$35)),EXACT(K229,'Data Base'!$X$37)),I229*1*1*0.5,IF(AND(EXACT(G229,'Data Base'!$T$36),EXACT(H229,'Data Base'!$V$37),EXACT(K229,'Data Base'!$X$37)),I229*1*0.5*0.5,IF(AND(EXACT(G229,'Data Base'!$T$36),EXACT(H229,'Data Base'!$V$38),EXACT(K229,'Data Base'!$X$37)),I229*1*1.2*0.5,IF(AND(EXACT(G229,'Data Base'!$T$37),OR(EXACT(H229,'Data Base'!$V$36),EXACT(H229,'Data Base'!$V$35)),EXACT(K229,'Data Base'!$X$35)),I229*1.25*1*1,IF(AND(EXACT(G229,'Data Base'!$T$37),EXACT(H229,'Data Base'!$V$37),EXACT(K229,'Data Base'!$X$35)),I229*1.25*0.5*1,IF(AND(EXACT(G229,'Data Base'!$T$37),EXACT(H229,'Data Base'!$V$38),EXACT(K229,'Data Base'!$X$35)),I229*1.25*1.2*1,IF(AND(EXACT(G229,'Data Base'!$T$37),OR(EXACT(H229,'Data Base'!$V$36),EXACT(H229,'Data Base'!$V$35)),EXACT(K229,'Data Base'!$X$36)),I229*1.25*1*0.75,IF(AND(EXACT(G229,'Data Base'!$T$37),EXACT(H229,'Data Base'!$V$37),EXACT(K229,'Data Base'!$X$36)),I229*1.25*0.5*0.75,IF(AND(EXACT(G229,'Data Base'!$T$37),EXACT(H229,'Data Base'!$V$38),EXACT(K229,'Data Base'!$X$36)),I229*1.25*1.2*0.75,IF(AND(EXACT(G229,'Data Base'!$T$37),OR(EXACT(H229,'Data Base'!$V$36),EXACT(H229,'Data Base'!$V$35)),EXACT(K229,'Data Base'!$X$37)),I229*1.25*1*0.5,IF(AND(EXACT(G229,'Data Base'!$T$37),EXACT(H229,'Data Base'!$V$37),EXACT(K229,'Data Base'!$X$37)),I229*1.25*0.5*0.5,IF(AND(EXACT(G229,'Data Base'!$T$37),EXACT(H229,'Data Base'!$V$38),EXACT(K229,'Data Base'!$X$37)),I229*1.25*1.2*0.5))))))))))))))))))))))))))),"")</f>
        <v/>
      </c>
    </row>
    <row r="230" spans="1:13" ht="21" customHeight="1">
      <c r="A230" s="99">
        <v>2</v>
      </c>
      <c r="B230" s="1349" t="str">
        <f t="shared" ref="B230:B243" si="28">IF(NOT(EXACT(D230,"")),B229,"")</f>
        <v/>
      </c>
      <c r="C230" s="1350"/>
      <c r="D230" s="148" t="str">
        <f t="shared" ref="D230:D243" si="29">IF(NOT(EXACT(E230,"")),D229,"")</f>
        <v/>
      </c>
      <c r="E230" s="1365"/>
      <c r="F230" s="1365"/>
      <c r="G230" s="165"/>
      <c r="H230" s="140"/>
      <c r="I230" s="4"/>
      <c r="J230" s="4"/>
      <c r="K230" s="140"/>
      <c r="L230" s="4" t="s">
        <v>652</v>
      </c>
      <c r="M230" s="166" t="str">
        <f>IF(AND(NOT(EXACT(D230,"")),NOT(EXACT(G230,"")),NOT(EXACT(E230,"")),NOT(EXACT(B230,"")),NOT(EXACT(I230,"")),NOT(EXACT(H230,""))),IF(AND(EXACT(G230,'Data Base'!$T$35),OR(EXACT(H230,'Data Base'!$V$36),EXACT(H230,'Data Base'!$V$35)),EXACT(K230,'Data Base'!$X$35)),I230*0.5*1*1,IF(AND(EXACT(G230,'Data Base'!$T$35),EXACT(H230,'Data Base'!$V$37),EXACT(K230,'Data Base'!$X$35)),I230*0.5*0.5*1,IF(AND(EXACT(G230,'Data Base'!$T$35),EXACT(H230,'Data Base'!$V$38),EXACT(K230,'Data Base'!$X$35)),I230*0.5*1.2*1,IF(AND(EXACT(G230,'Data Base'!$T$35),OR(EXACT(H230,'Data Base'!$V$36),EXACT(H230,'Data Base'!$V$35)),EXACT(K230,'Data Base'!$X$36)),I230*0.5*1*0.75,IF(AND(EXACT(G230,'Data Base'!$T$35),EXACT(H230,'Data Base'!$V$37),EXACT(K230,'Data Base'!$X$36)),I230*0.5*0.5*0.75,IF(AND(EXACT(G230,'Data Base'!$T$35),EXACT(H230,'Data Base'!$V$38),EXACT(K230,'Data Base'!$X$36)),I230*0.5*1.2*0.75,IF(AND(EXACT(G230,'Data Base'!$T$35),OR(EXACT(H230,'Data Base'!$V$36),EXACT(H230,'Data Base'!$V$35)),EXACT(K230,'Data Base'!$X$37)),I230*0.5*1*0.5,IF(AND(EXACT(G230,'Data Base'!$T$35),EXACT(H230,'Data Base'!$V$37),EXACT(K230,'Data Base'!$X$37)),I230*0.5*0.5*0.5,IF(AND(EXACT(G230,'Data Base'!$T$35),EXACT(H230,'Data Base'!$V$38),EXACT(K230,'Data Base'!$X$37)),I230*0.5*1.2*0.5,IF(AND(EXACT(G230,'Data Base'!$T$36),OR(EXACT(H230,'Data Base'!$V$36),EXACT(H230,'Data Base'!$V$35)),EXACT(K230,'Data Base'!$X$35)),I230*1*1*1,IF(AND(EXACT(G230,'Data Base'!$T$36),EXACT(H230,'Data Base'!$V$37),EXACT(K230,'Data Base'!$X$35)),I230*1*0.5*1,IF(AND(EXACT(G230,'Data Base'!$T$36),EXACT(H230,'Data Base'!$V$38),EXACT(K230,'Data Base'!$X$35)),I230*1*1.2*1,IF(AND(EXACT(G230,'Data Base'!$T$36),OR(EXACT(H230,'Data Base'!$V$36),EXACT(H230,'Data Base'!$V$35)),EXACT(K230,'Data Base'!$X$36)),I230*1*1*0.75,IF(AND(EXACT(G230,'Data Base'!$T$36),EXACT(H230,'Data Base'!$V$37),EXACT(K230,'Data Base'!$X$36)),I230*1*0.5*0.75,IF(AND(EXACT(G230,'Data Base'!$T$36),EXACT(H230,'Data Base'!$V$38),EXACT(K230,'Data Base'!$X$36)),I230*1*1.2*0.75,IF(AND(EXACT(G230,'Data Base'!$T$36),OR(EXACT(H230,'Data Base'!$V$36),EXACT(H230,'Data Base'!$V$35)),EXACT(K230,'Data Base'!$X$37)),I230*1*1*0.5,IF(AND(EXACT(G230,'Data Base'!$T$36),EXACT(H230,'Data Base'!$V$37),EXACT(K230,'Data Base'!$X$37)),I230*1*0.5*0.5,IF(AND(EXACT(G230,'Data Base'!$T$36),EXACT(H230,'Data Base'!$V$38),EXACT(K230,'Data Base'!$X$37)),I230*1*1.2*0.5,IF(AND(EXACT(G230,'Data Base'!$T$37),OR(EXACT(H230,'Data Base'!$V$36),EXACT(H230,'Data Base'!$V$35)),EXACT(K230,'Data Base'!$X$35)),I230*1.25*1*1,IF(AND(EXACT(G230,'Data Base'!$T$37),EXACT(H230,'Data Base'!$V$37),EXACT(K230,'Data Base'!$X$35)),I230*1.25*0.5*1,IF(AND(EXACT(G230,'Data Base'!$T$37),EXACT(H230,'Data Base'!$V$38),EXACT(K230,'Data Base'!$X$35)),I230*1.25*1.2*1,IF(AND(EXACT(G230,'Data Base'!$T$37),OR(EXACT(H230,'Data Base'!$V$36),EXACT(H230,'Data Base'!$V$35)),EXACT(K230,'Data Base'!$X$36)),I230*1.25*1*0.75,IF(AND(EXACT(G230,'Data Base'!$T$37),EXACT(H230,'Data Base'!$V$37),EXACT(K230,'Data Base'!$X$36)),I230*1.25*0.5*0.75,IF(AND(EXACT(G230,'Data Base'!$T$37),EXACT(H230,'Data Base'!$V$38),EXACT(K230,'Data Base'!$X$36)),I230*1.25*1.2*0.75,IF(AND(EXACT(G230,'Data Base'!$T$37),OR(EXACT(H230,'Data Base'!$V$36),EXACT(H230,'Data Base'!$V$35)),EXACT(K230,'Data Base'!$X$37)),I230*1.25*1*0.5,IF(AND(EXACT(G230,'Data Base'!$T$37),EXACT(H230,'Data Base'!$V$37),EXACT(K230,'Data Base'!$X$37)),I230*1.25*0.5*0.5,IF(AND(EXACT(G230,'Data Base'!$T$37),EXACT(H230,'Data Base'!$V$38),EXACT(K230,'Data Base'!$X$37)),I230*1.25*1.2*0.5))))))))))))))))))))))))))),"")</f>
        <v/>
      </c>
    </row>
    <row r="231" spans="1:13" ht="21" customHeight="1">
      <c r="A231" s="99">
        <v>3</v>
      </c>
      <c r="B231" s="1349" t="str">
        <f t="shared" si="28"/>
        <v/>
      </c>
      <c r="C231" s="1350"/>
      <c r="D231" s="148" t="str">
        <f t="shared" si="29"/>
        <v/>
      </c>
      <c r="E231" s="1351"/>
      <c r="F231" s="1352"/>
      <c r="G231" s="165"/>
      <c r="H231" s="140"/>
      <c r="I231" s="4"/>
      <c r="J231" s="4"/>
      <c r="K231" s="140"/>
      <c r="L231" s="4" t="s">
        <v>652</v>
      </c>
      <c r="M231" s="166" t="str">
        <f>IF(AND(NOT(EXACT(D231,"")),NOT(EXACT(G231,"")),NOT(EXACT(E231,"")),NOT(EXACT(B231,"")),NOT(EXACT(I231,"")),NOT(EXACT(H231,""))),IF(AND(EXACT(G231,'Data Base'!$T$35),OR(EXACT(H231,'Data Base'!$V$36),EXACT(H231,'Data Base'!$V$35)),EXACT(K231,'Data Base'!$X$35)),I231*0.5*1*1,IF(AND(EXACT(G231,'Data Base'!$T$35),EXACT(H231,'Data Base'!$V$37),EXACT(K231,'Data Base'!$X$35)),I231*0.5*0.5*1,IF(AND(EXACT(G231,'Data Base'!$T$35),EXACT(H231,'Data Base'!$V$38),EXACT(K231,'Data Base'!$X$35)),I231*0.5*1.2*1,IF(AND(EXACT(G231,'Data Base'!$T$35),OR(EXACT(H231,'Data Base'!$V$36),EXACT(H231,'Data Base'!$V$35)),EXACT(K231,'Data Base'!$X$36)),I231*0.5*1*0.75,IF(AND(EXACT(G231,'Data Base'!$T$35),EXACT(H231,'Data Base'!$V$37),EXACT(K231,'Data Base'!$X$36)),I231*0.5*0.5*0.75,IF(AND(EXACT(G231,'Data Base'!$T$35),EXACT(H231,'Data Base'!$V$38),EXACT(K231,'Data Base'!$X$36)),I231*0.5*1.2*0.75,IF(AND(EXACT(G231,'Data Base'!$T$35),OR(EXACT(H231,'Data Base'!$V$36),EXACT(H231,'Data Base'!$V$35)),EXACT(K231,'Data Base'!$X$37)),I231*0.5*1*0.5,IF(AND(EXACT(G231,'Data Base'!$T$35),EXACT(H231,'Data Base'!$V$37),EXACT(K231,'Data Base'!$X$37)),I231*0.5*0.5*0.5,IF(AND(EXACT(G231,'Data Base'!$T$35),EXACT(H231,'Data Base'!$V$38),EXACT(K231,'Data Base'!$X$37)),I231*0.5*1.2*0.5,IF(AND(EXACT(G231,'Data Base'!$T$36),OR(EXACT(H231,'Data Base'!$V$36),EXACT(H231,'Data Base'!$V$35)),EXACT(K231,'Data Base'!$X$35)),I231*1*1*1,IF(AND(EXACT(G231,'Data Base'!$T$36),EXACT(H231,'Data Base'!$V$37),EXACT(K231,'Data Base'!$X$35)),I231*1*0.5*1,IF(AND(EXACT(G231,'Data Base'!$T$36),EXACT(H231,'Data Base'!$V$38),EXACT(K231,'Data Base'!$X$35)),I231*1*1.2*1,IF(AND(EXACT(G231,'Data Base'!$T$36),OR(EXACT(H231,'Data Base'!$V$36),EXACT(H231,'Data Base'!$V$35)),EXACT(K231,'Data Base'!$X$36)),I231*1*1*0.75,IF(AND(EXACT(G231,'Data Base'!$T$36),EXACT(H231,'Data Base'!$V$37),EXACT(K231,'Data Base'!$X$36)),I231*1*0.5*0.75,IF(AND(EXACT(G231,'Data Base'!$T$36),EXACT(H231,'Data Base'!$V$38),EXACT(K231,'Data Base'!$X$36)),I231*1*1.2*0.75,IF(AND(EXACT(G231,'Data Base'!$T$36),OR(EXACT(H231,'Data Base'!$V$36),EXACT(H231,'Data Base'!$V$35)),EXACT(K231,'Data Base'!$X$37)),I231*1*1*0.5,IF(AND(EXACT(G231,'Data Base'!$T$36),EXACT(H231,'Data Base'!$V$37),EXACT(K231,'Data Base'!$X$37)),I231*1*0.5*0.5,IF(AND(EXACT(G231,'Data Base'!$T$36),EXACT(H231,'Data Base'!$V$38),EXACT(K231,'Data Base'!$X$37)),I231*1*1.2*0.5,IF(AND(EXACT(G231,'Data Base'!$T$37),OR(EXACT(H231,'Data Base'!$V$36),EXACT(H231,'Data Base'!$V$35)),EXACT(K231,'Data Base'!$X$35)),I231*1.25*1*1,IF(AND(EXACT(G231,'Data Base'!$T$37),EXACT(H231,'Data Base'!$V$37),EXACT(K231,'Data Base'!$X$35)),I231*1.25*0.5*1,IF(AND(EXACT(G231,'Data Base'!$T$37),EXACT(H231,'Data Base'!$V$38),EXACT(K231,'Data Base'!$X$35)),I231*1.25*1.2*1,IF(AND(EXACT(G231,'Data Base'!$T$37),OR(EXACT(H231,'Data Base'!$V$36),EXACT(H231,'Data Base'!$V$35)),EXACT(K231,'Data Base'!$X$36)),I231*1.25*1*0.75,IF(AND(EXACT(G231,'Data Base'!$T$37),EXACT(H231,'Data Base'!$V$37),EXACT(K231,'Data Base'!$X$36)),I231*1.25*0.5*0.75,IF(AND(EXACT(G231,'Data Base'!$T$37),EXACT(H231,'Data Base'!$V$38),EXACT(K231,'Data Base'!$X$36)),I231*1.25*1.2*0.75,IF(AND(EXACT(G231,'Data Base'!$T$37),OR(EXACT(H231,'Data Base'!$V$36),EXACT(H231,'Data Base'!$V$35)),EXACT(K231,'Data Base'!$X$37)),I231*1.25*1*0.5,IF(AND(EXACT(G231,'Data Base'!$T$37),EXACT(H231,'Data Base'!$V$37),EXACT(K231,'Data Base'!$X$37)),I231*1.25*0.5*0.5,IF(AND(EXACT(G231,'Data Base'!$T$37),EXACT(H231,'Data Base'!$V$38),EXACT(K231,'Data Base'!$X$37)),I231*1.25*1.2*0.5))))))))))))))))))))))))))),"")</f>
        <v/>
      </c>
    </row>
    <row r="232" spans="1:13" ht="21" customHeight="1">
      <c r="A232" s="97">
        <v>4</v>
      </c>
      <c r="B232" s="1349" t="str">
        <f t="shared" si="28"/>
        <v/>
      </c>
      <c r="C232" s="1350"/>
      <c r="D232" s="148" t="str">
        <f t="shared" si="29"/>
        <v/>
      </c>
      <c r="E232" s="1351"/>
      <c r="F232" s="1352"/>
      <c r="G232" s="165"/>
      <c r="H232" s="140"/>
      <c r="I232" s="4"/>
      <c r="J232" s="4"/>
      <c r="K232" s="140"/>
      <c r="L232" s="4" t="s">
        <v>652</v>
      </c>
      <c r="M232" s="166" t="str">
        <f>IF(AND(NOT(EXACT(D232,"")),NOT(EXACT(G232,"")),NOT(EXACT(E232,"")),NOT(EXACT(B232,"")),NOT(EXACT(I232,"")),NOT(EXACT(H232,""))),IF(AND(EXACT(G232,'Data Base'!$T$35),OR(EXACT(H232,'Data Base'!$V$36),EXACT(H232,'Data Base'!$V$35)),EXACT(K232,'Data Base'!$X$35)),I232*0.5*1*1,IF(AND(EXACT(G232,'Data Base'!$T$35),EXACT(H232,'Data Base'!$V$37),EXACT(K232,'Data Base'!$X$35)),I232*0.5*0.5*1,IF(AND(EXACT(G232,'Data Base'!$T$35),EXACT(H232,'Data Base'!$V$38),EXACT(K232,'Data Base'!$X$35)),I232*0.5*1.2*1,IF(AND(EXACT(G232,'Data Base'!$T$35),OR(EXACT(H232,'Data Base'!$V$36),EXACT(H232,'Data Base'!$V$35)),EXACT(K232,'Data Base'!$X$36)),I232*0.5*1*0.75,IF(AND(EXACT(G232,'Data Base'!$T$35),EXACT(H232,'Data Base'!$V$37),EXACT(K232,'Data Base'!$X$36)),I232*0.5*0.5*0.75,IF(AND(EXACT(G232,'Data Base'!$T$35),EXACT(H232,'Data Base'!$V$38),EXACT(K232,'Data Base'!$X$36)),I232*0.5*1.2*0.75,IF(AND(EXACT(G232,'Data Base'!$T$35),OR(EXACT(H232,'Data Base'!$V$36),EXACT(H232,'Data Base'!$V$35)),EXACT(K232,'Data Base'!$X$37)),I232*0.5*1*0.5,IF(AND(EXACT(G232,'Data Base'!$T$35),EXACT(H232,'Data Base'!$V$37),EXACT(K232,'Data Base'!$X$37)),I232*0.5*0.5*0.5,IF(AND(EXACT(G232,'Data Base'!$T$35),EXACT(H232,'Data Base'!$V$38),EXACT(K232,'Data Base'!$X$37)),I232*0.5*1.2*0.5,IF(AND(EXACT(G232,'Data Base'!$T$36),OR(EXACT(H232,'Data Base'!$V$36),EXACT(H232,'Data Base'!$V$35)),EXACT(K232,'Data Base'!$X$35)),I232*1*1*1,IF(AND(EXACT(G232,'Data Base'!$T$36),EXACT(H232,'Data Base'!$V$37),EXACT(K232,'Data Base'!$X$35)),I232*1*0.5*1,IF(AND(EXACT(G232,'Data Base'!$T$36),EXACT(H232,'Data Base'!$V$38),EXACT(K232,'Data Base'!$X$35)),I232*1*1.2*1,IF(AND(EXACT(G232,'Data Base'!$T$36),OR(EXACT(H232,'Data Base'!$V$36),EXACT(H232,'Data Base'!$V$35)),EXACT(K232,'Data Base'!$X$36)),I232*1*1*0.75,IF(AND(EXACT(G232,'Data Base'!$T$36),EXACT(H232,'Data Base'!$V$37),EXACT(K232,'Data Base'!$X$36)),I232*1*0.5*0.75,IF(AND(EXACT(G232,'Data Base'!$T$36),EXACT(H232,'Data Base'!$V$38),EXACT(K232,'Data Base'!$X$36)),I232*1*1.2*0.75,IF(AND(EXACT(G232,'Data Base'!$T$36),OR(EXACT(H232,'Data Base'!$V$36),EXACT(H232,'Data Base'!$V$35)),EXACT(K232,'Data Base'!$X$37)),I232*1*1*0.5,IF(AND(EXACT(G232,'Data Base'!$T$36),EXACT(H232,'Data Base'!$V$37),EXACT(K232,'Data Base'!$X$37)),I232*1*0.5*0.5,IF(AND(EXACT(G232,'Data Base'!$T$36),EXACT(H232,'Data Base'!$V$38),EXACT(K232,'Data Base'!$X$37)),I232*1*1.2*0.5,IF(AND(EXACT(G232,'Data Base'!$T$37),OR(EXACT(H232,'Data Base'!$V$36),EXACT(H232,'Data Base'!$V$35)),EXACT(K232,'Data Base'!$X$35)),I232*1.25*1*1,IF(AND(EXACT(G232,'Data Base'!$T$37),EXACT(H232,'Data Base'!$V$37),EXACT(K232,'Data Base'!$X$35)),I232*1.25*0.5*1,IF(AND(EXACT(G232,'Data Base'!$T$37),EXACT(H232,'Data Base'!$V$38),EXACT(K232,'Data Base'!$X$35)),I232*1.25*1.2*1,IF(AND(EXACT(G232,'Data Base'!$T$37),OR(EXACT(H232,'Data Base'!$V$36),EXACT(H232,'Data Base'!$V$35)),EXACT(K232,'Data Base'!$X$36)),I232*1.25*1*0.75,IF(AND(EXACT(G232,'Data Base'!$T$37),EXACT(H232,'Data Base'!$V$37),EXACT(K232,'Data Base'!$X$36)),I232*1.25*0.5*0.75,IF(AND(EXACT(G232,'Data Base'!$T$37),EXACT(H232,'Data Base'!$V$38),EXACT(K232,'Data Base'!$X$36)),I232*1.25*1.2*0.75,IF(AND(EXACT(G232,'Data Base'!$T$37),OR(EXACT(H232,'Data Base'!$V$36),EXACT(H232,'Data Base'!$V$35)),EXACT(K232,'Data Base'!$X$37)),I232*1.25*1*0.5,IF(AND(EXACT(G232,'Data Base'!$T$37),EXACT(H232,'Data Base'!$V$37),EXACT(K232,'Data Base'!$X$37)),I232*1.25*0.5*0.5,IF(AND(EXACT(G232,'Data Base'!$T$37),EXACT(H232,'Data Base'!$V$38),EXACT(K232,'Data Base'!$X$37)),I232*1.25*1.2*0.5))))))))))))))))))))))))))),"")</f>
        <v/>
      </c>
    </row>
    <row r="233" spans="1:13" ht="21" customHeight="1">
      <c r="A233" s="99">
        <v>5</v>
      </c>
      <c r="B233" s="1349" t="str">
        <f t="shared" si="28"/>
        <v/>
      </c>
      <c r="C233" s="1350"/>
      <c r="D233" s="148" t="str">
        <f t="shared" si="29"/>
        <v/>
      </c>
      <c r="E233" s="1351"/>
      <c r="F233" s="1352"/>
      <c r="G233" s="165"/>
      <c r="H233" s="140"/>
      <c r="I233" s="4"/>
      <c r="J233" s="4"/>
      <c r="K233" s="140"/>
      <c r="L233" s="4" t="s">
        <v>652</v>
      </c>
      <c r="M233" s="166" t="str">
        <f>IF(AND(NOT(EXACT(D233,"")),NOT(EXACT(G233,"")),NOT(EXACT(E233,"")),NOT(EXACT(B233,"")),NOT(EXACT(I233,"")),NOT(EXACT(H233,""))),IF(AND(EXACT(G233,'Data Base'!$T$35),OR(EXACT(H233,'Data Base'!$V$36),EXACT(H233,'Data Base'!$V$35)),EXACT(K233,'Data Base'!$X$35)),I233*0.5*1*1,IF(AND(EXACT(G233,'Data Base'!$T$35),EXACT(H233,'Data Base'!$V$37),EXACT(K233,'Data Base'!$X$35)),I233*0.5*0.5*1,IF(AND(EXACT(G233,'Data Base'!$T$35),EXACT(H233,'Data Base'!$V$38),EXACT(K233,'Data Base'!$X$35)),I233*0.5*1.2*1,IF(AND(EXACT(G233,'Data Base'!$T$35),OR(EXACT(H233,'Data Base'!$V$36),EXACT(H233,'Data Base'!$V$35)),EXACT(K233,'Data Base'!$X$36)),I233*0.5*1*0.75,IF(AND(EXACT(G233,'Data Base'!$T$35),EXACT(H233,'Data Base'!$V$37),EXACT(K233,'Data Base'!$X$36)),I233*0.5*0.5*0.75,IF(AND(EXACT(G233,'Data Base'!$T$35),EXACT(H233,'Data Base'!$V$38),EXACT(K233,'Data Base'!$X$36)),I233*0.5*1.2*0.75,IF(AND(EXACT(G233,'Data Base'!$T$35),OR(EXACT(H233,'Data Base'!$V$36),EXACT(H233,'Data Base'!$V$35)),EXACT(K233,'Data Base'!$X$37)),I233*0.5*1*0.5,IF(AND(EXACT(G233,'Data Base'!$T$35),EXACT(H233,'Data Base'!$V$37),EXACT(K233,'Data Base'!$X$37)),I233*0.5*0.5*0.5,IF(AND(EXACT(G233,'Data Base'!$T$35),EXACT(H233,'Data Base'!$V$38),EXACT(K233,'Data Base'!$X$37)),I233*0.5*1.2*0.5,IF(AND(EXACT(G233,'Data Base'!$T$36),OR(EXACT(H233,'Data Base'!$V$36),EXACT(H233,'Data Base'!$V$35)),EXACT(K233,'Data Base'!$X$35)),I233*1*1*1,IF(AND(EXACT(G233,'Data Base'!$T$36),EXACT(H233,'Data Base'!$V$37),EXACT(K233,'Data Base'!$X$35)),I233*1*0.5*1,IF(AND(EXACT(G233,'Data Base'!$T$36),EXACT(H233,'Data Base'!$V$38),EXACT(K233,'Data Base'!$X$35)),I233*1*1.2*1,IF(AND(EXACT(G233,'Data Base'!$T$36),OR(EXACT(H233,'Data Base'!$V$36),EXACT(H233,'Data Base'!$V$35)),EXACT(K233,'Data Base'!$X$36)),I233*1*1*0.75,IF(AND(EXACT(G233,'Data Base'!$T$36),EXACT(H233,'Data Base'!$V$37),EXACT(K233,'Data Base'!$X$36)),I233*1*0.5*0.75,IF(AND(EXACT(G233,'Data Base'!$T$36),EXACT(H233,'Data Base'!$V$38),EXACT(K233,'Data Base'!$X$36)),I233*1*1.2*0.75,IF(AND(EXACT(G233,'Data Base'!$T$36),OR(EXACT(H233,'Data Base'!$V$36),EXACT(H233,'Data Base'!$V$35)),EXACT(K233,'Data Base'!$X$37)),I233*1*1*0.5,IF(AND(EXACT(G233,'Data Base'!$T$36),EXACT(H233,'Data Base'!$V$37),EXACT(K233,'Data Base'!$X$37)),I233*1*0.5*0.5,IF(AND(EXACT(G233,'Data Base'!$T$36),EXACT(H233,'Data Base'!$V$38),EXACT(K233,'Data Base'!$X$37)),I233*1*1.2*0.5,IF(AND(EXACT(G233,'Data Base'!$T$37),OR(EXACT(H233,'Data Base'!$V$36),EXACT(H233,'Data Base'!$V$35)),EXACT(K233,'Data Base'!$X$35)),I233*1.25*1*1,IF(AND(EXACT(G233,'Data Base'!$T$37),EXACT(H233,'Data Base'!$V$37),EXACT(K233,'Data Base'!$X$35)),I233*1.25*0.5*1,IF(AND(EXACT(G233,'Data Base'!$T$37),EXACT(H233,'Data Base'!$V$38),EXACT(K233,'Data Base'!$X$35)),I233*1.25*1.2*1,IF(AND(EXACT(G233,'Data Base'!$T$37),OR(EXACT(H233,'Data Base'!$V$36),EXACT(H233,'Data Base'!$V$35)),EXACT(K233,'Data Base'!$X$36)),I233*1.25*1*0.75,IF(AND(EXACT(G233,'Data Base'!$T$37),EXACT(H233,'Data Base'!$V$37),EXACT(K233,'Data Base'!$X$36)),I233*1.25*0.5*0.75,IF(AND(EXACT(G233,'Data Base'!$T$37),EXACT(H233,'Data Base'!$V$38),EXACT(K233,'Data Base'!$X$36)),I233*1.25*1.2*0.75,IF(AND(EXACT(G233,'Data Base'!$T$37),OR(EXACT(H233,'Data Base'!$V$36),EXACT(H233,'Data Base'!$V$35)),EXACT(K233,'Data Base'!$X$37)),I233*1.25*1*0.5,IF(AND(EXACT(G233,'Data Base'!$T$37),EXACT(H233,'Data Base'!$V$37),EXACT(K233,'Data Base'!$X$37)),I233*1.25*0.5*0.5,IF(AND(EXACT(G233,'Data Base'!$T$37),EXACT(H233,'Data Base'!$V$38),EXACT(K233,'Data Base'!$X$37)),I233*1.25*1.2*0.5))))))))))))))))))))))))))),"")</f>
        <v/>
      </c>
    </row>
    <row r="234" spans="1:13" ht="21" customHeight="1">
      <c r="A234" s="99">
        <v>6</v>
      </c>
      <c r="B234" s="1349" t="str">
        <f t="shared" si="28"/>
        <v/>
      </c>
      <c r="C234" s="1350"/>
      <c r="D234" s="148" t="str">
        <f t="shared" si="29"/>
        <v/>
      </c>
      <c r="E234" s="1351"/>
      <c r="F234" s="1352"/>
      <c r="G234" s="165"/>
      <c r="H234" s="140"/>
      <c r="I234" s="4"/>
      <c r="J234" s="4"/>
      <c r="K234" s="140"/>
      <c r="L234" s="4" t="s">
        <v>652</v>
      </c>
      <c r="M234" s="166" t="str">
        <f>IF(AND(NOT(EXACT(D234,"")),NOT(EXACT(G234,"")),NOT(EXACT(E234,"")),NOT(EXACT(B234,"")),NOT(EXACT(I234,"")),NOT(EXACT(H234,""))),IF(AND(EXACT(G234,'Data Base'!$T$35),OR(EXACT(H234,'Data Base'!$V$36),EXACT(H234,'Data Base'!$V$35)),EXACT(K234,'Data Base'!$X$35)),I234*0.5*1*1,IF(AND(EXACT(G234,'Data Base'!$T$35),EXACT(H234,'Data Base'!$V$37),EXACT(K234,'Data Base'!$X$35)),I234*0.5*0.5*1,IF(AND(EXACT(G234,'Data Base'!$T$35),EXACT(H234,'Data Base'!$V$38),EXACT(K234,'Data Base'!$X$35)),I234*0.5*1.2*1,IF(AND(EXACT(G234,'Data Base'!$T$35),OR(EXACT(H234,'Data Base'!$V$36),EXACT(H234,'Data Base'!$V$35)),EXACT(K234,'Data Base'!$X$36)),I234*0.5*1*0.75,IF(AND(EXACT(G234,'Data Base'!$T$35),EXACT(H234,'Data Base'!$V$37),EXACT(K234,'Data Base'!$X$36)),I234*0.5*0.5*0.75,IF(AND(EXACT(G234,'Data Base'!$T$35),EXACT(H234,'Data Base'!$V$38),EXACT(K234,'Data Base'!$X$36)),I234*0.5*1.2*0.75,IF(AND(EXACT(G234,'Data Base'!$T$35),OR(EXACT(H234,'Data Base'!$V$36),EXACT(H234,'Data Base'!$V$35)),EXACT(K234,'Data Base'!$X$37)),I234*0.5*1*0.5,IF(AND(EXACT(G234,'Data Base'!$T$35),EXACT(H234,'Data Base'!$V$37),EXACT(K234,'Data Base'!$X$37)),I234*0.5*0.5*0.5,IF(AND(EXACT(G234,'Data Base'!$T$35),EXACT(H234,'Data Base'!$V$38),EXACT(K234,'Data Base'!$X$37)),I234*0.5*1.2*0.5,IF(AND(EXACT(G234,'Data Base'!$T$36),OR(EXACT(H234,'Data Base'!$V$36),EXACT(H234,'Data Base'!$V$35)),EXACT(K234,'Data Base'!$X$35)),I234*1*1*1,IF(AND(EXACT(G234,'Data Base'!$T$36),EXACT(H234,'Data Base'!$V$37),EXACT(K234,'Data Base'!$X$35)),I234*1*0.5*1,IF(AND(EXACT(G234,'Data Base'!$T$36),EXACT(H234,'Data Base'!$V$38),EXACT(K234,'Data Base'!$X$35)),I234*1*1.2*1,IF(AND(EXACT(G234,'Data Base'!$T$36),OR(EXACT(H234,'Data Base'!$V$36),EXACT(H234,'Data Base'!$V$35)),EXACT(K234,'Data Base'!$X$36)),I234*1*1*0.75,IF(AND(EXACT(G234,'Data Base'!$T$36),EXACT(H234,'Data Base'!$V$37),EXACT(K234,'Data Base'!$X$36)),I234*1*0.5*0.75,IF(AND(EXACT(G234,'Data Base'!$T$36),EXACT(H234,'Data Base'!$V$38),EXACT(K234,'Data Base'!$X$36)),I234*1*1.2*0.75,IF(AND(EXACT(G234,'Data Base'!$T$36),OR(EXACT(H234,'Data Base'!$V$36),EXACT(H234,'Data Base'!$V$35)),EXACT(K234,'Data Base'!$X$37)),I234*1*1*0.5,IF(AND(EXACT(G234,'Data Base'!$T$36),EXACT(H234,'Data Base'!$V$37),EXACT(K234,'Data Base'!$X$37)),I234*1*0.5*0.5,IF(AND(EXACT(G234,'Data Base'!$T$36),EXACT(H234,'Data Base'!$V$38),EXACT(K234,'Data Base'!$X$37)),I234*1*1.2*0.5,IF(AND(EXACT(G234,'Data Base'!$T$37),OR(EXACT(H234,'Data Base'!$V$36),EXACT(H234,'Data Base'!$V$35)),EXACT(K234,'Data Base'!$X$35)),I234*1.25*1*1,IF(AND(EXACT(G234,'Data Base'!$T$37),EXACT(H234,'Data Base'!$V$37),EXACT(K234,'Data Base'!$X$35)),I234*1.25*0.5*1,IF(AND(EXACT(G234,'Data Base'!$T$37),EXACT(H234,'Data Base'!$V$38),EXACT(K234,'Data Base'!$X$35)),I234*1.25*1.2*1,IF(AND(EXACT(G234,'Data Base'!$T$37),OR(EXACT(H234,'Data Base'!$V$36),EXACT(H234,'Data Base'!$V$35)),EXACT(K234,'Data Base'!$X$36)),I234*1.25*1*0.75,IF(AND(EXACT(G234,'Data Base'!$T$37),EXACT(H234,'Data Base'!$V$37),EXACT(K234,'Data Base'!$X$36)),I234*1.25*0.5*0.75,IF(AND(EXACT(G234,'Data Base'!$T$37),EXACT(H234,'Data Base'!$V$38),EXACT(K234,'Data Base'!$X$36)),I234*1.25*1.2*0.75,IF(AND(EXACT(G234,'Data Base'!$T$37),OR(EXACT(H234,'Data Base'!$V$36),EXACT(H234,'Data Base'!$V$35)),EXACT(K234,'Data Base'!$X$37)),I234*1.25*1*0.5,IF(AND(EXACT(G234,'Data Base'!$T$37),EXACT(H234,'Data Base'!$V$37),EXACT(K234,'Data Base'!$X$37)),I234*1.25*0.5*0.5,IF(AND(EXACT(G234,'Data Base'!$T$37),EXACT(H234,'Data Base'!$V$38),EXACT(K234,'Data Base'!$X$37)),I234*1.25*1.2*0.5))))))))))))))))))))))))))),"")</f>
        <v/>
      </c>
    </row>
    <row r="235" spans="1:13" ht="21" customHeight="1">
      <c r="A235" s="97">
        <v>7</v>
      </c>
      <c r="B235" s="1349" t="str">
        <f t="shared" si="28"/>
        <v/>
      </c>
      <c r="C235" s="1350"/>
      <c r="D235" s="148" t="str">
        <f t="shared" si="29"/>
        <v/>
      </c>
      <c r="E235" s="1351"/>
      <c r="F235" s="1352"/>
      <c r="G235" s="165"/>
      <c r="H235" s="140"/>
      <c r="I235" s="4"/>
      <c r="J235" s="4"/>
      <c r="K235" s="140"/>
      <c r="L235" s="4" t="s">
        <v>652</v>
      </c>
      <c r="M235" s="166" t="str">
        <f>IF(AND(NOT(EXACT(D235,"")),NOT(EXACT(G235,"")),NOT(EXACT(E235,"")),NOT(EXACT(B235,"")),NOT(EXACT(I235,"")),NOT(EXACT(H235,""))),IF(AND(EXACT(G235,'Data Base'!$T$35),OR(EXACT(H235,'Data Base'!$V$36),EXACT(H235,'Data Base'!$V$35)),EXACT(K235,'Data Base'!$X$35)),I235*0.5*1*1,IF(AND(EXACT(G235,'Data Base'!$T$35),EXACT(H235,'Data Base'!$V$37),EXACT(K235,'Data Base'!$X$35)),I235*0.5*0.5*1,IF(AND(EXACT(G235,'Data Base'!$T$35),EXACT(H235,'Data Base'!$V$38),EXACT(K235,'Data Base'!$X$35)),I235*0.5*1.2*1,IF(AND(EXACT(G235,'Data Base'!$T$35),OR(EXACT(H235,'Data Base'!$V$36),EXACT(H235,'Data Base'!$V$35)),EXACT(K235,'Data Base'!$X$36)),I235*0.5*1*0.75,IF(AND(EXACT(G235,'Data Base'!$T$35),EXACT(H235,'Data Base'!$V$37),EXACT(K235,'Data Base'!$X$36)),I235*0.5*0.5*0.75,IF(AND(EXACT(G235,'Data Base'!$T$35),EXACT(H235,'Data Base'!$V$38),EXACT(K235,'Data Base'!$X$36)),I235*0.5*1.2*0.75,IF(AND(EXACT(G235,'Data Base'!$T$35),OR(EXACT(H235,'Data Base'!$V$36),EXACT(H235,'Data Base'!$V$35)),EXACT(K235,'Data Base'!$X$37)),I235*0.5*1*0.5,IF(AND(EXACT(G235,'Data Base'!$T$35),EXACT(H235,'Data Base'!$V$37),EXACT(K235,'Data Base'!$X$37)),I235*0.5*0.5*0.5,IF(AND(EXACT(G235,'Data Base'!$T$35),EXACT(H235,'Data Base'!$V$38),EXACT(K235,'Data Base'!$X$37)),I235*0.5*1.2*0.5,IF(AND(EXACT(G235,'Data Base'!$T$36),OR(EXACT(H235,'Data Base'!$V$36),EXACT(H235,'Data Base'!$V$35)),EXACT(K235,'Data Base'!$X$35)),I235*1*1*1,IF(AND(EXACT(G235,'Data Base'!$T$36),EXACT(H235,'Data Base'!$V$37),EXACT(K235,'Data Base'!$X$35)),I235*1*0.5*1,IF(AND(EXACT(G235,'Data Base'!$T$36),EXACT(H235,'Data Base'!$V$38),EXACT(K235,'Data Base'!$X$35)),I235*1*1.2*1,IF(AND(EXACT(G235,'Data Base'!$T$36),OR(EXACT(H235,'Data Base'!$V$36),EXACT(H235,'Data Base'!$V$35)),EXACT(K235,'Data Base'!$X$36)),I235*1*1*0.75,IF(AND(EXACT(G235,'Data Base'!$T$36),EXACT(H235,'Data Base'!$V$37),EXACT(K235,'Data Base'!$X$36)),I235*1*0.5*0.75,IF(AND(EXACT(G235,'Data Base'!$T$36),EXACT(H235,'Data Base'!$V$38),EXACT(K235,'Data Base'!$X$36)),I235*1*1.2*0.75,IF(AND(EXACT(G235,'Data Base'!$T$36),OR(EXACT(H235,'Data Base'!$V$36),EXACT(H235,'Data Base'!$V$35)),EXACT(K235,'Data Base'!$X$37)),I235*1*1*0.5,IF(AND(EXACT(G235,'Data Base'!$T$36),EXACT(H235,'Data Base'!$V$37),EXACT(K235,'Data Base'!$X$37)),I235*1*0.5*0.5,IF(AND(EXACT(G235,'Data Base'!$T$36),EXACT(H235,'Data Base'!$V$38),EXACT(K235,'Data Base'!$X$37)),I235*1*1.2*0.5,IF(AND(EXACT(G235,'Data Base'!$T$37),OR(EXACT(H235,'Data Base'!$V$36),EXACT(H235,'Data Base'!$V$35)),EXACT(K235,'Data Base'!$X$35)),I235*1.25*1*1,IF(AND(EXACT(G235,'Data Base'!$T$37),EXACT(H235,'Data Base'!$V$37),EXACT(K235,'Data Base'!$X$35)),I235*1.25*0.5*1,IF(AND(EXACT(G235,'Data Base'!$T$37),EXACT(H235,'Data Base'!$V$38),EXACT(K235,'Data Base'!$X$35)),I235*1.25*1.2*1,IF(AND(EXACT(G235,'Data Base'!$T$37),OR(EXACT(H235,'Data Base'!$V$36),EXACT(H235,'Data Base'!$V$35)),EXACT(K235,'Data Base'!$X$36)),I235*1.25*1*0.75,IF(AND(EXACT(G235,'Data Base'!$T$37),EXACT(H235,'Data Base'!$V$37),EXACT(K235,'Data Base'!$X$36)),I235*1.25*0.5*0.75,IF(AND(EXACT(G235,'Data Base'!$T$37),EXACT(H235,'Data Base'!$V$38),EXACT(K235,'Data Base'!$X$36)),I235*1.25*1.2*0.75,IF(AND(EXACT(G235,'Data Base'!$T$37),OR(EXACT(H235,'Data Base'!$V$36),EXACT(H235,'Data Base'!$V$35)),EXACT(K235,'Data Base'!$X$37)),I235*1.25*1*0.5,IF(AND(EXACT(G235,'Data Base'!$T$37),EXACT(H235,'Data Base'!$V$37),EXACT(K235,'Data Base'!$X$37)),I235*1.25*0.5*0.5,IF(AND(EXACT(G235,'Data Base'!$T$37),EXACT(H235,'Data Base'!$V$38),EXACT(K235,'Data Base'!$X$37)),I235*1.25*1.2*0.5))))))))))))))))))))))))))),"")</f>
        <v/>
      </c>
    </row>
    <row r="236" spans="1:13" ht="21" customHeight="1">
      <c r="A236" s="99">
        <v>8</v>
      </c>
      <c r="B236" s="1349" t="str">
        <f t="shared" si="28"/>
        <v/>
      </c>
      <c r="C236" s="1350"/>
      <c r="D236" s="148" t="str">
        <f t="shared" si="29"/>
        <v/>
      </c>
      <c r="E236" s="1351"/>
      <c r="F236" s="1352"/>
      <c r="G236" s="165"/>
      <c r="H236" s="140"/>
      <c r="I236" s="4"/>
      <c r="J236" s="4"/>
      <c r="K236" s="140"/>
      <c r="L236" s="4" t="s">
        <v>652</v>
      </c>
      <c r="M236" s="166" t="str">
        <f>IF(AND(NOT(EXACT(D236,"")),NOT(EXACT(G236,"")),NOT(EXACT(E236,"")),NOT(EXACT(B236,"")),NOT(EXACT(I236,"")),NOT(EXACT(H236,""))),IF(AND(EXACT(G236,'Data Base'!$T$35),OR(EXACT(H236,'Data Base'!$V$36),EXACT(H236,'Data Base'!$V$35)),EXACT(K236,'Data Base'!$X$35)),I236*0.5*1*1,IF(AND(EXACT(G236,'Data Base'!$T$35),EXACT(H236,'Data Base'!$V$37),EXACT(K236,'Data Base'!$X$35)),I236*0.5*0.5*1,IF(AND(EXACT(G236,'Data Base'!$T$35),EXACT(H236,'Data Base'!$V$38),EXACT(K236,'Data Base'!$X$35)),I236*0.5*1.2*1,IF(AND(EXACT(G236,'Data Base'!$T$35),OR(EXACT(H236,'Data Base'!$V$36),EXACT(H236,'Data Base'!$V$35)),EXACT(K236,'Data Base'!$X$36)),I236*0.5*1*0.75,IF(AND(EXACT(G236,'Data Base'!$T$35),EXACT(H236,'Data Base'!$V$37),EXACT(K236,'Data Base'!$X$36)),I236*0.5*0.5*0.75,IF(AND(EXACT(G236,'Data Base'!$T$35),EXACT(H236,'Data Base'!$V$38),EXACT(K236,'Data Base'!$X$36)),I236*0.5*1.2*0.75,IF(AND(EXACT(G236,'Data Base'!$T$35),OR(EXACT(H236,'Data Base'!$V$36),EXACT(H236,'Data Base'!$V$35)),EXACT(K236,'Data Base'!$X$37)),I236*0.5*1*0.5,IF(AND(EXACT(G236,'Data Base'!$T$35),EXACT(H236,'Data Base'!$V$37),EXACT(K236,'Data Base'!$X$37)),I236*0.5*0.5*0.5,IF(AND(EXACT(G236,'Data Base'!$T$35),EXACT(H236,'Data Base'!$V$38),EXACT(K236,'Data Base'!$X$37)),I236*0.5*1.2*0.5,IF(AND(EXACT(G236,'Data Base'!$T$36),OR(EXACT(H236,'Data Base'!$V$36),EXACT(H236,'Data Base'!$V$35)),EXACT(K236,'Data Base'!$X$35)),I236*1*1*1,IF(AND(EXACT(G236,'Data Base'!$T$36),EXACT(H236,'Data Base'!$V$37),EXACT(K236,'Data Base'!$X$35)),I236*1*0.5*1,IF(AND(EXACT(G236,'Data Base'!$T$36),EXACT(H236,'Data Base'!$V$38),EXACT(K236,'Data Base'!$X$35)),I236*1*1.2*1,IF(AND(EXACT(G236,'Data Base'!$T$36),OR(EXACT(H236,'Data Base'!$V$36),EXACT(H236,'Data Base'!$V$35)),EXACT(K236,'Data Base'!$X$36)),I236*1*1*0.75,IF(AND(EXACT(G236,'Data Base'!$T$36),EXACT(H236,'Data Base'!$V$37),EXACT(K236,'Data Base'!$X$36)),I236*1*0.5*0.75,IF(AND(EXACT(G236,'Data Base'!$T$36),EXACT(H236,'Data Base'!$V$38),EXACT(K236,'Data Base'!$X$36)),I236*1*1.2*0.75,IF(AND(EXACT(G236,'Data Base'!$T$36),OR(EXACT(H236,'Data Base'!$V$36),EXACT(H236,'Data Base'!$V$35)),EXACT(K236,'Data Base'!$X$37)),I236*1*1*0.5,IF(AND(EXACT(G236,'Data Base'!$T$36),EXACT(H236,'Data Base'!$V$37),EXACT(K236,'Data Base'!$X$37)),I236*1*0.5*0.5,IF(AND(EXACT(G236,'Data Base'!$T$36),EXACT(H236,'Data Base'!$V$38),EXACT(K236,'Data Base'!$X$37)),I236*1*1.2*0.5,IF(AND(EXACT(G236,'Data Base'!$T$37),OR(EXACT(H236,'Data Base'!$V$36),EXACT(H236,'Data Base'!$V$35)),EXACT(K236,'Data Base'!$X$35)),I236*1.25*1*1,IF(AND(EXACT(G236,'Data Base'!$T$37),EXACT(H236,'Data Base'!$V$37),EXACT(K236,'Data Base'!$X$35)),I236*1.25*0.5*1,IF(AND(EXACT(G236,'Data Base'!$T$37),EXACT(H236,'Data Base'!$V$38),EXACT(K236,'Data Base'!$X$35)),I236*1.25*1.2*1,IF(AND(EXACT(G236,'Data Base'!$T$37),OR(EXACT(H236,'Data Base'!$V$36),EXACT(H236,'Data Base'!$V$35)),EXACT(K236,'Data Base'!$X$36)),I236*1.25*1*0.75,IF(AND(EXACT(G236,'Data Base'!$T$37),EXACT(H236,'Data Base'!$V$37),EXACT(K236,'Data Base'!$X$36)),I236*1.25*0.5*0.75,IF(AND(EXACT(G236,'Data Base'!$T$37),EXACT(H236,'Data Base'!$V$38),EXACT(K236,'Data Base'!$X$36)),I236*1.25*1.2*0.75,IF(AND(EXACT(G236,'Data Base'!$T$37),OR(EXACT(H236,'Data Base'!$V$36),EXACT(H236,'Data Base'!$V$35)),EXACT(K236,'Data Base'!$X$37)),I236*1.25*1*0.5,IF(AND(EXACT(G236,'Data Base'!$T$37),EXACT(H236,'Data Base'!$V$37),EXACT(K236,'Data Base'!$X$37)),I236*1.25*0.5*0.5,IF(AND(EXACT(G236,'Data Base'!$T$37),EXACT(H236,'Data Base'!$V$38),EXACT(K236,'Data Base'!$X$37)),I236*1.25*1.2*0.5))))))))))))))))))))))))))),"")</f>
        <v/>
      </c>
    </row>
    <row r="237" spans="1:13" ht="21" customHeight="1">
      <c r="A237" s="99">
        <v>9</v>
      </c>
      <c r="B237" s="1349" t="str">
        <f t="shared" si="28"/>
        <v/>
      </c>
      <c r="C237" s="1350"/>
      <c r="D237" s="148" t="str">
        <f t="shared" si="29"/>
        <v/>
      </c>
      <c r="E237" s="1351"/>
      <c r="F237" s="1352"/>
      <c r="G237" s="165"/>
      <c r="H237" s="140"/>
      <c r="I237" s="4"/>
      <c r="J237" s="4"/>
      <c r="K237" s="140"/>
      <c r="L237" s="4" t="s">
        <v>652</v>
      </c>
      <c r="M237" s="166" t="str">
        <f>IF(AND(NOT(EXACT(D237,"")),NOT(EXACT(G237,"")),NOT(EXACT(E237,"")),NOT(EXACT(B237,"")),NOT(EXACT(I237,"")),NOT(EXACT(H237,""))),IF(AND(EXACT(G237,'Data Base'!$T$35),OR(EXACT(H237,'Data Base'!$V$36),EXACT(H237,'Data Base'!$V$35)),EXACT(K237,'Data Base'!$X$35)),I237*0.5*1*1,IF(AND(EXACT(G237,'Data Base'!$T$35),EXACT(H237,'Data Base'!$V$37),EXACT(K237,'Data Base'!$X$35)),I237*0.5*0.5*1,IF(AND(EXACT(G237,'Data Base'!$T$35),EXACT(H237,'Data Base'!$V$38),EXACT(K237,'Data Base'!$X$35)),I237*0.5*1.2*1,IF(AND(EXACT(G237,'Data Base'!$T$35),OR(EXACT(H237,'Data Base'!$V$36),EXACT(H237,'Data Base'!$V$35)),EXACT(K237,'Data Base'!$X$36)),I237*0.5*1*0.75,IF(AND(EXACT(G237,'Data Base'!$T$35),EXACT(H237,'Data Base'!$V$37),EXACT(K237,'Data Base'!$X$36)),I237*0.5*0.5*0.75,IF(AND(EXACT(G237,'Data Base'!$T$35),EXACT(H237,'Data Base'!$V$38),EXACT(K237,'Data Base'!$X$36)),I237*0.5*1.2*0.75,IF(AND(EXACT(G237,'Data Base'!$T$35),OR(EXACT(H237,'Data Base'!$V$36),EXACT(H237,'Data Base'!$V$35)),EXACT(K237,'Data Base'!$X$37)),I237*0.5*1*0.5,IF(AND(EXACT(G237,'Data Base'!$T$35),EXACT(H237,'Data Base'!$V$37),EXACT(K237,'Data Base'!$X$37)),I237*0.5*0.5*0.5,IF(AND(EXACT(G237,'Data Base'!$T$35),EXACT(H237,'Data Base'!$V$38),EXACT(K237,'Data Base'!$X$37)),I237*0.5*1.2*0.5,IF(AND(EXACT(G237,'Data Base'!$T$36),OR(EXACT(H237,'Data Base'!$V$36),EXACT(H237,'Data Base'!$V$35)),EXACT(K237,'Data Base'!$X$35)),I237*1*1*1,IF(AND(EXACT(G237,'Data Base'!$T$36),EXACT(H237,'Data Base'!$V$37),EXACT(K237,'Data Base'!$X$35)),I237*1*0.5*1,IF(AND(EXACT(G237,'Data Base'!$T$36),EXACT(H237,'Data Base'!$V$38),EXACT(K237,'Data Base'!$X$35)),I237*1*1.2*1,IF(AND(EXACT(G237,'Data Base'!$T$36),OR(EXACT(H237,'Data Base'!$V$36),EXACT(H237,'Data Base'!$V$35)),EXACT(K237,'Data Base'!$X$36)),I237*1*1*0.75,IF(AND(EXACT(G237,'Data Base'!$T$36),EXACT(H237,'Data Base'!$V$37),EXACT(K237,'Data Base'!$X$36)),I237*1*0.5*0.75,IF(AND(EXACT(G237,'Data Base'!$T$36),EXACT(H237,'Data Base'!$V$38),EXACT(K237,'Data Base'!$X$36)),I237*1*1.2*0.75,IF(AND(EXACT(G237,'Data Base'!$T$36),OR(EXACT(H237,'Data Base'!$V$36),EXACT(H237,'Data Base'!$V$35)),EXACT(K237,'Data Base'!$X$37)),I237*1*1*0.5,IF(AND(EXACT(G237,'Data Base'!$T$36),EXACT(H237,'Data Base'!$V$37),EXACT(K237,'Data Base'!$X$37)),I237*1*0.5*0.5,IF(AND(EXACT(G237,'Data Base'!$T$36),EXACT(H237,'Data Base'!$V$38),EXACT(K237,'Data Base'!$X$37)),I237*1*1.2*0.5,IF(AND(EXACT(G237,'Data Base'!$T$37),OR(EXACT(H237,'Data Base'!$V$36),EXACT(H237,'Data Base'!$V$35)),EXACT(K237,'Data Base'!$X$35)),I237*1.25*1*1,IF(AND(EXACT(G237,'Data Base'!$T$37),EXACT(H237,'Data Base'!$V$37),EXACT(K237,'Data Base'!$X$35)),I237*1.25*0.5*1,IF(AND(EXACT(G237,'Data Base'!$T$37),EXACT(H237,'Data Base'!$V$38),EXACT(K237,'Data Base'!$X$35)),I237*1.25*1.2*1,IF(AND(EXACT(G237,'Data Base'!$T$37),OR(EXACT(H237,'Data Base'!$V$36),EXACT(H237,'Data Base'!$V$35)),EXACT(K237,'Data Base'!$X$36)),I237*1.25*1*0.75,IF(AND(EXACT(G237,'Data Base'!$T$37),EXACT(H237,'Data Base'!$V$37),EXACT(K237,'Data Base'!$X$36)),I237*1.25*0.5*0.75,IF(AND(EXACT(G237,'Data Base'!$T$37),EXACT(H237,'Data Base'!$V$38),EXACT(K237,'Data Base'!$X$36)),I237*1.25*1.2*0.75,IF(AND(EXACT(G237,'Data Base'!$T$37),OR(EXACT(H237,'Data Base'!$V$36),EXACT(H237,'Data Base'!$V$35)),EXACT(K237,'Data Base'!$X$37)),I237*1.25*1*0.5,IF(AND(EXACT(G237,'Data Base'!$T$37),EXACT(H237,'Data Base'!$V$37),EXACT(K237,'Data Base'!$X$37)),I237*1.25*0.5*0.5,IF(AND(EXACT(G237,'Data Base'!$T$37),EXACT(H237,'Data Base'!$V$38),EXACT(K237,'Data Base'!$X$37)),I237*1.25*1.2*0.5))))))))))))))))))))))))))),"")</f>
        <v/>
      </c>
    </row>
    <row r="238" spans="1:13" ht="21" customHeight="1">
      <c r="A238" s="97">
        <v>10</v>
      </c>
      <c r="B238" s="1349" t="str">
        <f t="shared" si="28"/>
        <v/>
      </c>
      <c r="C238" s="1350"/>
      <c r="D238" s="148" t="str">
        <f t="shared" si="29"/>
        <v/>
      </c>
      <c r="E238" s="1351"/>
      <c r="F238" s="1352"/>
      <c r="G238" s="165"/>
      <c r="H238" s="140"/>
      <c r="I238" s="4"/>
      <c r="J238" s="4"/>
      <c r="K238" s="140"/>
      <c r="L238" s="4" t="s">
        <v>652</v>
      </c>
      <c r="M238" s="166" t="str">
        <f>IF(AND(NOT(EXACT(D238,"")),NOT(EXACT(G238,"")),NOT(EXACT(E238,"")),NOT(EXACT(B238,"")),NOT(EXACT(I238,"")),NOT(EXACT(H238,""))),IF(AND(EXACT(G238,'Data Base'!$T$35),OR(EXACT(H238,'Data Base'!$V$36),EXACT(H238,'Data Base'!$V$35)),EXACT(K238,'Data Base'!$X$35)),I238*0.5*1*1,IF(AND(EXACT(G238,'Data Base'!$T$35),EXACT(H238,'Data Base'!$V$37),EXACT(K238,'Data Base'!$X$35)),I238*0.5*0.5*1,IF(AND(EXACT(G238,'Data Base'!$T$35),EXACT(H238,'Data Base'!$V$38),EXACT(K238,'Data Base'!$X$35)),I238*0.5*1.2*1,IF(AND(EXACT(G238,'Data Base'!$T$35),OR(EXACT(H238,'Data Base'!$V$36),EXACT(H238,'Data Base'!$V$35)),EXACT(K238,'Data Base'!$X$36)),I238*0.5*1*0.75,IF(AND(EXACT(G238,'Data Base'!$T$35),EXACT(H238,'Data Base'!$V$37),EXACT(K238,'Data Base'!$X$36)),I238*0.5*0.5*0.75,IF(AND(EXACT(G238,'Data Base'!$T$35),EXACT(H238,'Data Base'!$V$38),EXACT(K238,'Data Base'!$X$36)),I238*0.5*1.2*0.75,IF(AND(EXACT(G238,'Data Base'!$T$35),OR(EXACT(H238,'Data Base'!$V$36),EXACT(H238,'Data Base'!$V$35)),EXACT(K238,'Data Base'!$X$37)),I238*0.5*1*0.5,IF(AND(EXACT(G238,'Data Base'!$T$35),EXACT(H238,'Data Base'!$V$37),EXACT(K238,'Data Base'!$X$37)),I238*0.5*0.5*0.5,IF(AND(EXACT(G238,'Data Base'!$T$35),EXACT(H238,'Data Base'!$V$38),EXACT(K238,'Data Base'!$X$37)),I238*0.5*1.2*0.5,IF(AND(EXACT(G238,'Data Base'!$T$36),OR(EXACT(H238,'Data Base'!$V$36),EXACT(H238,'Data Base'!$V$35)),EXACT(K238,'Data Base'!$X$35)),I238*1*1*1,IF(AND(EXACT(G238,'Data Base'!$T$36),EXACT(H238,'Data Base'!$V$37),EXACT(K238,'Data Base'!$X$35)),I238*1*0.5*1,IF(AND(EXACT(G238,'Data Base'!$T$36),EXACT(H238,'Data Base'!$V$38),EXACT(K238,'Data Base'!$X$35)),I238*1*1.2*1,IF(AND(EXACT(G238,'Data Base'!$T$36),OR(EXACT(H238,'Data Base'!$V$36),EXACT(H238,'Data Base'!$V$35)),EXACT(K238,'Data Base'!$X$36)),I238*1*1*0.75,IF(AND(EXACT(G238,'Data Base'!$T$36),EXACT(H238,'Data Base'!$V$37),EXACT(K238,'Data Base'!$X$36)),I238*1*0.5*0.75,IF(AND(EXACT(G238,'Data Base'!$T$36),EXACT(H238,'Data Base'!$V$38),EXACT(K238,'Data Base'!$X$36)),I238*1*1.2*0.75,IF(AND(EXACT(G238,'Data Base'!$T$36),OR(EXACT(H238,'Data Base'!$V$36),EXACT(H238,'Data Base'!$V$35)),EXACT(K238,'Data Base'!$X$37)),I238*1*1*0.5,IF(AND(EXACT(G238,'Data Base'!$T$36),EXACT(H238,'Data Base'!$V$37),EXACT(K238,'Data Base'!$X$37)),I238*1*0.5*0.5,IF(AND(EXACT(G238,'Data Base'!$T$36),EXACT(H238,'Data Base'!$V$38),EXACT(K238,'Data Base'!$X$37)),I238*1*1.2*0.5,IF(AND(EXACT(G238,'Data Base'!$T$37),OR(EXACT(H238,'Data Base'!$V$36),EXACT(H238,'Data Base'!$V$35)),EXACT(K238,'Data Base'!$X$35)),I238*1.25*1*1,IF(AND(EXACT(G238,'Data Base'!$T$37),EXACT(H238,'Data Base'!$V$37),EXACT(K238,'Data Base'!$X$35)),I238*1.25*0.5*1,IF(AND(EXACT(G238,'Data Base'!$T$37),EXACT(H238,'Data Base'!$V$38),EXACT(K238,'Data Base'!$X$35)),I238*1.25*1.2*1,IF(AND(EXACT(G238,'Data Base'!$T$37),OR(EXACT(H238,'Data Base'!$V$36),EXACT(H238,'Data Base'!$V$35)),EXACT(K238,'Data Base'!$X$36)),I238*1.25*1*0.75,IF(AND(EXACT(G238,'Data Base'!$T$37),EXACT(H238,'Data Base'!$V$37),EXACT(K238,'Data Base'!$X$36)),I238*1.25*0.5*0.75,IF(AND(EXACT(G238,'Data Base'!$T$37),EXACT(H238,'Data Base'!$V$38),EXACT(K238,'Data Base'!$X$36)),I238*1.25*1.2*0.75,IF(AND(EXACT(G238,'Data Base'!$T$37),OR(EXACT(H238,'Data Base'!$V$36),EXACT(H238,'Data Base'!$V$35)),EXACT(K238,'Data Base'!$X$37)),I238*1.25*1*0.5,IF(AND(EXACT(G238,'Data Base'!$T$37),EXACT(H238,'Data Base'!$V$37),EXACT(K238,'Data Base'!$X$37)),I238*1.25*0.5*0.5,IF(AND(EXACT(G238,'Data Base'!$T$37),EXACT(H238,'Data Base'!$V$38),EXACT(K238,'Data Base'!$X$37)),I238*1.25*1.2*0.5))))))))))))))))))))))))))),"")</f>
        <v/>
      </c>
    </row>
    <row r="239" spans="1:13" ht="21" customHeight="1">
      <c r="A239" s="99">
        <v>11</v>
      </c>
      <c r="B239" s="1349" t="str">
        <f t="shared" si="28"/>
        <v/>
      </c>
      <c r="C239" s="1350"/>
      <c r="D239" s="148" t="str">
        <f t="shared" si="29"/>
        <v/>
      </c>
      <c r="E239" s="1351"/>
      <c r="F239" s="1352"/>
      <c r="G239" s="165"/>
      <c r="H239" s="140"/>
      <c r="I239" s="4"/>
      <c r="J239" s="4"/>
      <c r="K239" s="140"/>
      <c r="L239" s="4" t="s">
        <v>652</v>
      </c>
      <c r="M239" s="166" t="str">
        <f>IF(AND(NOT(EXACT(D239,"")),NOT(EXACT(G239,"")),NOT(EXACT(E239,"")),NOT(EXACT(B239,"")),NOT(EXACT(I239,"")),NOT(EXACT(H239,""))),IF(AND(EXACT(G239,'Data Base'!$T$35),OR(EXACT(H239,'Data Base'!$V$36),EXACT(H239,'Data Base'!$V$35)),EXACT(K239,'Data Base'!$X$35)),I239*0.5*1*1,IF(AND(EXACT(G239,'Data Base'!$T$35),EXACT(H239,'Data Base'!$V$37),EXACT(K239,'Data Base'!$X$35)),I239*0.5*0.5*1,IF(AND(EXACT(G239,'Data Base'!$T$35),EXACT(H239,'Data Base'!$V$38),EXACT(K239,'Data Base'!$X$35)),I239*0.5*1.2*1,IF(AND(EXACT(G239,'Data Base'!$T$35),OR(EXACT(H239,'Data Base'!$V$36),EXACT(H239,'Data Base'!$V$35)),EXACT(K239,'Data Base'!$X$36)),I239*0.5*1*0.75,IF(AND(EXACT(G239,'Data Base'!$T$35),EXACT(H239,'Data Base'!$V$37),EXACT(K239,'Data Base'!$X$36)),I239*0.5*0.5*0.75,IF(AND(EXACT(G239,'Data Base'!$T$35),EXACT(H239,'Data Base'!$V$38),EXACT(K239,'Data Base'!$X$36)),I239*0.5*1.2*0.75,IF(AND(EXACT(G239,'Data Base'!$T$35),OR(EXACT(H239,'Data Base'!$V$36),EXACT(H239,'Data Base'!$V$35)),EXACT(K239,'Data Base'!$X$37)),I239*0.5*1*0.5,IF(AND(EXACT(G239,'Data Base'!$T$35),EXACT(H239,'Data Base'!$V$37),EXACT(K239,'Data Base'!$X$37)),I239*0.5*0.5*0.5,IF(AND(EXACT(G239,'Data Base'!$T$35),EXACT(H239,'Data Base'!$V$38),EXACT(K239,'Data Base'!$X$37)),I239*0.5*1.2*0.5,IF(AND(EXACT(G239,'Data Base'!$T$36),OR(EXACT(H239,'Data Base'!$V$36),EXACT(H239,'Data Base'!$V$35)),EXACT(K239,'Data Base'!$X$35)),I239*1*1*1,IF(AND(EXACT(G239,'Data Base'!$T$36),EXACT(H239,'Data Base'!$V$37),EXACT(K239,'Data Base'!$X$35)),I239*1*0.5*1,IF(AND(EXACT(G239,'Data Base'!$T$36),EXACT(H239,'Data Base'!$V$38),EXACT(K239,'Data Base'!$X$35)),I239*1*1.2*1,IF(AND(EXACT(G239,'Data Base'!$T$36),OR(EXACT(H239,'Data Base'!$V$36),EXACT(H239,'Data Base'!$V$35)),EXACT(K239,'Data Base'!$X$36)),I239*1*1*0.75,IF(AND(EXACT(G239,'Data Base'!$T$36),EXACT(H239,'Data Base'!$V$37),EXACT(K239,'Data Base'!$X$36)),I239*1*0.5*0.75,IF(AND(EXACT(G239,'Data Base'!$T$36),EXACT(H239,'Data Base'!$V$38),EXACT(K239,'Data Base'!$X$36)),I239*1*1.2*0.75,IF(AND(EXACT(G239,'Data Base'!$T$36),OR(EXACT(H239,'Data Base'!$V$36),EXACT(H239,'Data Base'!$V$35)),EXACT(K239,'Data Base'!$X$37)),I239*1*1*0.5,IF(AND(EXACT(G239,'Data Base'!$T$36),EXACT(H239,'Data Base'!$V$37),EXACT(K239,'Data Base'!$X$37)),I239*1*0.5*0.5,IF(AND(EXACT(G239,'Data Base'!$T$36),EXACT(H239,'Data Base'!$V$38),EXACT(K239,'Data Base'!$X$37)),I239*1*1.2*0.5,IF(AND(EXACT(G239,'Data Base'!$T$37),OR(EXACT(H239,'Data Base'!$V$36),EXACT(H239,'Data Base'!$V$35)),EXACT(K239,'Data Base'!$X$35)),I239*1.25*1*1,IF(AND(EXACT(G239,'Data Base'!$T$37),EXACT(H239,'Data Base'!$V$37),EXACT(K239,'Data Base'!$X$35)),I239*1.25*0.5*1,IF(AND(EXACT(G239,'Data Base'!$T$37),EXACT(H239,'Data Base'!$V$38),EXACT(K239,'Data Base'!$X$35)),I239*1.25*1.2*1,IF(AND(EXACT(G239,'Data Base'!$T$37),OR(EXACT(H239,'Data Base'!$V$36),EXACT(H239,'Data Base'!$V$35)),EXACT(K239,'Data Base'!$X$36)),I239*1.25*1*0.75,IF(AND(EXACT(G239,'Data Base'!$T$37),EXACT(H239,'Data Base'!$V$37),EXACT(K239,'Data Base'!$X$36)),I239*1.25*0.5*0.75,IF(AND(EXACT(G239,'Data Base'!$T$37),EXACT(H239,'Data Base'!$V$38),EXACT(K239,'Data Base'!$X$36)),I239*1.25*1.2*0.75,IF(AND(EXACT(G239,'Data Base'!$T$37),OR(EXACT(H239,'Data Base'!$V$36),EXACT(H239,'Data Base'!$V$35)),EXACT(K239,'Data Base'!$X$37)),I239*1.25*1*0.5,IF(AND(EXACT(G239,'Data Base'!$T$37),EXACT(H239,'Data Base'!$V$37),EXACT(K239,'Data Base'!$X$37)),I239*1.25*0.5*0.5,IF(AND(EXACT(G239,'Data Base'!$T$37),EXACT(H239,'Data Base'!$V$38),EXACT(K239,'Data Base'!$X$37)),I239*1.25*1.2*0.5))))))))))))))))))))))))))),"")</f>
        <v/>
      </c>
    </row>
    <row r="240" spans="1:13" ht="21" customHeight="1">
      <c r="A240" s="99">
        <v>12</v>
      </c>
      <c r="B240" s="1349" t="str">
        <f t="shared" si="28"/>
        <v/>
      </c>
      <c r="C240" s="1350"/>
      <c r="D240" s="148" t="str">
        <f t="shared" si="29"/>
        <v/>
      </c>
      <c r="E240" s="1351"/>
      <c r="F240" s="1352"/>
      <c r="G240" s="165"/>
      <c r="H240" s="140"/>
      <c r="I240" s="4"/>
      <c r="J240" s="4"/>
      <c r="K240" s="140"/>
      <c r="L240" s="4" t="s">
        <v>652</v>
      </c>
      <c r="M240" s="166" t="str">
        <f>IF(AND(NOT(EXACT(D240,"")),NOT(EXACT(G240,"")),NOT(EXACT(E240,"")),NOT(EXACT(B240,"")),NOT(EXACT(I240,"")),NOT(EXACT(H240,""))),IF(AND(EXACT(G240,'Data Base'!$T$35),OR(EXACT(H240,'Data Base'!$V$36),EXACT(H240,'Data Base'!$V$35)),EXACT(K240,'Data Base'!$X$35)),I240*0.5*1*1,IF(AND(EXACT(G240,'Data Base'!$T$35),EXACT(H240,'Data Base'!$V$37),EXACT(K240,'Data Base'!$X$35)),I240*0.5*0.5*1,IF(AND(EXACT(G240,'Data Base'!$T$35),EXACT(H240,'Data Base'!$V$38),EXACT(K240,'Data Base'!$X$35)),I240*0.5*1.2*1,IF(AND(EXACT(G240,'Data Base'!$T$35),OR(EXACT(H240,'Data Base'!$V$36),EXACT(H240,'Data Base'!$V$35)),EXACT(K240,'Data Base'!$X$36)),I240*0.5*1*0.75,IF(AND(EXACT(G240,'Data Base'!$T$35),EXACT(H240,'Data Base'!$V$37),EXACT(K240,'Data Base'!$X$36)),I240*0.5*0.5*0.75,IF(AND(EXACT(G240,'Data Base'!$T$35),EXACT(H240,'Data Base'!$V$38),EXACT(K240,'Data Base'!$X$36)),I240*0.5*1.2*0.75,IF(AND(EXACT(G240,'Data Base'!$T$35),OR(EXACT(H240,'Data Base'!$V$36),EXACT(H240,'Data Base'!$V$35)),EXACT(K240,'Data Base'!$X$37)),I240*0.5*1*0.5,IF(AND(EXACT(G240,'Data Base'!$T$35),EXACT(H240,'Data Base'!$V$37),EXACT(K240,'Data Base'!$X$37)),I240*0.5*0.5*0.5,IF(AND(EXACT(G240,'Data Base'!$T$35),EXACT(H240,'Data Base'!$V$38),EXACT(K240,'Data Base'!$X$37)),I240*0.5*1.2*0.5,IF(AND(EXACT(G240,'Data Base'!$T$36),OR(EXACT(H240,'Data Base'!$V$36),EXACT(H240,'Data Base'!$V$35)),EXACT(K240,'Data Base'!$X$35)),I240*1*1*1,IF(AND(EXACT(G240,'Data Base'!$T$36),EXACT(H240,'Data Base'!$V$37),EXACT(K240,'Data Base'!$X$35)),I240*1*0.5*1,IF(AND(EXACT(G240,'Data Base'!$T$36),EXACT(H240,'Data Base'!$V$38),EXACT(K240,'Data Base'!$X$35)),I240*1*1.2*1,IF(AND(EXACT(G240,'Data Base'!$T$36),OR(EXACT(H240,'Data Base'!$V$36),EXACT(H240,'Data Base'!$V$35)),EXACT(K240,'Data Base'!$X$36)),I240*1*1*0.75,IF(AND(EXACT(G240,'Data Base'!$T$36),EXACT(H240,'Data Base'!$V$37),EXACT(K240,'Data Base'!$X$36)),I240*1*0.5*0.75,IF(AND(EXACT(G240,'Data Base'!$T$36),EXACT(H240,'Data Base'!$V$38),EXACT(K240,'Data Base'!$X$36)),I240*1*1.2*0.75,IF(AND(EXACT(G240,'Data Base'!$T$36),OR(EXACT(H240,'Data Base'!$V$36),EXACT(H240,'Data Base'!$V$35)),EXACT(K240,'Data Base'!$X$37)),I240*1*1*0.5,IF(AND(EXACT(G240,'Data Base'!$T$36),EXACT(H240,'Data Base'!$V$37),EXACT(K240,'Data Base'!$X$37)),I240*1*0.5*0.5,IF(AND(EXACT(G240,'Data Base'!$T$36),EXACT(H240,'Data Base'!$V$38),EXACT(K240,'Data Base'!$X$37)),I240*1*1.2*0.5,IF(AND(EXACT(G240,'Data Base'!$T$37),OR(EXACT(H240,'Data Base'!$V$36),EXACT(H240,'Data Base'!$V$35)),EXACT(K240,'Data Base'!$X$35)),I240*1.25*1*1,IF(AND(EXACT(G240,'Data Base'!$T$37),EXACT(H240,'Data Base'!$V$37),EXACT(K240,'Data Base'!$X$35)),I240*1.25*0.5*1,IF(AND(EXACT(G240,'Data Base'!$T$37),EXACT(H240,'Data Base'!$V$38),EXACT(K240,'Data Base'!$X$35)),I240*1.25*1.2*1,IF(AND(EXACT(G240,'Data Base'!$T$37),OR(EXACT(H240,'Data Base'!$V$36),EXACT(H240,'Data Base'!$V$35)),EXACT(K240,'Data Base'!$X$36)),I240*1.25*1*0.75,IF(AND(EXACT(G240,'Data Base'!$T$37),EXACT(H240,'Data Base'!$V$37),EXACT(K240,'Data Base'!$X$36)),I240*1.25*0.5*0.75,IF(AND(EXACT(G240,'Data Base'!$T$37),EXACT(H240,'Data Base'!$V$38),EXACT(K240,'Data Base'!$X$36)),I240*1.25*1.2*0.75,IF(AND(EXACT(G240,'Data Base'!$T$37),OR(EXACT(H240,'Data Base'!$V$36),EXACT(H240,'Data Base'!$V$35)),EXACT(K240,'Data Base'!$X$37)),I240*1.25*1*0.5,IF(AND(EXACT(G240,'Data Base'!$T$37),EXACT(H240,'Data Base'!$V$37),EXACT(K240,'Data Base'!$X$37)),I240*1.25*0.5*0.5,IF(AND(EXACT(G240,'Data Base'!$T$37),EXACT(H240,'Data Base'!$V$38),EXACT(K240,'Data Base'!$X$37)),I240*1.25*1.2*0.5))))))))))))))))))))))))))),"")</f>
        <v/>
      </c>
    </row>
    <row r="241" spans="1:13" ht="21" customHeight="1">
      <c r="A241" s="97">
        <v>13</v>
      </c>
      <c r="B241" s="1349" t="str">
        <f t="shared" si="28"/>
        <v/>
      </c>
      <c r="C241" s="1350"/>
      <c r="D241" s="148" t="str">
        <f t="shared" si="29"/>
        <v/>
      </c>
      <c r="E241" s="1351"/>
      <c r="F241" s="1352"/>
      <c r="G241" s="165"/>
      <c r="H241" s="140"/>
      <c r="I241" s="4"/>
      <c r="J241" s="4"/>
      <c r="K241" s="140"/>
      <c r="L241" s="4" t="s">
        <v>652</v>
      </c>
      <c r="M241" s="166" t="str">
        <f>IF(AND(NOT(EXACT(D241,"")),NOT(EXACT(G241,"")),NOT(EXACT(E241,"")),NOT(EXACT(B241,"")),NOT(EXACT(I241,"")),NOT(EXACT(H241,""))),IF(AND(EXACT(G241,'Data Base'!$T$35),OR(EXACT(H241,'Data Base'!$V$36),EXACT(H241,'Data Base'!$V$35)),EXACT(K241,'Data Base'!$X$35)),I241*0.5*1*1,IF(AND(EXACT(G241,'Data Base'!$T$35),EXACT(H241,'Data Base'!$V$37),EXACT(K241,'Data Base'!$X$35)),I241*0.5*0.5*1,IF(AND(EXACT(G241,'Data Base'!$T$35),EXACT(H241,'Data Base'!$V$38),EXACT(K241,'Data Base'!$X$35)),I241*0.5*1.2*1,IF(AND(EXACT(G241,'Data Base'!$T$35),OR(EXACT(H241,'Data Base'!$V$36),EXACT(H241,'Data Base'!$V$35)),EXACT(K241,'Data Base'!$X$36)),I241*0.5*1*0.75,IF(AND(EXACT(G241,'Data Base'!$T$35),EXACT(H241,'Data Base'!$V$37),EXACT(K241,'Data Base'!$X$36)),I241*0.5*0.5*0.75,IF(AND(EXACT(G241,'Data Base'!$T$35),EXACT(H241,'Data Base'!$V$38),EXACT(K241,'Data Base'!$X$36)),I241*0.5*1.2*0.75,IF(AND(EXACT(G241,'Data Base'!$T$35),OR(EXACT(H241,'Data Base'!$V$36),EXACT(H241,'Data Base'!$V$35)),EXACT(K241,'Data Base'!$X$37)),I241*0.5*1*0.5,IF(AND(EXACT(G241,'Data Base'!$T$35),EXACT(H241,'Data Base'!$V$37),EXACT(K241,'Data Base'!$X$37)),I241*0.5*0.5*0.5,IF(AND(EXACT(G241,'Data Base'!$T$35),EXACT(H241,'Data Base'!$V$38),EXACT(K241,'Data Base'!$X$37)),I241*0.5*1.2*0.5,IF(AND(EXACT(G241,'Data Base'!$T$36),OR(EXACT(H241,'Data Base'!$V$36),EXACT(H241,'Data Base'!$V$35)),EXACT(K241,'Data Base'!$X$35)),I241*1*1*1,IF(AND(EXACT(G241,'Data Base'!$T$36),EXACT(H241,'Data Base'!$V$37),EXACT(K241,'Data Base'!$X$35)),I241*1*0.5*1,IF(AND(EXACT(G241,'Data Base'!$T$36),EXACT(H241,'Data Base'!$V$38),EXACT(K241,'Data Base'!$X$35)),I241*1*1.2*1,IF(AND(EXACT(G241,'Data Base'!$T$36),OR(EXACT(H241,'Data Base'!$V$36),EXACT(H241,'Data Base'!$V$35)),EXACT(K241,'Data Base'!$X$36)),I241*1*1*0.75,IF(AND(EXACT(G241,'Data Base'!$T$36),EXACT(H241,'Data Base'!$V$37),EXACT(K241,'Data Base'!$X$36)),I241*1*0.5*0.75,IF(AND(EXACT(G241,'Data Base'!$T$36),EXACT(H241,'Data Base'!$V$38),EXACT(K241,'Data Base'!$X$36)),I241*1*1.2*0.75,IF(AND(EXACT(G241,'Data Base'!$T$36),OR(EXACT(H241,'Data Base'!$V$36),EXACT(H241,'Data Base'!$V$35)),EXACT(K241,'Data Base'!$X$37)),I241*1*1*0.5,IF(AND(EXACT(G241,'Data Base'!$T$36),EXACT(H241,'Data Base'!$V$37),EXACT(K241,'Data Base'!$X$37)),I241*1*0.5*0.5,IF(AND(EXACT(G241,'Data Base'!$T$36),EXACT(H241,'Data Base'!$V$38),EXACT(K241,'Data Base'!$X$37)),I241*1*1.2*0.5,IF(AND(EXACT(G241,'Data Base'!$T$37),OR(EXACT(H241,'Data Base'!$V$36),EXACT(H241,'Data Base'!$V$35)),EXACT(K241,'Data Base'!$X$35)),I241*1.25*1*1,IF(AND(EXACT(G241,'Data Base'!$T$37),EXACT(H241,'Data Base'!$V$37),EXACT(K241,'Data Base'!$X$35)),I241*1.25*0.5*1,IF(AND(EXACT(G241,'Data Base'!$T$37),EXACT(H241,'Data Base'!$V$38),EXACT(K241,'Data Base'!$X$35)),I241*1.25*1.2*1,IF(AND(EXACT(G241,'Data Base'!$T$37),OR(EXACT(H241,'Data Base'!$V$36),EXACT(H241,'Data Base'!$V$35)),EXACT(K241,'Data Base'!$X$36)),I241*1.25*1*0.75,IF(AND(EXACT(G241,'Data Base'!$T$37),EXACT(H241,'Data Base'!$V$37),EXACT(K241,'Data Base'!$X$36)),I241*1.25*0.5*0.75,IF(AND(EXACT(G241,'Data Base'!$T$37),EXACT(H241,'Data Base'!$V$38),EXACT(K241,'Data Base'!$X$36)),I241*1.25*1.2*0.75,IF(AND(EXACT(G241,'Data Base'!$T$37),OR(EXACT(H241,'Data Base'!$V$36),EXACT(H241,'Data Base'!$V$35)),EXACT(K241,'Data Base'!$X$37)),I241*1.25*1*0.5,IF(AND(EXACT(G241,'Data Base'!$T$37),EXACT(H241,'Data Base'!$V$37),EXACT(K241,'Data Base'!$X$37)),I241*1.25*0.5*0.5,IF(AND(EXACT(G241,'Data Base'!$T$37),EXACT(H241,'Data Base'!$V$38),EXACT(K241,'Data Base'!$X$37)),I241*1.25*1.2*0.5))))))))))))))))))))))))))),"")</f>
        <v/>
      </c>
    </row>
    <row r="242" spans="1:13" ht="21" customHeight="1">
      <c r="A242" s="99">
        <v>14</v>
      </c>
      <c r="B242" s="1349" t="str">
        <f t="shared" si="28"/>
        <v/>
      </c>
      <c r="C242" s="1350"/>
      <c r="D242" s="148" t="str">
        <f t="shared" si="29"/>
        <v/>
      </c>
      <c r="E242" s="1351"/>
      <c r="F242" s="1352"/>
      <c r="G242" s="165"/>
      <c r="H242" s="140"/>
      <c r="I242" s="4"/>
      <c r="J242" s="4"/>
      <c r="K242" s="140"/>
      <c r="L242" s="4" t="s">
        <v>652</v>
      </c>
      <c r="M242" s="166" t="str">
        <f>IF(AND(NOT(EXACT(D242,"")),NOT(EXACT(G242,"")),NOT(EXACT(E242,"")),NOT(EXACT(B242,"")),NOT(EXACT(I242,"")),NOT(EXACT(H242,""))),IF(AND(EXACT(G242,'Data Base'!$T$35),OR(EXACT(H242,'Data Base'!$V$36),EXACT(H242,'Data Base'!$V$35)),EXACT(K242,'Data Base'!$X$35)),I242*0.5*1*1,IF(AND(EXACT(G242,'Data Base'!$T$35),EXACT(H242,'Data Base'!$V$37),EXACT(K242,'Data Base'!$X$35)),I242*0.5*0.5*1,IF(AND(EXACT(G242,'Data Base'!$T$35),EXACT(H242,'Data Base'!$V$38),EXACT(K242,'Data Base'!$X$35)),I242*0.5*1.2*1,IF(AND(EXACT(G242,'Data Base'!$T$35),OR(EXACT(H242,'Data Base'!$V$36),EXACT(H242,'Data Base'!$V$35)),EXACT(K242,'Data Base'!$X$36)),I242*0.5*1*0.75,IF(AND(EXACT(G242,'Data Base'!$T$35),EXACT(H242,'Data Base'!$V$37),EXACT(K242,'Data Base'!$X$36)),I242*0.5*0.5*0.75,IF(AND(EXACT(G242,'Data Base'!$T$35),EXACT(H242,'Data Base'!$V$38),EXACT(K242,'Data Base'!$X$36)),I242*0.5*1.2*0.75,IF(AND(EXACT(G242,'Data Base'!$T$35),OR(EXACT(H242,'Data Base'!$V$36),EXACT(H242,'Data Base'!$V$35)),EXACT(K242,'Data Base'!$X$37)),I242*0.5*1*0.5,IF(AND(EXACT(G242,'Data Base'!$T$35),EXACT(H242,'Data Base'!$V$37),EXACT(K242,'Data Base'!$X$37)),I242*0.5*0.5*0.5,IF(AND(EXACT(G242,'Data Base'!$T$35),EXACT(H242,'Data Base'!$V$38),EXACT(K242,'Data Base'!$X$37)),I242*0.5*1.2*0.5,IF(AND(EXACT(G242,'Data Base'!$T$36),OR(EXACT(H242,'Data Base'!$V$36),EXACT(H242,'Data Base'!$V$35)),EXACT(K242,'Data Base'!$X$35)),I242*1*1*1,IF(AND(EXACT(G242,'Data Base'!$T$36),EXACT(H242,'Data Base'!$V$37),EXACT(K242,'Data Base'!$X$35)),I242*1*0.5*1,IF(AND(EXACT(G242,'Data Base'!$T$36),EXACT(H242,'Data Base'!$V$38),EXACT(K242,'Data Base'!$X$35)),I242*1*1.2*1,IF(AND(EXACT(G242,'Data Base'!$T$36),OR(EXACT(H242,'Data Base'!$V$36),EXACT(H242,'Data Base'!$V$35)),EXACT(K242,'Data Base'!$X$36)),I242*1*1*0.75,IF(AND(EXACT(G242,'Data Base'!$T$36),EXACT(H242,'Data Base'!$V$37),EXACT(K242,'Data Base'!$X$36)),I242*1*0.5*0.75,IF(AND(EXACT(G242,'Data Base'!$T$36),EXACT(H242,'Data Base'!$V$38),EXACT(K242,'Data Base'!$X$36)),I242*1*1.2*0.75,IF(AND(EXACT(G242,'Data Base'!$T$36),OR(EXACT(H242,'Data Base'!$V$36),EXACT(H242,'Data Base'!$V$35)),EXACT(K242,'Data Base'!$X$37)),I242*1*1*0.5,IF(AND(EXACT(G242,'Data Base'!$T$36),EXACT(H242,'Data Base'!$V$37),EXACT(K242,'Data Base'!$X$37)),I242*1*0.5*0.5,IF(AND(EXACT(G242,'Data Base'!$T$36),EXACT(H242,'Data Base'!$V$38),EXACT(K242,'Data Base'!$X$37)),I242*1*1.2*0.5,IF(AND(EXACT(G242,'Data Base'!$T$37),OR(EXACT(H242,'Data Base'!$V$36),EXACT(H242,'Data Base'!$V$35)),EXACT(K242,'Data Base'!$X$35)),I242*1.25*1*1,IF(AND(EXACT(G242,'Data Base'!$T$37),EXACT(H242,'Data Base'!$V$37),EXACT(K242,'Data Base'!$X$35)),I242*1.25*0.5*1,IF(AND(EXACT(G242,'Data Base'!$T$37),EXACT(H242,'Data Base'!$V$38),EXACT(K242,'Data Base'!$X$35)),I242*1.25*1.2*1,IF(AND(EXACT(G242,'Data Base'!$T$37),OR(EXACT(H242,'Data Base'!$V$36),EXACT(H242,'Data Base'!$V$35)),EXACT(K242,'Data Base'!$X$36)),I242*1.25*1*0.75,IF(AND(EXACT(G242,'Data Base'!$T$37),EXACT(H242,'Data Base'!$V$37),EXACT(K242,'Data Base'!$X$36)),I242*1.25*0.5*0.75,IF(AND(EXACT(G242,'Data Base'!$T$37),EXACT(H242,'Data Base'!$V$38),EXACT(K242,'Data Base'!$X$36)),I242*1.25*1.2*0.75,IF(AND(EXACT(G242,'Data Base'!$T$37),OR(EXACT(H242,'Data Base'!$V$36),EXACT(H242,'Data Base'!$V$35)),EXACT(K242,'Data Base'!$X$37)),I242*1.25*1*0.5,IF(AND(EXACT(G242,'Data Base'!$T$37),EXACT(H242,'Data Base'!$V$37),EXACT(K242,'Data Base'!$X$37)),I242*1.25*0.5*0.5,IF(AND(EXACT(G242,'Data Base'!$T$37),EXACT(H242,'Data Base'!$V$38),EXACT(K242,'Data Base'!$X$37)),I242*1.25*1.2*0.5))))))))))))))))))))))))))),"")</f>
        <v/>
      </c>
    </row>
    <row r="243" spans="1:13" ht="21" customHeight="1" thickBot="1">
      <c r="A243" s="106">
        <v>15</v>
      </c>
      <c r="B243" s="1355" t="str">
        <f t="shared" si="28"/>
        <v/>
      </c>
      <c r="C243" s="1356"/>
      <c r="D243" s="107" t="str">
        <f t="shared" si="29"/>
        <v/>
      </c>
      <c r="E243" s="1357"/>
      <c r="F243" s="1358"/>
      <c r="G243" s="167"/>
      <c r="H243" s="108"/>
      <c r="I243" s="105"/>
      <c r="J243" s="105"/>
      <c r="K243" s="108"/>
      <c r="L243" s="105" t="s">
        <v>652</v>
      </c>
      <c r="M243" s="168" t="str">
        <f>IF(AND(NOT(EXACT(D243,"")),NOT(EXACT(G243,"")),NOT(EXACT(E243,"")),NOT(EXACT(B243,"")),NOT(EXACT(I243,"")),NOT(EXACT(H243,""))),IF(AND(EXACT(G243,'Data Base'!$T$35),OR(EXACT(H243,'Data Base'!$V$36),EXACT(H243,'Data Base'!$V$35)),EXACT(K243,'Data Base'!$X$35)),I243*0.5*1*1,IF(AND(EXACT(G243,'Data Base'!$T$35),EXACT(H243,'Data Base'!$V$37),EXACT(K243,'Data Base'!$X$35)),I243*0.5*0.5*1,IF(AND(EXACT(G243,'Data Base'!$T$35),EXACT(H243,'Data Base'!$V$38),EXACT(K243,'Data Base'!$X$35)),I243*0.5*1.2*1,IF(AND(EXACT(G243,'Data Base'!$T$35),OR(EXACT(H243,'Data Base'!$V$36),EXACT(H243,'Data Base'!$V$35)),EXACT(K243,'Data Base'!$X$36)),I243*0.5*1*0.75,IF(AND(EXACT(G243,'Data Base'!$T$35),EXACT(H243,'Data Base'!$V$37),EXACT(K243,'Data Base'!$X$36)),I243*0.5*0.5*0.75,IF(AND(EXACT(G243,'Data Base'!$T$35),EXACT(H243,'Data Base'!$V$38),EXACT(K243,'Data Base'!$X$36)),I243*0.5*1.2*0.75,IF(AND(EXACT(G243,'Data Base'!$T$35),OR(EXACT(H243,'Data Base'!$V$36),EXACT(H243,'Data Base'!$V$35)),EXACT(K243,'Data Base'!$X$37)),I243*0.5*1*0.5,IF(AND(EXACT(G243,'Data Base'!$T$35),EXACT(H243,'Data Base'!$V$37),EXACT(K243,'Data Base'!$X$37)),I243*0.5*0.5*0.5,IF(AND(EXACT(G243,'Data Base'!$T$35),EXACT(H243,'Data Base'!$V$38),EXACT(K243,'Data Base'!$X$37)),I243*0.5*1.2*0.5,IF(AND(EXACT(G243,'Data Base'!$T$36),OR(EXACT(H243,'Data Base'!$V$36),EXACT(H243,'Data Base'!$V$35)),EXACT(K243,'Data Base'!$X$35)),I243*1*1*1,IF(AND(EXACT(G243,'Data Base'!$T$36),EXACT(H243,'Data Base'!$V$37),EXACT(K243,'Data Base'!$X$35)),I243*1*0.5*1,IF(AND(EXACT(G243,'Data Base'!$T$36),EXACT(H243,'Data Base'!$V$38),EXACT(K243,'Data Base'!$X$35)),I243*1*1.2*1,IF(AND(EXACT(G243,'Data Base'!$T$36),OR(EXACT(H243,'Data Base'!$V$36),EXACT(H243,'Data Base'!$V$35)),EXACT(K243,'Data Base'!$X$36)),I243*1*1*0.75,IF(AND(EXACT(G243,'Data Base'!$T$36),EXACT(H243,'Data Base'!$V$37),EXACT(K243,'Data Base'!$X$36)),I243*1*0.5*0.75,IF(AND(EXACT(G243,'Data Base'!$T$36),EXACT(H243,'Data Base'!$V$38),EXACT(K243,'Data Base'!$X$36)),I243*1*1.2*0.75,IF(AND(EXACT(G243,'Data Base'!$T$36),OR(EXACT(H243,'Data Base'!$V$36),EXACT(H243,'Data Base'!$V$35)),EXACT(K243,'Data Base'!$X$37)),I243*1*1*0.5,IF(AND(EXACT(G243,'Data Base'!$T$36),EXACT(H243,'Data Base'!$V$37),EXACT(K243,'Data Base'!$X$37)),I243*1*0.5*0.5,IF(AND(EXACT(G243,'Data Base'!$T$36),EXACT(H243,'Data Base'!$V$38),EXACT(K243,'Data Base'!$X$37)),I243*1*1.2*0.5,IF(AND(EXACT(G243,'Data Base'!$T$37),OR(EXACT(H243,'Data Base'!$V$36),EXACT(H243,'Data Base'!$V$35)),EXACT(K243,'Data Base'!$X$35)),I243*1.25*1*1,IF(AND(EXACT(G243,'Data Base'!$T$37),EXACT(H243,'Data Base'!$V$37),EXACT(K243,'Data Base'!$X$35)),I243*1.25*0.5*1,IF(AND(EXACT(G243,'Data Base'!$T$37),EXACT(H243,'Data Base'!$V$38),EXACT(K243,'Data Base'!$X$35)),I243*1.25*1.2*1,IF(AND(EXACT(G243,'Data Base'!$T$37),OR(EXACT(H243,'Data Base'!$V$36),EXACT(H243,'Data Base'!$V$35)),EXACT(K243,'Data Base'!$X$36)),I243*1.25*1*0.75,IF(AND(EXACT(G243,'Data Base'!$T$37),EXACT(H243,'Data Base'!$V$37),EXACT(K243,'Data Base'!$X$36)),I243*1.25*0.5*0.75,IF(AND(EXACT(G243,'Data Base'!$T$37),EXACT(H243,'Data Base'!$V$38),EXACT(K243,'Data Base'!$X$36)),I243*1.25*1.2*0.75,IF(AND(EXACT(G243,'Data Base'!$T$37),OR(EXACT(H243,'Data Base'!$V$36),EXACT(H243,'Data Base'!$V$35)),EXACT(K243,'Data Base'!$X$37)),I243*1.25*1*0.5,IF(AND(EXACT(G243,'Data Base'!$T$37),EXACT(H243,'Data Base'!$V$37),EXACT(K243,'Data Base'!$X$37)),I243*1.25*0.5*0.5,IF(AND(EXACT(G243,'Data Base'!$T$37),EXACT(H243,'Data Base'!$V$38),EXACT(K243,'Data Base'!$X$37)),I243*1.25*1.2*0.5))))))))))))))))))))))))))),"")</f>
        <v/>
      </c>
    </row>
    <row r="244" spans="1:13" ht="21" thickBot="1">
      <c r="A244" s="1366" t="s">
        <v>653</v>
      </c>
      <c r="B244" s="1367"/>
      <c r="C244" s="1367"/>
      <c r="D244" s="1367"/>
      <c r="E244" s="1367"/>
      <c r="F244" s="1367"/>
      <c r="G244" s="1367"/>
      <c r="H244" s="1367"/>
      <c r="I244" s="111">
        <f>B229</f>
        <v>0</v>
      </c>
      <c r="J244" s="111">
        <f>D229</f>
        <v>0</v>
      </c>
      <c r="K244" s="1382"/>
      <c r="L244" s="1383"/>
      <c r="M244" s="112">
        <f>IF(SUM(M229:M243)&gt;5,5,SUM(M229:M243))</f>
        <v>0</v>
      </c>
    </row>
    <row r="245" spans="1:13" ht="26.25" thickBot="1">
      <c r="A245" s="1368" t="str">
        <f>IF(I245&lt;15,'Data Base'!K18,'Data Base'!K20)</f>
        <v>متقاضي حداقل امتياز لازم را از اين بند كسب نكرده است!</v>
      </c>
      <c r="B245" s="1369"/>
      <c r="C245" s="1369"/>
      <c r="D245" s="1369"/>
      <c r="E245" s="1369"/>
      <c r="F245" s="1369"/>
      <c r="G245" s="1369"/>
      <c r="H245" s="1369"/>
      <c r="I245" s="113">
        <f>SUM(M20,M36,M52,M68,M84,M100,M116,M132,M148,M164,M180,M196,M212,M228,M244)</f>
        <v>0</v>
      </c>
      <c r="J245" s="1380" t="str">
        <f>IF(I245&lt;15,"",'Data Base'!K19)</f>
        <v/>
      </c>
      <c r="K245" s="1380"/>
      <c r="L245" s="1381"/>
      <c r="M245" s="114" t="str">
        <f>IF(J245="","",IF(I245&gt;30,30,I245))</f>
        <v/>
      </c>
    </row>
    <row r="246" spans="1:13" ht="30.75" customHeight="1">
      <c r="A246" s="1148" t="s">
        <v>31</v>
      </c>
      <c r="B246" s="1149"/>
      <c r="C246" s="1149"/>
      <c r="D246" s="1149"/>
      <c r="E246" s="1149"/>
      <c r="F246" s="122" t="s">
        <v>32</v>
      </c>
      <c r="G246" s="1308">
        <f>K2</f>
        <v>0</v>
      </c>
      <c r="H246" s="1313"/>
      <c r="I246" s="1313"/>
      <c r="J246" s="1307" t="s">
        <v>33</v>
      </c>
      <c r="K246" s="1307"/>
      <c r="L246" s="1313">
        <f>C2</f>
        <v>0</v>
      </c>
      <c r="M246" s="1314"/>
    </row>
    <row r="247" spans="1:13" ht="35.25" customHeight="1" thickBot="1">
      <c r="A247" s="1151">
        <f>'فرم الف'!A27</f>
        <v>0</v>
      </c>
      <c r="B247" s="1153"/>
      <c r="C247" s="1153"/>
      <c r="D247" s="1153"/>
      <c r="E247" s="1153"/>
      <c r="F247" s="1153">
        <f>'فرم الف'!E27</f>
        <v>0</v>
      </c>
      <c r="G247" s="1153"/>
      <c r="H247" s="1153"/>
      <c r="I247" s="1153"/>
      <c r="J247" s="1153" t="str">
        <f>'فرم الف'!J27</f>
        <v/>
      </c>
      <c r="K247" s="1153"/>
      <c r="L247" s="1153"/>
      <c r="M247" s="1154"/>
    </row>
    <row r="248" spans="1:13" ht="55.5" customHeight="1">
      <c r="A248" s="115"/>
      <c r="B248" s="115"/>
      <c r="C248" s="115"/>
      <c r="D248" s="115"/>
      <c r="E248" s="115"/>
      <c r="F248" s="115"/>
      <c r="G248" s="115"/>
      <c r="H248" s="115"/>
      <c r="I248" s="115"/>
      <c r="J248" s="115"/>
      <c r="K248" s="115"/>
      <c r="L248" s="115"/>
      <c r="M248" s="115"/>
    </row>
    <row r="249" spans="1:13">
      <c r="A249" s="100"/>
      <c r="B249" s="100"/>
      <c r="C249" s="100"/>
      <c r="D249" s="100"/>
      <c r="E249" s="100"/>
      <c r="F249" s="100"/>
      <c r="G249" s="100"/>
      <c r="H249" s="100"/>
      <c r="I249" s="100"/>
      <c r="J249" s="100"/>
      <c r="K249" s="100"/>
      <c r="L249" s="101"/>
      <c r="M249" s="100"/>
    </row>
    <row r="250" spans="1:13">
      <c r="A250" s="100"/>
      <c r="B250" s="100"/>
      <c r="C250" s="100"/>
      <c r="D250" s="100"/>
      <c r="E250" s="100"/>
      <c r="F250" s="100"/>
      <c r="G250" s="100"/>
      <c r="H250" s="100"/>
      <c r="I250" s="100"/>
      <c r="J250" s="100"/>
      <c r="K250" s="100"/>
      <c r="L250" s="101"/>
      <c r="M250" s="100"/>
    </row>
  </sheetData>
  <sheetProtection algorithmName="SHA-512" hashValue="fEcI4oHa+SIbFzAoFjGgeOuc00lkLJtIi2vuH/q3pltPj0UV1PXo9zWhcmuGpG5eUpohegkZvrBn4CoH7NwsFA==" saltValue="9YOlLFPGCm5kwtaKo1OU+g==" spinCount="100000" sheet="1" objects="1" scenarios="1" formatCells="0" formatRows="0" selectLockedCells="1"/>
  <mergeCells count="502">
    <mergeCell ref="E9:F9"/>
    <mergeCell ref="E10:F10"/>
    <mergeCell ref="E11:F11"/>
    <mergeCell ref="E12:F12"/>
    <mergeCell ref="B73:C73"/>
    <mergeCell ref="E73:F73"/>
    <mergeCell ref="B74:C74"/>
    <mergeCell ref="E74:F74"/>
    <mergeCell ref="B72:C72"/>
    <mergeCell ref="E72:F72"/>
    <mergeCell ref="B61:C61"/>
    <mergeCell ref="E61:F61"/>
    <mergeCell ref="B66:C66"/>
    <mergeCell ref="E66:F66"/>
    <mergeCell ref="B67:C67"/>
    <mergeCell ref="E67:F67"/>
    <mergeCell ref="A68:H68"/>
    <mergeCell ref="B9:C9"/>
    <mergeCell ref="B10:C10"/>
    <mergeCell ref="B11:C11"/>
    <mergeCell ref="B12:C12"/>
    <mergeCell ref="B13:C13"/>
    <mergeCell ref="B14:C14"/>
    <mergeCell ref="B15:C15"/>
    <mergeCell ref="B112:C112"/>
    <mergeCell ref="B16:C16"/>
    <mergeCell ref="B17:C17"/>
    <mergeCell ref="K20:L20"/>
    <mergeCell ref="B21:C21"/>
    <mergeCell ref="E21:F21"/>
    <mergeCell ref="B22:C22"/>
    <mergeCell ref="E113:F113"/>
    <mergeCell ref="B114:C114"/>
    <mergeCell ref="E114:F114"/>
    <mergeCell ref="B79:C79"/>
    <mergeCell ref="E79:F79"/>
    <mergeCell ref="B59:C59"/>
    <mergeCell ref="E59:F59"/>
    <mergeCell ref="B60:C60"/>
    <mergeCell ref="E60:F60"/>
    <mergeCell ref="B78:C78"/>
    <mergeCell ref="E78:F78"/>
    <mergeCell ref="B62:C62"/>
    <mergeCell ref="E62:F62"/>
    <mergeCell ref="B63:C63"/>
    <mergeCell ref="E63:F63"/>
    <mergeCell ref="B64:C64"/>
    <mergeCell ref="E64:F64"/>
    <mergeCell ref="E127:F127"/>
    <mergeCell ref="E65:F65"/>
    <mergeCell ref="B75:C75"/>
    <mergeCell ref="B131:C131"/>
    <mergeCell ref="E131:F131"/>
    <mergeCell ref="A132:H132"/>
    <mergeCell ref="K132:L132"/>
    <mergeCell ref="B133:C133"/>
    <mergeCell ref="E75:F75"/>
    <mergeCell ref="B76:C76"/>
    <mergeCell ref="E76:F76"/>
    <mergeCell ref="B77:C77"/>
    <mergeCell ref="E77:F77"/>
    <mergeCell ref="B115:C115"/>
    <mergeCell ref="E115:F115"/>
    <mergeCell ref="A116:H116"/>
    <mergeCell ref="B99:C99"/>
    <mergeCell ref="E99:F99"/>
    <mergeCell ref="A100:H100"/>
    <mergeCell ref="B105:C105"/>
    <mergeCell ref="B110:C110"/>
    <mergeCell ref="E110:F110"/>
    <mergeCell ref="B111:C111"/>
    <mergeCell ref="E111:F111"/>
    <mergeCell ref="B141:C141"/>
    <mergeCell ref="E112:F112"/>
    <mergeCell ref="B113:C113"/>
    <mergeCell ref="B136:C136"/>
    <mergeCell ref="E136:F136"/>
    <mergeCell ref="B137:C137"/>
    <mergeCell ref="B142:C142"/>
    <mergeCell ref="E142:F142"/>
    <mergeCell ref="B143:C143"/>
    <mergeCell ref="E143:F143"/>
    <mergeCell ref="E141:F141"/>
    <mergeCell ref="B121:C121"/>
    <mergeCell ref="E121:F121"/>
    <mergeCell ref="B122:C122"/>
    <mergeCell ref="E122:F122"/>
    <mergeCell ref="B123:C123"/>
    <mergeCell ref="E123:F123"/>
    <mergeCell ref="B124:C124"/>
    <mergeCell ref="E124:F124"/>
    <mergeCell ref="B125:C125"/>
    <mergeCell ref="E125:F125"/>
    <mergeCell ref="B126:C126"/>
    <mergeCell ref="E126:F126"/>
    <mergeCell ref="B127:C127"/>
    <mergeCell ref="B135:C135"/>
    <mergeCell ref="E135:F135"/>
    <mergeCell ref="E137:F137"/>
    <mergeCell ref="B138:C138"/>
    <mergeCell ref="E138:F138"/>
    <mergeCell ref="B139:C139"/>
    <mergeCell ref="E139:F139"/>
    <mergeCell ref="B140:C140"/>
    <mergeCell ref="E140:F140"/>
    <mergeCell ref="K100:L100"/>
    <mergeCell ref="B101:C101"/>
    <mergeCell ref="E101:F101"/>
    <mergeCell ref="B102:C102"/>
    <mergeCell ref="E102:F102"/>
    <mergeCell ref="B103:C103"/>
    <mergeCell ref="E103:F103"/>
    <mergeCell ref="B104:C104"/>
    <mergeCell ref="E104:F104"/>
    <mergeCell ref="B203:C203"/>
    <mergeCell ref="E203:F203"/>
    <mergeCell ref="K148:L148"/>
    <mergeCell ref="B184:C184"/>
    <mergeCell ref="E184:F184"/>
    <mergeCell ref="B185:C185"/>
    <mergeCell ref="E185:F185"/>
    <mergeCell ref="E192:F192"/>
    <mergeCell ref="E145:F145"/>
    <mergeCell ref="B146:C146"/>
    <mergeCell ref="E146:F146"/>
    <mergeCell ref="K180:L180"/>
    <mergeCell ref="B181:C181"/>
    <mergeCell ref="A164:H164"/>
    <mergeCell ref="K164:L164"/>
    <mergeCell ref="B165:C165"/>
    <mergeCell ref="E165:F165"/>
    <mergeCell ref="B166:C166"/>
    <mergeCell ref="E166:F166"/>
    <mergeCell ref="B167:C167"/>
    <mergeCell ref="E167:F167"/>
    <mergeCell ref="B168:C168"/>
    <mergeCell ref="E168:F168"/>
    <mergeCell ref="E149:F149"/>
    <mergeCell ref="E188:F188"/>
    <mergeCell ref="B189:C189"/>
    <mergeCell ref="E189:F189"/>
    <mergeCell ref="B190:C190"/>
    <mergeCell ref="E190:F190"/>
    <mergeCell ref="B191:C191"/>
    <mergeCell ref="E191:F191"/>
    <mergeCell ref="B192:C192"/>
    <mergeCell ref="B193:C193"/>
    <mergeCell ref="E193:F193"/>
    <mergeCell ref="B194:C194"/>
    <mergeCell ref="E194:F194"/>
    <mergeCell ref="B195:C195"/>
    <mergeCell ref="E195:F195"/>
    <mergeCell ref="A196:H196"/>
    <mergeCell ref="B201:C201"/>
    <mergeCell ref="E201:F201"/>
    <mergeCell ref="B202:C202"/>
    <mergeCell ref="E202:F202"/>
    <mergeCell ref="K228:L228"/>
    <mergeCell ref="B229:C229"/>
    <mergeCell ref="B230:C230"/>
    <mergeCell ref="E230:F230"/>
    <mergeCell ref="B231:C231"/>
    <mergeCell ref="E231:F231"/>
    <mergeCell ref="B232:C232"/>
    <mergeCell ref="E232:F232"/>
    <mergeCell ref="B233:C233"/>
    <mergeCell ref="E233:F233"/>
    <mergeCell ref="K212:L212"/>
    <mergeCell ref="B213:C213"/>
    <mergeCell ref="E213:F213"/>
    <mergeCell ref="B214:C214"/>
    <mergeCell ref="E214:F214"/>
    <mergeCell ref="B215:C215"/>
    <mergeCell ref="E215:F215"/>
    <mergeCell ref="B216:C216"/>
    <mergeCell ref="E216:F216"/>
    <mergeCell ref="J245:L245"/>
    <mergeCell ref="A246:E246"/>
    <mergeCell ref="J246:K246"/>
    <mergeCell ref="L246:M246"/>
    <mergeCell ref="A247:E247"/>
    <mergeCell ref="J247:M247"/>
    <mergeCell ref="K244:L244"/>
    <mergeCell ref="G246:I246"/>
    <mergeCell ref="B234:C234"/>
    <mergeCell ref="E234:F234"/>
    <mergeCell ref="B240:C240"/>
    <mergeCell ref="E240:F240"/>
    <mergeCell ref="B241:C241"/>
    <mergeCell ref="E241:F241"/>
    <mergeCell ref="B242:C242"/>
    <mergeCell ref="E242:F242"/>
    <mergeCell ref="B243:C243"/>
    <mergeCell ref="E243:F243"/>
    <mergeCell ref="B235:C235"/>
    <mergeCell ref="E235:F235"/>
    <mergeCell ref="B236:C236"/>
    <mergeCell ref="E236:F236"/>
    <mergeCell ref="B237:C237"/>
    <mergeCell ref="E237:F237"/>
    <mergeCell ref="L3:M3"/>
    <mergeCell ref="A1:B2"/>
    <mergeCell ref="B4:C4"/>
    <mergeCell ref="B5:C5"/>
    <mergeCell ref="B6:C6"/>
    <mergeCell ref="B7:C7"/>
    <mergeCell ref="B8:C8"/>
    <mergeCell ref="H1:J1"/>
    <mergeCell ref="H2:J2"/>
    <mergeCell ref="K1:M1"/>
    <mergeCell ref="K2:M2"/>
    <mergeCell ref="C2:E2"/>
    <mergeCell ref="C1:E1"/>
    <mergeCell ref="F1:G1"/>
    <mergeCell ref="F2:G2"/>
    <mergeCell ref="E4:F4"/>
    <mergeCell ref="E5:F5"/>
    <mergeCell ref="E6:F6"/>
    <mergeCell ref="E7:F7"/>
    <mergeCell ref="E8:F8"/>
    <mergeCell ref="A3:K3"/>
    <mergeCell ref="E22:F22"/>
    <mergeCell ref="B23:C23"/>
    <mergeCell ref="E23:F23"/>
    <mergeCell ref="B24:C24"/>
    <mergeCell ref="E24:F24"/>
    <mergeCell ref="E13:F13"/>
    <mergeCell ref="E14:F14"/>
    <mergeCell ref="E15:F15"/>
    <mergeCell ref="E16:F16"/>
    <mergeCell ref="E17:F17"/>
    <mergeCell ref="E18:F18"/>
    <mergeCell ref="E19:F19"/>
    <mergeCell ref="B18:C18"/>
    <mergeCell ref="B19:C19"/>
    <mergeCell ref="F247:I247"/>
    <mergeCell ref="A20:H20"/>
    <mergeCell ref="B25:C25"/>
    <mergeCell ref="E25:F25"/>
    <mergeCell ref="B26:C26"/>
    <mergeCell ref="E26:F26"/>
    <mergeCell ref="A244:H244"/>
    <mergeCell ref="A212:H212"/>
    <mergeCell ref="B217:C217"/>
    <mergeCell ref="E217:F217"/>
    <mergeCell ref="B218:C218"/>
    <mergeCell ref="B186:C186"/>
    <mergeCell ref="E186:F186"/>
    <mergeCell ref="B187:C187"/>
    <mergeCell ref="E187:F187"/>
    <mergeCell ref="B188:C188"/>
    <mergeCell ref="A245:H245"/>
    <mergeCell ref="B27:C27"/>
    <mergeCell ref="E27:F27"/>
    <mergeCell ref="B28:C28"/>
    <mergeCell ref="E28:F28"/>
    <mergeCell ref="B29:C29"/>
    <mergeCell ref="E29:F29"/>
    <mergeCell ref="B30:C30"/>
    <mergeCell ref="E30:F30"/>
    <mergeCell ref="B31:C31"/>
    <mergeCell ref="E31:F31"/>
    <mergeCell ref="B32:C32"/>
    <mergeCell ref="E32:F32"/>
    <mergeCell ref="B33:C33"/>
    <mergeCell ref="E33:F33"/>
    <mergeCell ref="B34:C34"/>
    <mergeCell ref="E34:F34"/>
    <mergeCell ref="B35:C35"/>
    <mergeCell ref="E35:F35"/>
    <mergeCell ref="A36:H36"/>
    <mergeCell ref="K36:L36"/>
    <mergeCell ref="B37:C37"/>
    <mergeCell ref="E37:F37"/>
    <mergeCell ref="B38:C38"/>
    <mergeCell ref="E38:F38"/>
    <mergeCell ref="B39:C39"/>
    <mergeCell ref="E39:F39"/>
    <mergeCell ref="B40:C40"/>
    <mergeCell ref="E40:F40"/>
    <mergeCell ref="B41:C41"/>
    <mergeCell ref="E41:F41"/>
    <mergeCell ref="B42:C42"/>
    <mergeCell ref="E42:F42"/>
    <mergeCell ref="B43:C43"/>
    <mergeCell ref="E43:F43"/>
    <mergeCell ref="B44:C44"/>
    <mergeCell ref="E44:F44"/>
    <mergeCell ref="B45:C45"/>
    <mergeCell ref="E45:F45"/>
    <mergeCell ref="B46:C46"/>
    <mergeCell ref="E46:F46"/>
    <mergeCell ref="B47:C47"/>
    <mergeCell ref="E47:F47"/>
    <mergeCell ref="B48:C48"/>
    <mergeCell ref="E48:F48"/>
    <mergeCell ref="B49:C49"/>
    <mergeCell ref="E49:F49"/>
    <mergeCell ref="B50:C50"/>
    <mergeCell ref="E50:F50"/>
    <mergeCell ref="B51:C51"/>
    <mergeCell ref="E51:F51"/>
    <mergeCell ref="A52:H52"/>
    <mergeCell ref="K52:L52"/>
    <mergeCell ref="B53:C53"/>
    <mergeCell ref="E53:F53"/>
    <mergeCell ref="B54:C54"/>
    <mergeCell ref="E54:F54"/>
    <mergeCell ref="B55:C55"/>
    <mergeCell ref="E55:F55"/>
    <mergeCell ref="K68:L68"/>
    <mergeCell ref="B69:C69"/>
    <mergeCell ref="E69:F69"/>
    <mergeCell ref="B70:C70"/>
    <mergeCell ref="E70:F70"/>
    <mergeCell ref="B71:C71"/>
    <mergeCell ref="E71:F71"/>
    <mergeCell ref="E56:F56"/>
    <mergeCell ref="B57:C57"/>
    <mergeCell ref="E57:F57"/>
    <mergeCell ref="B58:C58"/>
    <mergeCell ref="E58:F58"/>
    <mergeCell ref="B56:C56"/>
    <mergeCell ref="B65:C65"/>
    <mergeCell ref="B80:C80"/>
    <mergeCell ref="E80:F80"/>
    <mergeCell ref="B81:C81"/>
    <mergeCell ref="E81:F81"/>
    <mergeCell ref="B82:C82"/>
    <mergeCell ref="E82:F82"/>
    <mergeCell ref="B83:C83"/>
    <mergeCell ref="E83:F83"/>
    <mergeCell ref="A84:H84"/>
    <mergeCell ref="K84:L84"/>
    <mergeCell ref="B85:C85"/>
    <mergeCell ref="E85:F85"/>
    <mergeCell ref="B86:C86"/>
    <mergeCell ref="E86:F86"/>
    <mergeCell ref="B87:C87"/>
    <mergeCell ref="E87:F87"/>
    <mergeCell ref="B88:C88"/>
    <mergeCell ref="E88:F88"/>
    <mergeCell ref="B89:C89"/>
    <mergeCell ref="E89:F89"/>
    <mergeCell ref="B90:C90"/>
    <mergeCell ref="E90:F90"/>
    <mergeCell ref="B91:C91"/>
    <mergeCell ref="E91:F91"/>
    <mergeCell ref="B92:C92"/>
    <mergeCell ref="E92:F92"/>
    <mergeCell ref="B93:C93"/>
    <mergeCell ref="E93:F93"/>
    <mergeCell ref="B94:C94"/>
    <mergeCell ref="E94:F94"/>
    <mergeCell ref="B95:C95"/>
    <mergeCell ref="E95:F95"/>
    <mergeCell ref="B96:C96"/>
    <mergeCell ref="E96:F96"/>
    <mergeCell ref="B97:C97"/>
    <mergeCell ref="E97:F97"/>
    <mergeCell ref="B98:C98"/>
    <mergeCell ref="E98:F98"/>
    <mergeCell ref="E105:F105"/>
    <mergeCell ref="B106:C106"/>
    <mergeCell ref="E106:F106"/>
    <mergeCell ref="B107:C107"/>
    <mergeCell ref="E107:F107"/>
    <mergeCell ref="B108:C108"/>
    <mergeCell ref="E108:F108"/>
    <mergeCell ref="B109:C109"/>
    <mergeCell ref="E109:F109"/>
    <mergeCell ref="K116:L116"/>
    <mergeCell ref="B117:C117"/>
    <mergeCell ref="E117:F117"/>
    <mergeCell ref="B118:C118"/>
    <mergeCell ref="E118:F118"/>
    <mergeCell ref="B119:C119"/>
    <mergeCell ref="E119:F119"/>
    <mergeCell ref="B120:C120"/>
    <mergeCell ref="E120:F120"/>
    <mergeCell ref="B128:C128"/>
    <mergeCell ref="E128:F128"/>
    <mergeCell ref="B129:C129"/>
    <mergeCell ref="E129:F129"/>
    <mergeCell ref="B130:C130"/>
    <mergeCell ref="E130:F130"/>
    <mergeCell ref="B152:C152"/>
    <mergeCell ref="E152:F152"/>
    <mergeCell ref="B153:C153"/>
    <mergeCell ref="E153:F153"/>
    <mergeCell ref="B145:C145"/>
    <mergeCell ref="B150:C150"/>
    <mergeCell ref="E150:F150"/>
    <mergeCell ref="B151:C151"/>
    <mergeCell ref="E151:F151"/>
    <mergeCell ref="B147:C147"/>
    <mergeCell ref="E147:F147"/>
    <mergeCell ref="A148:H148"/>
    <mergeCell ref="B149:C149"/>
    <mergeCell ref="B144:C144"/>
    <mergeCell ref="E144:F144"/>
    <mergeCell ref="E133:F133"/>
    <mergeCell ref="B134:C134"/>
    <mergeCell ref="E134:F134"/>
    <mergeCell ref="B154:C154"/>
    <mergeCell ref="E154:F154"/>
    <mergeCell ref="B155:C155"/>
    <mergeCell ref="E155:F155"/>
    <mergeCell ref="B156:C156"/>
    <mergeCell ref="E156:F156"/>
    <mergeCell ref="B157:C157"/>
    <mergeCell ref="E157:F157"/>
    <mergeCell ref="B158:C158"/>
    <mergeCell ref="E158:F158"/>
    <mergeCell ref="B159:C159"/>
    <mergeCell ref="E159:F159"/>
    <mergeCell ref="B160:C160"/>
    <mergeCell ref="E160:F160"/>
    <mergeCell ref="B161:C161"/>
    <mergeCell ref="E161:F161"/>
    <mergeCell ref="B162:C162"/>
    <mergeCell ref="E162:F162"/>
    <mergeCell ref="B163:C163"/>
    <mergeCell ref="E163:F163"/>
    <mergeCell ref="E172:F172"/>
    <mergeCell ref="E169:F169"/>
    <mergeCell ref="B170:C170"/>
    <mergeCell ref="B173:C173"/>
    <mergeCell ref="E173:F173"/>
    <mergeCell ref="B174:C174"/>
    <mergeCell ref="E174:F174"/>
    <mergeCell ref="E181:F181"/>
    <mergeCell ref="B182:C182"/>
    <mergeCell ref="E182:F182"/>
    <mergeCell ref="B169:C169"/>
    <mergeCell ref="E170:F170"/>
    <mergeCell ref="B171:C171"/>
    <mergeCell ref="E171:F171"/>
    <mergeCell ref="B172:C172"/>
    <mergeCell ref="B183:C183"/>
    <mergeCell ref="E183:F183"/>
    <mergeCell ref="B175:C175"/>
    <mergeCell ref="E175:F175"/>
    <mergeCell ref="B176:C176"/>
    <mergeCell ref="E176:F176"/>
    <mergeCell ref="B177:C177"/>
    <mergeCell ref="E177:F177"/>
    <mergeCell ref="B178:C178"/>
    <mergeCell ref="E178:F178"/>
    <mergeCell ref="B179:C179"/>
    <mergeCell ref="E179:F179"/>
    <mergeCell ref="A180:H180"/>
    <mergeCell ref="K196:L196"/>
    <mergeCell ref="B197:C197"/>
    <mergeCell ref="E197:F197"/>
    <mergeCell ref="B198:C198"/>
    <mergeCell ref="E198:F198"/>
    <mergeCell ref="B199:C199"/>
    <mergeCell ref="E199:F199"/>
    <mergeCell ref="B200:C200"/>
    <mergeCell ref="E200:F200"/>
    <mergeCell ref="B204:C204"/>
    <mergeCell ref="E204:F204"/>
    <mergeCell ref="B205:C205"/>
    <mergeCell ref="E205:F205"/>
    <mergeCell ref="B206:C206"/>
    <mergeCell ref="E206:F206"/>
    <mergeCell ref="B207:C207"/>
    <mergeCell ref="E207:F207"/>
    <mergeCell ref="B208:C208"/>
    <mergeCell ref="E208:F208"/>
    <mergeCell ref="B209:C209"/>
    <mergeCell ref="E209:F209"/>
    <mergeCell ref="B210:C210"/>
    <mergeCell ref="E210:F210"/>
    <mergeCell ref="B211:C211"/>
    <mergeCell ref="E211:F211"/>
    <mergeCell ref="E218:F218"/>
    <mergeCell ref="E220:F220"/>
    <mergeCell ref="B221:C221"/>
    <mergeCell ref="E221:F221"/>
    <mergeCell ref="B219:C219"/>
    <mergeCell ref="E219:F219"/>
    <mergeCell ref="B220:C220"/>
    <mergeCell ref="B238:C238"/>
    <mergeCell ref="E238:F238"/>
    <mergeCell ref="B239:C239"/>
    <mergeCell ref="E239:F239"/>
    <mergeCell ref="B222:C222"/>
    <mergeCell ref="E222:F222"/>
    <mergeCell ref="E229:F229"/>
    <mergeCell ref="B223:C223"/>
    <mergeCell ref="E223:F223"/>
    <mergeCell ref="B224:C224"/>
    <mergeCell ref="E224:F224"/>
    <mergeCell ref="B225:C225"/>
    <mergeCell ref="E225:F225"/>
    <mergeCell ref="B226:C226"/>
    <mergeCell ref="E226:F226"/>
    <mergeCell ref="B227:C227"/>
    <mergeCell ref="E227:F227"/>
    <mergeCell ref="A228:H228"/>
  </mergeCells>
  <conditionalFormatting sqref="A245 I245">
    <cfRule type="containsText" dxfId="190" priority="9" operator="containsText" text="متقاضی حداقل امتیاز لازم از این بند را کسب نکرده است!">
      <formula>NOT(ISERROR(SEARCH("متقاضی حداقل امتیاز لازم از این بند را کسب نکرده است!",A245)))</formula>
    </cfRule>
  </conditionalFormatting>
  <conditionalFormatting sqref="K5:K19 E5:I19 B5 D5">
    <cfRule type="containsBlanks" dxfId="189" priority="5">
      <formula>LEN(TRIM(B5))=0</formula>
    </cfRule>
  </conditionalFormatting>
  <conditionalFormatting sqref="K21:K35 K37:K51 K53:K67 K69:K83 K85:K99 K101:K115 K117:K131 K133:K147 K149:K163 K165:K179 K181:K195 K197:K211 K213:K227 K229:K243 E21:I35 E37:I51 E53:I67 E69:I83 E85:I99 E101:I115 E117:I131 E133:I147 E149:I163 E165:I179 E181:I195 E197:I211 E213:I227 E229:I243 B21 B37 B53 B69 B85 B101 B117 B133 B149 B165 B181 B197 B213 B229 D21 D37 D53 D69 D85 D101 D117 D133 D149 D165 D181 D197 D213 D229">
    <cfRule type="containsBlanks" dxfId="188" priority="4">
      <formula>LEN(TRIM(B21))=0</formula>
    </cfRule>
  </conditionalFormatting>
  <conditionalFormatting sqref="I245">
    <cfRule type="cellIs" dxfId="187" priority="2" operator="equal">
      <formula>0</formula>
    </cfRule>
  </conditionalFormatting>
  <dataValidations count="30">
    <dataValidation type="decimal" allowBlank="1" showInputMessage="1" showErrorMessage="1" error="لطفا یک عدد بزرگتر از صفر وارد نمایید." sqref="I5:I19 I213:I227 I21:I35 I37:I51 I53:I67 I69:I83 I85:I99 I101:I115 I117:I131 I133:I147 I149:I163 I165:I179 I181:I195 I197:I211 I229:I243">
      <formula1>0.1</formula1>
      <formula2>9</formula2>
    </dataValidation>
    <dataValidation type="list" allowBlank="1" showInputMessage="1" showErrorMessage="1" errorTitle="خطا در ورود اطلاعات" error="لطفا از موارد داخل لیست انتخاب فرمایید." sqref="C7:C19">
      <formula1>$V$41:$V$42</formula1>
    </dataValidation>
    <dataValidation type="list" allowBlank="1" showInputMessage="1" showErrorMessage="1" errorTitle="خطا در ورود اطلاعات" error="لطفا از موارد داخل لیست انتخاب فرمایید." sqref="B22:B35">
      <formula1>$V$41:$V$42</formula1>
    </dataValidation>
    <dataValidation type="list" allowBlank="1" showInputMessage="1" showErrorMessage="1" errorTitle="خطا در ورود اطلاعات" error="لطفا از موارد داخل لیست انتخاب فرمایید." sqref="B38:B51">
      <formula1>$V$41:$V$42</formula1>
    </dataValidation>
    <dataValidation type="list" allowBlank="1" showInputMessage="1" showErrorMessage="1" errorTitle="خطا در ورود اطلاعات" error="لطفا از موارد داخل لیست انتخاب فرمایید." sqref="B54:B67">
      <formula1>$V$41:$V$42</formula1>
    </dataValidation>
    <dataValidation type="list" allowBlank="1" showInputMessage="1" showErrorMessage="1" errorTitle="خطا در ورود اطلاعات" error="لطفا از موارد داخل لیست انتخاب فرمایید." sqref="B70:B83">
      <formula1>$V$41:$V$42</formula1>
    </dataValidation>
    <dataValidation type="list" allowBlank="1" showInputMessage="1" showErrorMessage="1" errorTitle="خطا در ورود اطلاعات" error="لطفا از موارد داخل لیست انتخاب فرمایید." sqref="B86:B99">
      <formula1>$V$41:$V$42</formula1>
    </dataValidation>
    <dataValidation type="list" allowBlank="1" showInputMessage="1" showErrorMessage="1" errorTitle="خطا در ورود اطلاعات" error="لطفا از موارد داخل لیست انتخاب فرمایید." sqref="B102:B115">
      <formula1>$V$41:$V$42</formula1>
    </dataValidation>
    <dataValidation type="list" allowBlank="1" showInputMessage="1" showErrorMessage="1" errorTitle="خطا در ورود اطلاعات" error="لطفا از موارد داخل لیست انتخاب فرمایید." sqref="B118:B131">
      <formula1>$V$41:$V$42</formula1>
    </dataValidation>
    <dataValidation type="list" allowBlank="1" showInputMessage="1" showErrorMessage="1" errorTitle="خطا در ورود اطلاعات" error="لطفا از موارد داخل لیست انتخاب فرمایید." sqref="B134:B147">
      <formula1>$V$41:$V$42</formula1>
    </dataValidation>
    <dataValidation type="list" allowBlank="1" showInputMessage="1" showErrorMessage="1" errorTitle="خطا در ورود اطلاعات" error="لطفا از موارد داخل لیست انتخاب فرمایید." sqref="B150:B163">
      <formula1>$V$41:$V$42</formula1>
    </dataValidation>
    <dataValidation type="list" allowBlank="1" showInputMessage="1" showErrorMessage="1" errorTitle="خطا در ورود اطلاعات" error="لطفا از موارد داخل لیست انتخاب فرمایید." sqref="B166:B179">
      <formula1>$V$41:$V$42</formula1>
    </dataValidation>
    <dataValidation type="list" allowBlank="1" showInputMessage="1" showErrorMessage="1" errorTitle="خطا در ورود اطلاعات" error="لطفا از موارد داخل لیست انتخاب فرمایید." sqref="B182:B195">
      <formula1>$V$41:$V$42</formula1>
    </dataValidation>
    <dataValidation type="list" allowBlank="1" showInputMessage="1" showErrorMessage="1" errorTitle="خطا در ورود اطلاعات" error="لطفا از موارد داخل لیست انتخاب فرمایید." sqref="B198:B211">
      <formula1>$V$41:$V$42</formula1>
    </dataValidation>
    <dataValidation type="list" allowBlank="1" showInputMessage="1" showErrorMessage="1" errorTitle="خطا در ورود اطلاعات" error="لطفا از موارد داخل لیست انتخاب فرمایید." sqref="B214:B227">
      <formula1>$V$41:$V$42</formula1>
    </dataValidation>
    <dataValidation type="list" allowBlank="1" showInputMessage="1" showErrorMessage="1" errorTitle="خطا در ورود اطلاعات" error="لطفا از موارد داخل لیست انتخاب فرمایید." sqref="B230:B243">
      <formula1>$V$41:$V$42</formula1>
    </dataValidation>
    <dataValidation type="list" allowBlank="1" showInputMessage="1" showErrorMessage="1" errorTitle="خطا در ورود اطلاعات" error="لطفا از موارد داخل لیست انتخاب فرمایید." sqref="C23:C35">
      <formula1>$V$41:$V$42</formula1>
    </dataValidation>
    <dataValidation type="list" allowBlank="1" showInputMessage="1" showErrorMessage="1" errorTitle="خطا در ورود اطلاعات" error="لطفا از موارد داخل لیست انتخاب فرمایید." sqref="C39:C51">
      <formula1>$V$41:$V$42</formula1>
    </dataValidation>
    <dataValidation type="list" allowBlank="1" showInputMessage="1" showErrorMessage="1" errorTitle="خطا در ورود اطلاعات" error="لطفا از موارد داخل لیست انتخاب فرمایید." sqref="C55:C67">
      <formula1>$V$41:$V$42</formula1>
    </dataValidation>
    <dataValidation type="list" allowBlank="1" showInputMessage="1" showErrorMessage="1" errorTitle="خطا در ورود اطلاعات" error="لطفا از موارد داخل لیست انتخاب فرمایید." sqref="C71:C83">
      <formula1>$V$41:$V$42</formula1>
    </dataValidation>
    <dataValidation type="list" allowBlank="1" showInputMessage="1" showErrorMessage="1" errorTitle="خطا در ورود اطلاعات" error="لطفا از موارد داخل لیست انتخاب فرمایید." sqref="C87:C99">
      <formula1>$V$41:$V$42</formula1>
    </dataValidation>
    <dataValidation type="list" allowBlank="1" showInputMessage="1" showErrorMessage="1" errorTitle="خطا در ورود اطلاعات" error="لطفا از موارد داخل لیست انتخاب فرمایید." sqref="C103:C115">
      <formula1>$V$41:$V$42</formula1>
    </dataValidation>
    <dataValidation type="list" allowBlank="1" showInputMessage="1" showErrorMessage="1" errorTitle="خطا در ورود اطلاعات" error="لطفا از موارد داخل لیست انتخاب فرمایید." sqref="C119:C131">
      <formula1>$V$41:$V$42</formula1>
    </dataValidation>
    <dataValidation type="list" allowBlank="1" showInputMessage="1" showErrorMessage="1" errorTitle="خطا در ورود اطلاعات" error="لطفا از موارد داخل لیست انتخاب فرمایید." sqref="C135:C147">
      <formula1>$V$41:$V$42</formula1>
    </dataValidation>
    <dataValidation type="list" allowBlank="1" showInputMessage="1" showErrorMessage="1" errorTitle="خطا در ورود اطلاعات" error="لطفا از موارد داخل لیست انتخاب فرمایید." sqref="C151:C163">
      <formula1>$V$41:$V$42</formula1>
    </dataValidation>
    <dataValidation type="list" allowBlank="1" showInputMessage="1" showErrorMessage="1" errorTitle="خطا در ورود اطلاعات" error="لطفا از موارد داخل لیست انتخاب فرمایید." sqref="C167:C179">
      <formula1>$V$41:$V$42</formula1>
    </dataValidation>
    <dataValidation type="list" allowBlank="1" showInputMessage="1" showErrorMessage="1" errorTitle="خطا در ورود اطلاعات" error="لطفا از موارد داخل لیست انتخاب فرمایید." sqref="C183:C195">
      <formula1>$V$41:$V$42</formula1>
    </dataValidation>
    <dataValidation type="list" allowBlank="1" showInputMessage="1" showErrorMessage="1" errorTitle="خطا در ورود اطلاعات" error="لطفا از موارد داخل لیست انتخاب فرمایید." sqref="C199:C211">
      <formula1>$V$41:$V$42</formula1>
    </dataValidation>
    <dataValidation type="list" allowBlank="1" showInputMessage="1" showErrorMessage="1" errorTitle="خطا در ورود اطلاعات" error="لطفا از موارد داخل لیست انتخاب فرمایید." sqref="C215:C227">
      <formula1>$V$41:$V$42</formula1>
    </dataValidation>
    <dataValidation type="list" allowBlank="1" showInputMessage="1" showErrorMessage="1" errorTitle="خطا در ورود اطلاعات" error="لطفا از موارد داخل لیست انتخاب فرمایید." sqref="C231:C243">
      <formula1>$V$41:$V$42</formula1>
    </dataValidation>
  </dataValidations>
  <pageMargins left="0" right="0.39370078740157499" top="0.78740157480314998"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7" operator="containsText" id="{2C579A64-6612-4215-97C3-2DD34E8DA6DB}">
            <xm:f>NOT(ISERROR(SEARCH('Data Base'!$K$18,A245)))</xm:f>
            <xm:f>'Data Base'!$K$18</xm:f>
            <x14:dxf>
              <font>
                <color rgb="FF9C0006"/>
              </font>
              <fill>
                <patternFill>
                  <bgColor rgb="FFFFC7CE"/>
                </patternFill>
              </fill>
            </x14:dxf>
          </x14:cfRule>
          <xm:sqref>A245 I245</xm:sqref>
        </x14:conditionalFormatting>
        <x14:conditionalFormatting xmlns:xm="http://schemas.microsoft.com/office/excel/2006/main">
          <x14:cfRule type="containsText" priority="1" operator="containsText" id="{72D7BDE8-3E92-42BD-80C0-8CBEBD530C83}">
            <xm:f>NOT(ISERROR(SEARCH($J$245,J245)))</xm:f>
            <xm:f>$J$245</xm:f>
            <x14:dxf>
              <fill>
                <patternFill>
                  <bgColor theme="0" tint="-0.14996795556505021"/>
                </patternFill>
              </fill>
            </x14:dxf>
          </x14:cfRule>
          <xm:sqref>J245:L245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داخل لیست انتخاب فرمایید." promptTitle="توجه:" prompt="کلاس فاقد تکرار:دروسی که در &quot;نیم سال مورد نظر&quot; فقط یک بار ارائه مي گردد. دروسي كه دو یا چند بار در یک ترم ارائه گردند،امتیاز براي اولين كلاس با ضريب 1 و براي كلاس تكراري با ضريب 0/5 و امتياز تدريس در دوره هاي مشترك بين المللي،تا 1/2 برابر محاسبه مي شود.">
          <x14:formula1>
            <xm:f>'Data Base'!$V$35:$V$38</xm:f>
          </x14:formula1>
          <xm:sqref>H5:H19 H21:H35 H37:H51 H53:H67 H69:H83 H85:H99 H101:H115 H117:H131 H133:H147 H149:H163 H165:H179 H181:H195 H197:H211 H213:H227 H229:H243</xm:sqref>
        </x14:dataValidation>
        <x14:dataValidation type="list" allowBlank="1" showInputMessage="1" showErrorMessage="1" errorTitle="خطا در ورود اطلاعات" error="لطفا از موارد داخل لیست انتخاب فرمایید.">
          <x14:formula1>
            <xm:f>'Data Base'!$V$41:$V$42</xm:f>
          </x14:formula1>
          <xm:sqref>B5:B19 B21 B37 B53 B69 B85 B101 B117 B133 B149 B165 B181 B197 B213 B229</xm:sqref>
        </x14:dataValidation>
        <x14:dataValidation type="list" allowBlank="1" showInputMessage="1" showErrorMessage="1" errorTitle="خطا در ورود اطلاعات" error="لطفا از موارد داخل لیست انتخاب فرمایید.">
          <x14:formula1>
            <xm:f>'Data Base'!$T$35:$T$37</xm:f>
          </x14:formula1>
          <xm:sqref>G5:G19 G21:G35 G37:G51 G53:G67 G69:G83 G85:G99 G101:G115 G117:G131 G133:G147 G149:G163 G165:G179 G181:G195 G197:G211 G213:G227 G229:G243</xm:sqref>
        </x14:dataValidation>
        <x14:dataValidation type="list" allowBlank="1" showInputMessage="1" showErrorMessage="1" errorTitle="خطا در ورود اطلاعات" error="لطفا از موارد ليست شده انتخاب نماييد">
          <x14:formula1>
            <xm:f>'Data Base'!$X$35:$X$37</xm:f>
          </x14:formula1>
          <xm:sqref>K5:K19 K21:K35 K37:K51 K53:K67 K69:K83 K85:K99 K101:K115 K117:K131 K133:K147 K149:K163 K165:K179 K181:K195 K197:K211 K213:K227 K229:K243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249977111117893"/>
  </sheetPr>
  <dimension ref="A1:CB63"/>
  <sheetViews>
    <sheetView showGridLines="0" rightToLeft="1" view="pageBreakPreview" zoomScaleNormal="100" zoomScaleSheetLayoutView="100" workbookViewId="0">
      <pane ySplit="5" topLeftCell="A6" activePane="bottomLeft" state="frozen"/>
      <selection pane="bottomLeft" activeCell="Q6" sqref="Q6"/>
    </sheetView>
  </sheetViews>
  <sheetFormatPr defaultColWidth="9.140625" defaultRowHeight="15"/>
  <cols>
    <col min="1" max="1" width="2.85546875" style="11" customWidth="1"/>
    <col min="2" max="2" width="3.7109375" style="11" customWidth="1"/>
    <col min="3" max="3" width="7.28515625" style="11" customWidth="1"/>
    <col min="4" max="4" width="5" style="11" customWidth="1"/>
    <col min="5" max="5" width="9.7109375" style="11" customWidth="1"/>
    <col min="6" max="6" width="6.140625" style="11" customWidth="1"/>
    <col min="7" max="7" width="8" style="11" customWidth="1"/>
    <col min="8" max="9" width="6.5703125" style="11" customWidth="1"/>
    <col min="10" max="12" width="4.42578125" style="11" customWidth="1"/>
    <col min="13" max="17" width="6.140625" style="11" customWidth="1"/>
    <col min="18" max="20" width="5.42578125" style="11" customWidth="1"/>
    <col min="21" max="21" width="8.85546875" style="11" customWidth="1"/>
    <col min="22" max="16384" width="9.140625" style="11"/>
  </cols>
  <sheetData>
    <row r="1" spans="1:80" ht="15" customHeight="1">
      <c r="A1" s="1109" t="s">
        <v>626</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174" t="s">
        <v>786</v>
      </c>
      <c r="B3" s="1174"/>
      <c r="C3" s="1118"/>
      <c r="D3" s="1118"/>
      <c r="E3" s="1118"/>
      <c r="F3" s="1118"/>
      <c r="G3" s="1118"/>
      <c r="H3" s="1118"/>
      <c r="I3" s="1118"/>
      <c r="J3" s="1118"/>
      <c r="K3" s="1118"/>
      <c r="L3" s="1118"/>
      <c r="M3" s="1118"/>
      <c r="N3" s="1118"/>
      <c r="O3" s="1118"/>
      <c r="P3" s="1118"/>
      <c r="Q3" s="1118"/>
      <c r="R3" s="1118"/>
      <c r="S3" s="1119" t="s">
        <v>665</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403" t="s">
        <v>514</v>
      </c>
      <c r="C4" s="1123"/>
      <c r="D4" s="1123"/>
      <c r="E4" s="1123"/>
      <c r="F4" s="1123"/>
      <c r="G4" s="1124"/>
      <c r="H4" s="1226" t="s">
        <v>458</v>
      </c>
      <c r="I4" s="1392"/>
      <c r="J4" s="1122" t="s">
        <v>667</v>
      </c>
      <c r="K4" s="1130"/>
      <c r="L4" s="1136"/>
      <c r="M4" s="1122" t="s">
        <v>354</v>
      </c>
      <c r="N4" s="1130"/>
      <c r="O4" s="1130"/>
      <c r="P4" s="1136"/>
      <c r="Q4" s="1128" t="s">
        <v>668</v>
      </c>
      <c r="R4" s="1268" t="s">
        <v>13</v>
      </c>
      <c r="S4" s="1268"/>
      <c r="T4" s="1268"/>
      <c r="U4" s="1401" t="s">
        <v>14</v>
      </c>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9.25" customHeight="1" thickBot="1">
      <c r="A5" s="1121"/>
      <c r="B5" s="1125"/>
      <c r="C5" s="1126"/>
      <c r="D5" s="1126"/>
      <c r="E5" s="1126"/>
      <c r="F5" s="1126"/>
      <c r="G5" s="1127"/>
      <c r="H5" s="172" t="s">
        <v>669</v>
      </c>
      <c r="I5" s="172" t="s">
        <v>666</v>
      </c>
      <c r="J5" s="1131"/>
      <c r="K5" s="1132"/>
      <c r="L5" s="1137"/>
      <c r="M5" s="1131"/>
      <c r="N5" s="1132"/>
      <c r="O5" s="1132"/>
      <c r="P5" s="1137"/>
      <c r="Q5" s="1129"/>
      <c r="R5" s="15" t="s">
        <v>17</v>
      </c>
      <c r="S5" s="15" t="s">
        <v>349</v>
      </c>
      <c r="T5" s="15" t="s">
        <v>18</v>
      </c>
      <c r="U5" s="1402"/>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0" customHeight="1">
      <c r="A6" s="14">
        <v>1</v>
      </c>
      <c r="B6" s="1404"/>
      <c r="C6" s="1404"/>
      <c r="D6" s="1404"/>
      <c r="E6" s="1404"/>
      <c r="F6" s="1404"/>
      <c r="G6" s="1404"/>
      <c r="H6" s="120"/>
      <c r="I6" s="120"/>
      <c r="J6" s="1405"/>
      <c r="K6" s="1406"/>
      <c r="L6" s="1407"/>
      <c r="M6" s="1408"/>
      <c r="N6" s="1409"/>
      <c r="O6" s="1409"/>
      <c r="P6" s="1410"/>
      <c r="Q6" s="171"/>
      <c r="R6" s="173">
        <f>Q6*0.3</f>
        <v>0</v>
      </c>
      <c r="S6" s="175"/>
      <c r="T6" s="13"/>
      <c r="U6" s="143"/>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0" customHeight="1">
      <c r="A7" s="12">
        <v>2</v>
      </c>
      <c r="B7" s="1157"/>
      <c r="C7" s="1157"/>
      <c r="D7" s="1157"/>
      <c r="E7" s="1157"/>
      <c r="F7" s="1157"/>
      <c r="G7" s="1157"/>
      <c r="H7" s="56"/>
      <c r="I7" s="56"/>
      <c r="J7" s="1384"/>
      <c r="K7" s="1385"/>
      <c r="L7" s="1386"/>
      <c r="M7" s="1387"/>
      <c r="N7" s="1388"/>
      <c r="O7" s="1388"/>
      <c r="P7" s="1389"/>
      <c r="Q7" s="60"/>
      <c r="R7" s="174">
        <f t="shared" ref="R7:R45" si="0">Q7*0.3</f>
        <v>0</v>
      </c>
      <c r="S7" s="34"/>
      <c r="T7" s="145"/>
      <c r="U7" s="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 customHeight="1">
      <c r="A8" s="12">
        <v>3</v>
      </c>
      <c r="B8" s="1157"/>
      <c r="C8" s="1157"/>
      <c r="D8" s="1157"/>
      <c r="E8" s="1157"/>
      <c r="F8" s="1157"/>
      <c r="G8" s="1157"/>
      <c r="H8" s="56"/>
      <c r="I8" s="56"/>
      <c r="J8" s="1384"/>
      <c r="K8" s="1385"/>
      <c r="L8" s="1386"/>
      <c r="M8" s="1387"/>
      <c r="N8" s="1388"/>
      <c r="O8" s="1388"/>
      <c r="P8" s="1389"/>
      <c r="Q8" s="60"/>
      <c r="R8" s="174">
        <f t="shared" si="0"/>
        <v>0</v>
      </c>
      <c r="S8" s="34"/>
      <c r="T8" s="145"/>
      <c r="U8" s="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 customHeight="1">
      <c r="A9" s="12">
        <v>4</v>
      </c>
      <c r="B9" s="1157"/>
      <c r="C9" s="1157"/>
      <c r="D9" s="1157"/>
      <c r="E9" s="1157"/>
      <c r="F9" s="1157"/>
      <c r="G9" s="1157"/>
      <c r="H9" s="56"/>
      <c r="I9" s="56"/>
      <c r="J9" s="1384"/>
      <c r="K9" s="1385"/>
      <c r="L9" s="1386"/>
      <c r="M9" s="1387"/>
      <c r="N9" s="1388"/>
      <c r="O9" s="1388"/>
      <c r="P9" s="1389"/>
      <c r="Q9" s="60"/>
      <c r="R9" s="174">
        <f t="shared" si="0"/>
        <v>0</v>
      </c>
      <c r="S9" s="34"/>
      <c r="T9" s="145"/>
      <c r="U9" s="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 customHeight="1">
      <c r="A10" s="12">
        <v>5</v>
      </c>
      <c r="B10" s="1157"/>
      <c r="C10" s="1157"/>
      <c r="D10" s="1157"/>
      <c r="E10" s="1157"/>
      <c r="F10" s="1157"/>
      <c r="G10" s="1157"/>
      <c r="H10" s="56"/>
      <c r="I10" s="56"/>
      <c r="J10" s="1384"/>
      <c r="K10" s="1385"/>
      <c r="L10" s="1386"/>
      <c r="M10" s="1387"/>
      <c r="N10" s="1388"/>
      <c r="O10" s="1388"/>
      <c r="P10" s="1389"/>
      <c r="Q10" s="60"/>
      <c r="R10" s="174">
        <f t="shared" si="0"/>
        <v>0</v>
      </c>
      <c r="S10" s="34"/>
      <c r="T10" s="145"/>
      <c r="U10" s="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 customHeight="1">
      <c r="A11" s="12">
        <v>6</v>
      </c>
      <c r="B11" s="1157"/>
      <c r="C11" s="1157"/>
      <c r="D11" s="1157"/>
      <c r="E11" s="1157"/>
      <c r="F11" s="1157"/>
      <c r="G11" s="1157"/>
      <c r="H11" s="56"/>
      <c r="I11" s="56"/>
      <c r="J11" s="1384"/>
      <c r="K11" s="1385"/>
      <c r="L11" s="1386"/>
      <c r="M11" s="1387"/>
      <c r="N11" s="1388"/>
      <c r="O11" s="1388"/>
      <c r="P11" s="1389"/>
      <c r="Q11" s="60"/>
      <c r="R11" s="174">
        <f t="shared" si="0"/>
        <v>0</v>
      </c>
      <c r="S11" s="34"/>
      <c r="T11" s="145"/>
      <c r="U11" s="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 customHeight="1">
      <c r="A12" s="12">
        <v>7</v>
      </c>
      <c r="B12" s="1157"/>
      <c r="C12" s="1157"/>
      <c r="D12" s="1157"/>
      <c r="E12" s="1157"/>
      <c r="F12" s="1157"/>
      <c r="G12" s="1157"/>
      <c r="H12" s="56"/>
      <c r="I12" s="56"/>
      <c r="J12" s="1384"/>
      <c r="K12" s="1385"/>
      <c r="L12" s="1386"/>
      <c r="M12" s="1387"/>
      <c r="N12" s="1388"/>
      <c r="O12" s="1388"/>
      <c r="P12" s="1389"/>
      <c r="Q12" s="60"/>
      <c r="R12" s="174">
        <f t="shared" si="0"/>
        <v>0</v>
      </c>
      <c r="S12" s="34"/>
      <c r="T12" s="145"/>
      <c r="U12" s="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 customHeight="1">
      <c r="A13" s="12">
        <v>8</v>
      </c>
      <c r="B13" s="1157"/>
      <c r="C13" s="1157"/>
      <c r="D13" s="1157"/>
      <c r="E13" s="1157"/>
      <c r="F13" s="1157"/>
      <c r="G13" s="1157"/>
      <c r="H13" s="56"/>
      <c r="I13" s="56"/>
      <c r="J13" s="1384"/>
      <c r="K13" s="1385"/>
      <c r="L13" s="1386"/>
      <c r="M13" s="1387"/>
      <c r="N13" s="1388"/>
      <c r="O13" s="1388"/>
      <c r="P13" s="1389"/>
      <c r="Q13" s="60"/>
      <c r="R13" s="174">
        <f t="shared" si="0"/>
        <v>0</v>
      </c>
      <c r="S13" s="34"/>
      <c r="T13" s="145"/>
      <c r="U13" s="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 customHeight="1">
      <c r="A14" s="12">
        <v>9</v>
      </c>
      <c r="B14" s="1157"/>
      <c r="C14" s="1157"/>
      <c r="D14" s="1157"/>
      <c r="E14" s="1157"/>
      <c r="F14" s="1157"/>
      <c r="G14" s="1157"/>
      <c r="H14" s="56"/>
      <c r="I14" s="56"/>
      <c r="J14" s="1384"/>
      <c r="K14" s="1385"/>
      <c r="L14" s="1386"/>
      <c r="M14" s="1387"/>
      <c r="N14" s="1388"/>
      <c r="O14" s="1388"/>
      <c r="P14" s="1389"/>
      <c r="Q14" s="60"/>
      <c r="R14" s="174">
        <f t="shared" si="0"/>
        <v>0</v>
      </c>
      <c r="S14" s="34"/>
      <c r="T14" s="145"/>
      <c r="U14" s="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 customHeight="1">
      <c r="A15" s="45">
        <v>10</v>
      </c>
      <c r="B15" s="1157"/>
      <c r="C15" s="1157"/>
      <c r="D15" s="1157"/>
      <c r="E15" s="1157"/>
      <c r="F15" s="1157"/>
      <c r="G15" s="1157"/>
      <c r="H15" s="56"/>
      <c r="I15" s="56"/>
      <c r="J15" s="1384"/>
      <c r="K15" s="1385"/>
      <c r="L15" s="1386"/>
      <c r="M15" s="1387"/>
      <c r="N15" s="1388"/>
      <c r="O15" s="1388"/>
      <c r="P15" s="1389"/>
      <c r="Q15" s="60"/>
      <c r="R15" s="174">
        <f t="shared" si="0"/>
        <v>0</v>
      </c>
      <c r="S15" s="176"/>
      <c r="T15" s="147"/>
      <c r="U15" s="14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0" customHeight="1">
      <c r="A16" s="12">
        <v>11</v>
      </c>
      <c r="B16" s="1157"/>
      <c r="C16" s="1157"/>
      <c r="D16" s="1157"/>
      <c r="E16" s="1157"/>
      <c r="F16" s="1157"/>
      <c r="G16" s="1157"/>
      <c r="H16" s="56"/>
      <c r="I16" s="56"/>
      <c r="J16" s="1384"/>
      <c r="K16" s="1385"/>
      <c r="L16" s="1386"/>
      <c r="M16" s="1387"/>
      <c r="N16" s="1388"/>
      <c r="O16" s="1388"/>
      <c r="P16" s="1389"/>
      <c r="Q16" s="60"/>
      <c r="R16" s="174">
        <f t="shared" si="0"/>
        <v>0</v>
      </c>
      <c r="S16" s="34"/>
      <c r="T16" s="145"/>
      <c r="U16" s="14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0" customHeight="1">
      <c r="A17" s="12">
        <v>12</v>
      </c>
      <c r="B17" s="1157"/>
      <c r="C17" s="1157"/>
      <c r="D17" s="1157"/>
      <c r="E17" s="1157"/>
      <c r="F17" s="1157"/>
      <c r="G17" s="1157"/>
      <c r="H17" s="56"/>
      <c r="I17" s="56"/>
      <c r="J17" s="1384"/>
      <c r="K17" s="1385"/>
      <c r="L17" s="1386"/>
      <c r="M17" s="1387"/>
      <c r="N17" s="1388"/>
      <c r="O17" s="1388"/>
      <c r="P17" s="1389"/>
      <c r="Q17" s="60"/>
      <c r="R17" s="174">
        <f t="shared" si="0"/>
        <v>0</v>
      </c>
      <c r="S17" s="34"/>
      <c r="T17" s="145"/>
      <c r="U17" s="14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0" customHeight="1">
      <c r="A18" s="45">
        <v>13</v>
      </c>
      <c r="B18" s="1157"/>
      <c r="C18" s="1157"/>
      <c r="D18" s="1157"/>
      <c r="E18" s="1157"/>
      <c r="F18" s="1157"/>
      <c r="G18" s="1157"/>
      <c r="H18" s="56"/>
      <c r="I18" s="56"/>
      <c r="J18" s="1384"/>
      <c r="K18" s="1385"/>
      <c r="L18" s="1386"/>
      <c r="M18" s="1387"/>
      <c r="N18" s="1388"/>
      <c r="O18" s="1388"/>
      <c r="P18" s="1389"/>
      <c r="Q18" s="60"/>
      <c r="R18" s="174">
        <f t="shared" si="0"/>
        <v>0</v>
      </c>
      <c r="S18" s="34"/>
      <c r="T18" s="145"/>
      <c r="U18" s="14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0" customHeight="1">
      <c r="A19" s="12">
        <v>14</v>
      </c>
      <c r="B19" s="1157"/>
      <c r="C19" s="1157"/>
      <c r="D19" s="1157"/>
      <c r="E19" s="1157"/>
      <c r="F19" s="1157"/>
      <c r="G19" s="1157"/>
      <c r="H19" s="56"/>
      <c r="I19" s="56"/>
      <c r="J19" s="1384"/>
      <c r="K19" s="1385"/>
      <c r="L19" s="1386"/>
      <c r="M19" s="1387"/>
      <c r="N19" s="1388"/>
      <c r="O19" s="1388"/>
      <c r="P19" s="1389"/>
      <c r="Q19" s="60"/>
      <c r="R19" s="174">
        <f t="shared" si="0"/>
        <v>0</v>
      </c>
      <c r="S19" s="34"/>
      <c r="T19" s="145"/>
      <c r="U19" s="14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0" customHeight="1">
      <c r="A20" s="12">
        <v>15</v>
      </c>
      <c r="B20" s="1157"/>
      <c r="C20" s="1157"/>
      <c r="D20" s="1157"/>
      <c r="E20" s="1157"/>
      <c r="F20" s="1157"/>
      <c r="G20" s="1157"/>
      <c r="H20" s="56"/>
      <c r="I20" s="56"/>
      <c r="J20" s="1384"/>
      <c r="K20" s="1385"/>
      <c r="L20" s="1386"/>
      <c r="M20" s="1387"/>
      <c r="N20" s="1388"/>
      <c r="O20" s="1388"/>
      <c r="P20" s="1389"/>
      <c r="Q20" s="60"/>
      <c r="R20" s="174">
        <f t="shared" si="0"/>
        <v>0</v>
      </c>
      <c r="S20" s="34"/>
      <c r="T20" s="145"/>
      <c r="U20" s="14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0" customHeight="1">
      <c r="A21" s="45">
        <v>16</v>
      </c>
      <c r="B21" s="1157"/>
      <c r="C21" s="1157"/>
      <c r="D21" s="1157"/>
      <c r="E21" s="1157"/>
      <c r="F21" s="1157"/>
      <c r="G21" s="1157"/>
      <c r="H21" s="56"/>
      <c r="I21" s="56"/>
      <c r="J21" s="1384"/>
      <c r="K21" s="1385"/>
      <c r="L21" s="1386"/>
      <c r="M21" s="1387"/>
      <c r="N21" s="1388"/>
      <c r="O21" s="1388"/>
      <c r="P21" s="1389"/>
      <c r="Q21" s="60"/>
      <c r="R21" s="174">
        <f t="shared" si="0"/>
        <v>0</v>
      </c>
      <c r="S21" s="34"/>
      <c r="T21" s="145"/>
      <c r="U21" s="14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0" customHeight="1">
      <c r="A22" s="12">
        <v>17</v>
      </c>
      <c r="B22" s="1157"/>
      <c r="C22" s="1157"/>
      <c r="D22" s="1157"/>
      <c r="E22" s="1157"/>
      <c r="F22" s="1157"/>
      <c r="G22" s="1157"/>
      <c r="H22" s="56"/>
      <c r="I22" s="56"/>
      <c r="J22" s="1384"/>
      <c r="K22" s="1385"/>
      <c r="L22" s="1386"/>
      <c r="M22" s="1387"/>
      <c r="N22" s="1388"/>
      <c r="O22" s="1388"/>
      <c r="P22" s="1389"/>
      <c r="Q22" s="60"/>
      <c r="R22" s="174">
        <f t="shared" si="0"/>
        <v>0</v>
      </c>
      <c r="S22" s="34"/>
      <c r="T22" s="145"/>
      <c r="U22" s="14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0" customHeight="1">
      <c r="A23" s="12">
        <v>18</v>
      </c>
      <c r="B23" s="1157"/>
      <c r="C23" s="1157"/>
      <c r="D23" s="1157"/>
      <c r="E23" s="1157"/>
      <c r="F23" s="1157"/>
      <c r="G23" s="1157"/>
      <c r="H23" s="56"/>
      <c r="I23" s="56"/>
      <c r="J23" s="1384"/>
      <c r="K23" s="1385"/>
      <c r="L23" s="1386"/>
      <c r="M23" s="1387"/>
      <c r="N23" s="1388"/>
      <c r="O23" s="1388"/>
      <c r="P23" s="1389"/>
      <c r="Q23" s="60"/>
      <c r="R23" s="174">
        <f t="shared" si="0"/>
        <v>0</v>
      </c>
      <c r="S23" s="34"/>
      <c r="T23" s="145"/>
      <c r="U23" s="14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30" customHeight="1">
      <c r="A24" s="45">
        <v>19</v>
      </c>
      <c r="B24" s="1157"/>
      <c r="C24" s="1157"/>
      <c r="D24" s="1157"/>
      <c r="E24" s="1157"/>
      <c r="F24" s="1157"/>
      <c r="G24" s="1157"/>
      <c r="H24" s="56"/>
      <c r="I24" s="56"/>
      <c r="J24" s="1384"/>
      <c r="K24" s="1385"/>
      <c r="L24" s="1386"/>
      <c r="M24" s="1387"/>
      <c r="N24" s="1388"/>
      <c r="O24" s="1388"/>
      <c r="P24" s="1389"/>
      <c r="Q24" s="60"/>
      <c r="R24" s="174">
        <f t="shared" si="0"/>
        <v>0</v>
      </c>
      <c r="S24" s="34"/>
      <c r="T24" s="145"/>
      <c r="U24" s="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0" customHeight="1">
      <c r="A25" s="12">
        <v>20</v>
      </c>
      <c r="B25" s="1157"/>
      <c r="C25" s="1157"/>
      <c r="D25" s="1157"/>
      <c r="E25" s="1157"/>
      <c r="F25" s="1157"/>
      <c r="G25" s="1157"/>
      <c r="H25" s="56"/>
      <c r="I25" s="56"/>
      <c r="J25" s="1384"/>
      <c r="K25" s="1385"/>
      <c r="L25" s="1386"/>
      <c r="M25" s="1387"/>
      <c r="N25" s="1388"/>
      <c r="O25" s="1388"/>
      <c r="P25" s="1389"/>
      <c r="Q25" s="60"/>
      <c r="R25" s="174">
        <f t="shared" si="0"/>
        <v>0</v>
      </c>
      <c r="S25" s="176"/>
      <c r="T25" s="147"/>
      <c r="U25" s="14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0" customHeight="1">
      <c r="A26" s="12">
        <v>21</v>
      </c>
      <c r="B26" s="1157"/>
      <c r="C26" s="1157"/>
      <c r="D26" s="1157"/>
      <c r="E26" s="1157"/>
      <c r="F26" s="1157"/>
      <c r="G26" s="1157"/>
      <c r="H26" s="56"/>
      <c r="I26" s="56"/>
      <c r="J26" s="1384"/>
      <c r="K26" s="1385"/>
      <c r="L26" s="1386"/>
      <c r="M26" s="1387"/>
      <c r="N26" s="1388"/>
      <c r="O26" s="1388"/>
      <c r="P26" s="1389"/>
      <c r="Q26" s="60"/>
      <c r="R26" s="174">
        <f t="shared" si="0"/>
        <v>0</v>
      </c>
      <c r="S26" s="34"/>
      <c r="T26" s="145"/>
      <c r="U26" s="144"/>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0" customHeight="1">
      <c r="A27" s="45">
        <v>22</v>
      </c>
      <c r="B27" s="1157"/>
      <c r="C27" s="1157"/>
      <c r="D27" s="1157"/>
      <c r="E27" s="1157"/>
      <c r="F27" s="1157"/>
      <c r="G27" s="1157"/>
      <c r="H27" s="56"/>
      <c r="I27" s="56"/>
      <c r="J27" s="1384"/>
      <c r="K27" s="1385"/>
      <c r="L27" s="1386"/>
      <c r="M27" s="1387"/>
      <c r="N27" s="1388"/>
      <c r="O27" s="1388"/>
      <c r="P27" s="1389"/>
      <c r="Q27" s="60"/>
      <c r="R27" s="174">
        <f t="shared" si="0"/>
        <v>0</v>
      </c>
      <c r="S27" s="34"/>
      <c r="T27" s="145"/>
      <c r="U27" s="144"/>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0" customHeight="1">
      <c r="A28" s="12">
        <v>23</v>
      </c>
      <c r="B28" s="1157"/>
      <c r="C28" s="1157"/>
      <c r="D28" s="1157"/>
      <c r="E28" s="1157"/>
      <c r="F28" s="1157"/>
      <c r="G28" s="1157"/>
      <c r="H28" s="56"/>
      <c r="I28" s="56"/>
      <c r="J28" s="1384"/>
      <c r="K28" s="1385"/>
      <c r="L28" s="1386"/>
      <c r="M28" s="1387"/>
      <c r="N28" s="1388"/>
      <c r="O28" s="1388"/>
      <c r="P28" s="1389"/>
      <c r="Q28" s="60"/>
      <c r="R28" s="174">
        <f t="shared" si="0"/>
        <v>0</v>
      </c>
      <c r="S28" s="34"/>
      <c r="T28" s="145"/>
      <c r="U28" s="14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0" customHeight="1">
      <c r="A29" s="12">
        <v>24</v>
      </c>
      <c r="B29" s="1157"/>
      <c r="C29" s="1157"/>
      <c r="D29" s="1157"/>
      <c r="E29" s="1157"/>
      <c r="F29" s="1157"/>
      <c r="G29" s="1157"/>
      <c r="H29" s="56"/>
      <c r="I29" s="56"/>
      <c r="J29" s="1384"/>
      <c r="K29" s="1385"/>
      <c r="L29" s="1386"/>
      <c r="M29" s="1387"/>
      <c r="N29" s="1388"/>
      <c r="O29" s="1388"/>
      <c r="P29" s="1389"/>
      <c r="Q29" s="60"/>
      <c r="R29" s="174">
        <f t="shared" si="0"/>
        <v>0</v>
      </c>
      <c r="S29" s="34"/>
      <c r="T29" s="145"/>
      <c r="U29" s="144"/>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30" customHeight="1">
      <c r="A30" s="45">
        <v>25</v>
      </c>
      <c r="B30" s="1157"/>
      <c r="C30" s="1157"/>
      <c r="D30" s="1157"/>
      <c r="E30" s="1157"/>
      <c r="F30" s="1157"/>
      <c r="G30" s="1157"/>
      <c r="H30" s="56"/>
      <c r="I30" s="56"/>
      <c r="J30" s="1384"/>
      <c r="K30" s="1385"/>
      <c r="L30" s="1386"/>
      <c r="M30" s="1387"/>
      <c r="N30" s="1388"/>
      <c r="O30" s="1388"/>
      <c r="P30" s="1389"/>
      <c r="Q30" s="60"/>
      <c r="R30" s="174">
        <f t="shared" si="0"/>
        <v>0</v>
      </c>
      <c r="S30" s="34"/>
      <c r="T30" s="145"/>
      <c r="U30" s="144"/>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30" customHeight="1">
      <c r="A31" s="12">
        <v>26</v>
      </c>
      <c r="B31" s="1157"/>
      <c r="C31" s="1157"/>
      <c r="D31" s="1157"/>
      <c r="E31" s="1157"/>
      <c r="F31" s="1157"/>
      <c r="G31" s="1157"/>
      <c r="H31" s="56"/>
      <c r="I31" s="56"/>
      <c r="J31" s="1384"/>
      <c r="K31" s="1385"/>
      <c r="L31" s="1386"/>
      <c r="M31" s="1387"/>
      <c r="N31" s="1388"/>
      <c r="O31" s="1388"/>
      <c r="P31" s="1389"/>
      <c r="Q31" s="60"/>
      <c r="R31" s="174">
        <f t="shared" si="0"/>
        <v>0</v>
      </c>
      <c r="S31" s="34"/>
      <c r="T31" s="145"/>
      <c r="U31" s="144"/>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30" customHeight="1">
      <c r="A32" s="12">
        <v>27</v>
      </c>
      <c r="B32" s="1157"/>
      <c r="C32" s="1157"/>
      <c r="D32" s="1157"/>
      <c r="E32" s="1157"/>
      <c r="F32" s="1157"/>
      <c r="G32" s="1157"/>
      <c r="H32" s="56"/>
      <c r="I32" s="56"/>
      <c r="J32" s="1384"/>
      <c r="K32" s="1385"/>
      <c r="L32" s="1386"/>
      <c r="M32" s="1387"/>
      <c r="N32" s="1388"/>
      <c r="O32" s="1388"/>
      <c r="P32" s="1389"/>
      <c r="Q32" s="60"/>
      <c r="R32" s="174">
        <f t="shared" si="0"/>
        <v>0</v>
      </c>
      <c r="S32" s="34"/>
      <c r="T32" s="145"/>
      <c r="U32" s="144"/>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1:80" ht="30" customHeight="1">
      <c r="A33" s="45">
        <v>28</v>
      </c>
      <c r="B33" s="1157"/>
      <c r="C33" s="1157"/>
      <c r="D33" s="1157"/>
      <c r="E33" s="1157"/>
      <c r="F33" s="1157"/>
      <c r="G33" s="1157"/>
      <c r="H33" s="56"/>
      <c r="I33" s="56"/>
      <c r="J33" s="1384"/>
      <c r="K33" s="1385"/>
      <c r="L33" s="1386"/>
      <c r="M33" s="1387"/>
      <c r="N33" s="1388"/>
      <c r="O33" s="1388"/>
      <c r="P33" s="1389"/>
      <c r="Q33" s="60"/>
      <c r="R33" s="174">
        <f t="shared" si="0"/>
        <v>0</v>
      </c>
      <c r="S33" s="34"/>
      <c r="T33" s="145"/>
      <c r="U33" s="144"/>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1:80" ht="30" customHeight="1">
      <c r="A34" s="12">
        <v>29</v>
      </c>
      <c r="B34" s="1157"/>
      <c r="C34" s="1157"/>
      <c r="D34" s="1157"/>
      <c r="E34" s="1157"/>
      <c r="F34" s="1157"/>
      <c r="G34" s="1157"/>
      <c r="H34" s="56"/>
      <c r="I34" s="56"/>
      <c r="J34" s="1384"/>
      <c r="K34" s="1385"/>
      <c r="L34" s="1386"/>
      <c r="M34" s="1387"/>
      <c r="N34" s="1388"/>
      <c r="O34" s="1388"/>
      <c r="P34" s="1389"/>
      <c r="Q34" s="60"/>
      <c r="R34" s="174">
        <f t="shared" si="0"/>
        <v>0</v>
      </c>
      <c r="S34" s="34"/>
      <c r="T34" s="145"/>
      <c r="U34" s="144"/>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1:80" ht="30" customHeight="1">
      <c r="A35" s="12">
        <v>30</v>
      </c>
      <c r="B35" s="1157"/>
      <c r="C35" s="1157"/>
      <c r="D35" s="1157"/>
      <c r="E35" s="1157"/>
      <c r="F35" s="1157"/>
      <c r="G35" s="1157"/>
      <c r="H35" s="56"/>
      <c r="I35" s="56"/>
      <c r="J35" s="1384"/>
      <c r="K35" s="1385"/>
      <c r="L35" s="1386"/>
      <c r="M35" s="1387"/>
      <c r="N35" s="1388"/>
      <c r="O35" s="1388"/>
      <c r="P35" s="1389"/>
      <c r="Q35" s="60"/>
      <c r="R35" s="174">
        <f t="shared" si="0"/>
        <v>0</v>
      </c>
      <c r="S35" s="176"/>
      <c r="T35" s="147"/>
      <c r="U35" s="146"/>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1:80" ht="30" customHeight="1">
      <c r="A36" s="45">
        <v>31</v>
      </c>
      <c r="B36" s="1157"/>
      <c r="C36" s="1157"/>
      <c r="D36" s="1157"/>
      <c r="E36" s="1157"/>
      <c r="F36" s="1157"/>
      <c r="G36" s="1157"/>
      <c r="H36" s="56"/>
      <c r="I36" s="56"/>
      <c r="J36" s="1384"/>
      <c r="K36" s="1385"/>
      <c r="L36" s="1386"/>
      <c r="M36" s="1387"/>
      <c r="N36" s="1388"/>
      <c r="O36" s="1388"/>
      <c r="P36" s="1389"/>
      <c r="Q36" s="60"/>
      <c r="R36" s="174">
        <f t="shared" si="0"/>
        <v>0</v>
      </c>
      <c r="S36" s="34"/>
      <c r="T36" s="145"/>
      <c r="U36" s="144"/>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1:80" ht="30" customHeight="1">
      <c r="A37" s="12">
        <v>32</v>
      </c>
      <c r="B37" s="1157"/>
      <c r="C37" s="1157"/>
      <c r="D37" s="1157"/>
      <c r="E37" s="1157"/>
      <c r="F37" s="1157"/>
      <c r="G37" s="1157"/>
      <c r="H37" s="56"/>
      <c r="I37" s="56"/>
      <c r="J37" s="1384"/>
      <c r="K37" s="1385"/>
      <c r="L37" s="1386"/>
      <c r="M37" s="1387"/>
      <c r="N37" s="1388"/>
      <c r="O37" s="1388"/>
      <c r="P37" s="1389"/>
      <c r="Q37" s="60"/>
      <c r="R37" s="174">
        <f t="shared" si="0"/>
        <v>0</v>
      </c>
      <c r="S37" s="34"/>
      <c r="T37" s="145"/>
      <c r="U37" s="144"/>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1:80" ht="30" customHeight="1">
      <c r="A38" s="12">
        <v>33</v>
      </c>
      <c r="B38" s="1157"/>
      <c r="C38" s="1157"/>
      <c r="D38" s="1157"/>
      <c r="E38" s="1157"/>
      <c r="F38" s="1157"/>
      <c r="G38" s="1157"/>
      <c r="H38" s="56"/>
      <c r="I38" s="56"/>
      <c r="J38" s="1384"/>
      <c r="K38" s="1385"/>
      <c r="L38" s="1386"/>
      <c r="M38" s="1387"/>
      <c r="N38" s="1388"/>
      <c r="O38" s="1388"/>
      <c r="P38" s="1389"/>
      <c r="Q38" s="60"/>
      <c r="R38" s="174">
        <f t="shared" si="0"/>
        <v>0</v>
      </c>
      <c r="S38" s="34"/>
      <c r="T38" s="145"/>
      <c r="U38" s="144"/>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1:80" ht="30" customHeight="1">
      <c r="A39" s="45">
        <v>34</v>
      </c>
      <c r="B39" s="1157"/>
      <c r="C39" s="1157"/>
      <c r="D39" s="1157"/>
      <c r="E39" s="1157"/>
      <c r="F39" s="1157"/>
      <c r="G39" s="1157"/>
      <c r="H39" s="56"/>
      <c r="I39" s="56"/>
      <c r="J39" s="1384"/>
      <c r="K39" s="1385"/>
      <c r="L39" s="1386"/>
      <c r="M39" s="1387"/>
      <c r="N39" s="1388"/>
      <c r="O39" s="1388"/>
      <c r="P39" s="1389"/>
      <c r="Q39" s="60"/>
      <c r="R39" s="174">
        <f t="shared" si="0"/>
        <v>0</v>
      </c>
      <c r="S39" s="34"/>
      <c r="T39" s="145"/>
      <c r="U39" s="144"/>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1:80" ht="30" customHeight="1">
      <c r="A40" s="12">
        <v>35</v>
      </c>
      <c r="B40" s="1157"/>
      <c r="C40" s="1157"/>
      <c r="D40" s="1157"/>
      <c r="E40" s="1157"/>
      <c r="F40" s="1157"/>
      <c r="G40" s="1157"/>
      <c r="H40" s="56"/>
      <c r="I40" s="56"/>
      <c r="J40" s="1384"/>
      <c r="K40" s="1385"/>
      <c r="L40" s="1386"/>
      <c r="M40" s="1387"/>
      <c r="N40" s="1388"/>
      <c r="O40" s="1388"/>
      <c r="P40" s="1389"/>
      <c r="Q40" s="60"/>
      <c r="R40" s="174">
        <f t="shared" si="0"/>
        <v>0</v>
      </c>
      <c r="S40" s="34"/>
      <c r="T40" s="145"/>
      <c r="U40" s="144"/>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1:80" ht="30" customHeight="1">
      <c r="A41" s="12">
        <v>36</v>
      </c>
      <c r="B41" s="1157"/>
      <c r="C41" s="1157"/>
      <c r="D41" s="1157"/>
      <c r="E41" s="1157"/>
      <c r="F41" s="1157"/>
      <c r="G41" s="1157"/>
      <c r="H41" s="56"/>
      <c r="I41" s="56"/>
      <c r="J41" s="1384"/>
      <c r="K41" s="1385"/>
      <c r="L41" s="1386"/>
      <c r="M41" s="1387"/>
      <c r="N41" s="1388"/>
      <c r="O41" s="1388"/>
      <c r="P41" s="1389"/>
      <c r="Q41" s="60"/>
      <c r="R41" s="174">
        <f t="shared" si="0"/>
        <v>0</v>
      </c>
      <c r="S41" s="34"/>
      <c r="T41" s="145"/>
      <c r="U41" s="144"/>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1:80" ht="30" customHeight="1">
      <c r="A42" s="45">
        <v>37</v>
      </c>
      <c r="B42" s="1157"/>
      <c r="C42" s="1157"/>
      <c r="D42" s="1157"/>
      <c r="E42" s="1157"/>
      <c r="F42" s="1157"/>
      <c r="G42" s="1157"/>
      <c r="H42" s="56"/>
      <c r="I42" s="56"/>
      <c r="J42" s="1384"/>
      <c r="K42" s="1385"/>
      <c r="L42" s="1386"/>
      <c r="M42" s="1387"/>
      <c r="N42" s="1388"/>
      <c r="O42" s="1388"/>
      <c r="P42" s="1389"/>
      <c r="Q42" s="60"/>
      <c r="R42" s="174">
        <f t="shared" si="0"/>
        <v>0</v>
      </c>
      <c r="S42" s="34"/>
      <c r="T42" s="145"/>
      <c r="U42" s="144"/>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1:80" ht="30" customHeight="1">
      <c r="A43" s="12">
        <v>38</v>
      </c>
      <c r="B43" s="1157"/>
      <c r="C43" s="1157"/>
      <c r="D43" s="1157"/>
      <c r="E43" s="1157"/>
      <c r="F43" s="1157"/>
      <c r="G43" s="1157"/>
      <c r="H43" s="56"/>
      <c r="I43" s="56"/>
      <c r="J43" s="1384"/>
      <c r="K43" s="1385"/>
      <c r="L43" s="1386"/>
      <c r="M43" s="1387"/>
      <c r="N43" s="1388"/>
      <c r="O43" s="1388"/>
      <c r="P43" s="1389"/>
      <c r="Q43" s="60"/>
      <c r="R43" s="174">
        <f t="shared" si="0"/>
        <v>0</v>
      </c>
      <c r="S43" s="34"/>
      <c r="T43" s="145"/>
      <c r="U43" s="144"/>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1:80" ht="30" customHeight="1">
      <c r="A44" s="12">
        <v>39</v>
      </c>
      <c r="B44" s="1157"/>
      <c r="C44" s="1157"/>
      <c r="D44" s="1157"/>
      <c r="E44" s="1157"/>
      <c r="F44" s="1157"/>
      <c r="G44" s="1157"/>
      <c r="H44" s="56"/>
      <c r="I44" s="56"/>
      <c r="J44" s="1384"/>
      <c r="K44" s="1385"/>
      <c r="L44" s="1386"/>
      <c r="M44" s="1387"/>
      <c r="N44" s="1388"/>
      <c r="O44" s="1388"/>
      <c r="P44" s="1389"/>
      <c r="Q44" s="60"/>
      <c r="R44" s="174">
        <f t="shared" si="0"/>
        <v>0</v>
      </c>
      <c r="S44" s="34"/>
      <c r="T44" s="145"/>
      <c r="U44" s="144"/>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1:80" ht="30" customHeight="1" thickBot="1">
      <c r="A45" s="45">
        <v>40</v>
      </c>
      <c r="B45" s="1157"/>
      <c r="C45" s="1157"/>
      <c r="D45" s="1157"/>
      <c r="E45" s="1157"/>
      <c r="F45" s="1157"/>
      <c r="G45" s="1157"/>
      <c r="H45" s="56"/>
      <c r="I45" s="56"/>
      <c r="J45" s="1384"/>
      <c r="K45" s="1385"/>
      <c r="L45" s="1386"/>
      <c r="M45" s="1387"/>
      <c r="N45" s="1388"/>
      <c r="O45" s="1388"/>
      <c r="P45" s="1389"/>
      <c r="Q45" s="60"/>
      <c r="R45" s="174">
        <f t="shared" si="0"/>
        <v>0</v>
      </c>
      <c r="S45" s="176"/>
      <c r="T45" s="147"/>
      <c r="U45" s="146"/>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1:80" ht="21.75" customHeight="1" thickBot="1">
      <c r="A46" s="1393" t="s">
        <v>270</v>
      </c>
      <c r="B46" s="1394"/>
      <c r="C46" s="1394"/>
      <c r="D46" s="1394"/>
      <c r="E46" s="1394"/>
      <c r="F46" s="1394"/>
      <c r="G46" s="1394"/>
      <c r="H46" s="1394"/>
      <c r="I46" s="1394"/>
      <c r="J46" s="1394"/>
      <c r="K46" s="1394"/>
      <c r="L46" s="46">
        <f>SUM(R6:R45)</f>
        <v>0</v>
      </c>
      <c r="M46" s="1395" t="s">
        <v>322</v>
      </c>
      <c r="N46" s="1396"/>
      <c r="O46" s="1396"/>
      <c r="P46" s="1396"/>
      <c r="Q46" s="1396"/>
      <c r="R46" s="47">
        <f>IF(L46&gt;5,5,L46)</f>
        <v>0</v>
      </c>
      <c r="S46" s="132">
        <f>IF(SUM(S6:S45)&gt;5,5,SUM(S6:S45))</f>
        <v>0</v>
      </c>
      <c r="T46" s="48"/>
      <c r="U46" s="177"/>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1:80" ht="25.5" customHeight="1">
      <c r="A47" s="1397" t="s">
        <v>31</v>
      </c>
      <c r="B47" s="1398"/>
      <c r="C47" s="1398"/>
      <c r="D47" s="1398"/>
      <c r="E47" s="1398"/>
      <c r="F47" s="1398"/>
      <c r="G47" s="1398"/>
      <c r="H47" s="1399" t="s">
        <v>32</v>
      </c>
      <c r="I47" s="1399"/>
      <c r="J47" s="1399"/>
      <c r="K47" s="1400">
        <f>Q2</f>
        <v>0</v>
      </c>
      <c r="L47" s="1390"/>
      <c r="M47" s="1390"/>
      <c r="N47" s="1390"/>
      <c r="O47" s="1399" t="s">
        <v>33</v>
      </c>
      <c r="P47" s="1399"/>
      <c r="Q47" s="1399"/>
      <c r="R47" s="1390">
        <f>C2</f>
        <v>0</v>
      </c>
      <c r="S47" s="1390"/>
      <c r="T47" s="1390"/>
      <c r="U47" s="1391"/>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1:80" ht="25.5" customHeight="1" thickBot="1">
      <c r="A48" s="1151">
        <f>'فرم الف'!A27</f>
        <v>0</v>
      </c>
      <c r="B48" s="1153"/>
      <c r="C48" s="1153"/>
      <c r="D48" s="1153"/>
      <c r="E48" s="1153"/>
      <c r="F48" s="1153"/>
      <c r="G48" s="1153"/>
      <c r="H48" s="1153">
        <f>'فرم الف'!E27</f>
        <v>0</v>
      </c>
      <c r="I48" s="1153"/>
      <c r="J48" s="1153"/>
      <c r="K48" s="1153"/>
      <c r="L48" s="1153"/>
      <c r="M48" s="1153"/>
      <c r="N48" s="1153"/>
      <c r="O48" s="1153" t="str">
        <f>'فرم الف'!J27</f>
        <v/>
      </c>
      <c r="P48" s="1153"/>
      <c r="Q48" s="1153"/>
      <c r="R48" s="1153"/>
      <c r="S48" s="1153"/>
      <c r="T48" s="1153"/>
      <c r="U48" s="1154"/>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2:80" ht="20.25" customHeight="1">
      <c r="V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2:80">
      <c r="V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2:80" ht="17.25" customHeight="1">
      <c r="V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2:80" ht="20.25" customHeight="1">
      <c r="V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2:80">
      <c r="V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2:80" ht="17.25" customHeight="1">
      <c r="V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2:80" ht="20.25" customHeight="1">
      <c r="V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2:80">
      <c r="V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2:80" ht="17.25" customHeight="1">
      <c r="V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2:80" ht="20.25" customHeight="1">
      <c r="V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2:80">
      <c r="V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2:80">
      <c r="V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2" spans="22:80" ht="26.25" customHeight="1"/>
    <row r="63" spans="22:80" ht="26.25" customHeight="1"/>
  </sheetData>
  <sheetProtection algorithmName="SHA-512" hashValue="MMoJpFPx/bYcwzJvEmsO5pIv8wLS87O45W+Bly3DIoTjAhKX/jvN+CG45/4fB2VOWhnHXnILE2zLzzhtXW3IZQ==" saltValue="/ixhMN9sEbkaJof9VA/G2Q==" spinCount="100000" sheet="1" objects="1" scenarios="1" formatCells="0" formatRows="0" selectLockedCells="1"/>
  <mergeCells count="149">
    <mergeCell ref="A1:B2"/>
    <mergeCell ref="C1:G1"/>
    <mergeCell ref="H1:L1"/>
    <mergeCell ref="M1:P1"/>
    <mergeCell ref="Q1:U1"/>
    <mergeCell ref="C2:G2"/>
    <mergeCell ref="H2:L2"/>
    <mergeCell ref="M2:P2"/>
    <mergeCell ref="Q2:U2"/>
    <mergeCell ref="B39:G39"/>
    <mergeCell ref="U4:U5"/>
    <mergeCell ref="B36:G36"/>
    <mergeCell ref="B37:G37"/>
    <mergeCell ref="J36:L36"/>
    <mergeCell ref="A3:R3"/>
    <mergeCell ref="S3:U3"/>
    <mergeCell ref="A4:A5"/>
    <mergeCell ref="B4:G5"/>
    <mergeCell ref="R4:T4"/>
    <mergeCell ref="B6:G6"/>
    <mergeCell ref="J6:L6"/>
    <mergeCell ref="M6:P6"/>
    <mergeCell ref="B7:G7"/>
    <mergeCell ref="J7:L7"/>
    <mergeCell ref="M7:P7"/>
    <mergeCell ref="B8:G8"/>
    <mergeCell ref="B33:G33"/>
    <mergeCell ref="J33:L33"/>
    <mergeCell ref="M33:P33"/>
    <mergeCell ref="B31:G31"/>
    <mergeCell ref="J31:L31"/>
    <mergeCell ref="M31:P31"/>
    <mergeCell ref="B32:G32"/>
    <mergeCell ref="R47:U47"/>
    <mergeCell ref="A48:G48"/>
    <mergeCell ref="H48:N48"/>
    <mergeCell ref="O48:U48"/>
    <mergeCell ref="Q4:Q5"/>
    <mergeCell ref="H4:I4"/>
    <mergeCell ref="J4:L5"/>
    <mergeCell ref="M4:P5"/>
    <mergeCell ref="A46:K46"/>
    <mergeCell ref="M46:Q46"/>
    <mergeCell ref="A47:G47"/>
    <mergeCell ref="H47:J47"/>
    <mergeCell ref="K47:N47"/>
    <mergeCell ref="O47:Q47"/>
    <mergeCell ref="B44:G44"/>
    <mergeCell ref="B45:G45"/>
    <mergeCell ref="J44:L44"/>
    <mergeCell ref="M44:P44"/>
    <mergeCell ref="B42:G42"/>
    <mergeCell ref="B43:G43"/>
    <mergeCell ref="B40:G40"/>
    <mergeCell ref="B41:G41"/>
    <mergeCell ref="J40:L40"/>
    <mergeCell ref="M40:P40"/>
    <mergeCell ref="J45:L45"/>
    <mergeCell ref="M45:P45"/>
    <mergeCell ref="B26:G26"/>
    <mergeCell ref="J26:L26"/>
    <mergeCell ref="M26:P26"/>
    <mergeCell ref="B27:G27"/>
    <mergeCell ref="J27:L27"/>
    <mergeCell ref="M27:P27"/>
    <mergeCell ref="B28:G28"/>
    <mergeCell ref="J28:L28"/>
    <mergeCell ref="J41:L41"/>
    <mergeCell ref="M41:P41"/>
    <mergeCell ref="J42:L42"/>
    <mergeCell ref="M42:P42"/>
    <mergeCell ref="J43:L43"/>
    <mergeCell ref="M43:P43"/>
    <mergeCell ref="M36:P36"/>
    <mergeCell ref="J37:L37"/>
    <mergeCell ref="M37:P37"/>
    <mergeCell ref="J38:L38"/>
    <mergeCell ref="M38:P38"/>
    <mergeCell ref="J39:L39"/>
    <mergeCell ref="M39:P39"/>
    <mergeCell ref="B38:G38"/>
    <mergeCell ref="J32:L32"/>
    <mergeCell ref="M32:P32"/>
    <mergeCell ref="M28:P28"/>
    <mergeCell ref="B29:G29"/>
    <mergeCell ref="J29:L29"/>
    <mergeCell ref="M29:P29"/>
    <mergeCell ref="B30:G30"/>
    <mergeCell ref="J30:L30"/>
    <mergeCell ref="M30:P30"/>
    <mergeCell ref="J8:L8"/>
    <mergeCell ref="M8:P8"/>
    <mergeCell ref="B9:G9"/>
    <mergeCell ref="J9:L9"/>
    <mergeCell ref="M9:P9"/>
    <mergeCell ref="B10:G10"/>
    <mergeCell ref="J10:L10"/>
    <mergeCell ref="M10:P10"/>
    <mergeCell ref="B35:G35"/>
    <mergeCell ref="J35:L35"/>
    <mergeCell ref="M35:P35"/>
    <mergeCell ref="B34:G34"/>
    <mergeCell ref="J34:L34"/>
    <mergeCell ref="M34:P34"/>
    <mergeCell ref="B13:G13"/>
    <mergeCell ref="J13:L13"/>
    <mergeCell ref="M13:P13"/>
    <mergeCell ref="B14:G14"/>
    <mergeCell ref="J14:L14"/>
    <mergeCell ref="M14:P14"/>
    <mergeCell ref="B11:G11"/>
    <mergeCell ref="J11:L11"/>
    <mergeCell ref="M11:P11"/>
    <mergeCell ref="B12:G12"/>
    <mergeCell ref="J12:L12"/>
    <mergeCell ref="M12:P12"/>
    <mergeCell ref="B17:G17"/>
    <mergeCell ref="J17:L17"/>
    <mergeCell ref="M17:P17"/>
    <mergeCell ref="B18:G18"/>
    <mergeCell ref="J18:L18"/>
    <mergeCell ref="M18:P18"/>
    <mergeCell ref="B15:G15"/>
    <mergeCell ref="J15:L15"/>
    <mergeCell ref="M15:P15"/>
    <mergeCell ref="B16:G16"/>
    <mergeCell ref="J16:L16"/>
    <mergeCell ref="M16:P16"/>
    <mergeCell ref="B21:G21"/>
    <mergeCell ref="J21:L21"/>
    <mergeCell ref="M21:P21"/>
    <mergeCell ref="B22:G22"/>
    <mergeCell ref="J22:L22"/>
    <mergeCell ref="M22:P22"/>
    <mergeCell ref="B19:G19"/>
    <mergeCell ref="J19:L19"/>
    <mergeCell ref="M19:P19"/>
    <mergeCell ref="B20:G20"/>
    <mergeCell ref="J20:L20"/>
    <mergeCell ref="M20:P20"/>
    <mergeCell ref="B25:G25"/>
    <mergeCell ref="J25:L25"/>
    <mergeCell ref="M25:P25"/>
    <mergeCell ref="B23:G23"/>
    <mergeCell ref="J23:L23"/>
    <mergeCell ref="M23:P23"/>
    <mergeCell ref="B24:G24"/>
    <mergeCell ref="J24:L24"/>
    <mergeCell ref="M24:P24"/>
  </mergeCells>
  <conditionalFormatting sqref="B6:Q45">
    <cfRule type="containsBlanks" dxfId="184" priority="1">
      <formula>LEN(TRIM(B6))=0</formula>
    </cfRule>
  </conditionalFormatting>
  <dataValidations count="1">
    <dataValidation type="decimal" allowBlank="1" showInputMessage="1" showErrorMessage="1" errorTitle="خطا در ورود اطلاعات" error="لطفا يك عدد كمتر-مساوي 3 وارد نماييد" sqref="Q6:Q45">
      <formula1>1</formula1>
      <formula2>3</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Base'!$V$41:$V$42</xm:f>
          </x14:formula1>
          <xm:sqref>H6:H45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A1:CE310"/>
  <sheetViews>
    <sheetView showGridLines="0" rightToLeft="1" view="pageBreakPreview" zoomScale="85" zoomScaleNormal="100" zoomScaleSheetLayoutView="85" workbookViewId="0">
      <pane ySplit="5" topLeftCell="A6" activePane="bottomLeft" state="frozen"/>
      <selection pane="bottomLeft" activeCell="B6" sqref="B6:E6"/>
    </sheetView>
  </sheetViews>
  <sheetFormatPr defaultColWidth="9.140625" defaultRowHeight="15"/>
  <cols>
    <col min="1" max="1" width="2.85546875" style="19" customWidth="1"/>
    <col min="2" max="2" width="3.85546875" style="19" customWidth="1"/>
    <col min="3" max="3" width="5.5703125" style="19" customWidth="1"/>
    <col min="4" max="4" width="5.85546875" style="19" customWidth="1"/>
    <col min="5" max="5" width="6.85546875" style="19" customWidth="1"/>
    <col min="6" max="6" width="6.5703125" style="19" customWidth="1"/>
    <col min="7" max="7" width="8.28515625" style="19" customWidth="1"/>
    <col min="8" max="8" width="8" style="19" customWidth="1"/>
    <col min="9" max="9" width="7.7109375" style="19" customWidth="1"/>
    <col min="10" max="11" width="6" style="19" customWidth="1"/>
    <col min="12" max="12" width="5.5703125" style="19" customWidth="1"/>
    <col min="13" max="13" width="6.5703125" style="19" customWidth="1"/>
    <col min="14" max="14" width="7" style="19" customWidth="1"/>
    <col min="15" max="15" width="7.5703125" style="19" customWidth="1"/>
    <col min="16" max="16" width="6.140625" style="19" customWidth="1"/>
    <col min="17" max="17" width="5.140625" style="19" customWidth="1"/>
    <col min="18" max="20" width="5.42578125" style="19" customWidth="1"/>
    <col min="21" max="21" width="13.85546875" style="19" customWidth="1"/>
    <col min="22" max="83" width="17" style="19" hidden="1" customWidth="1"/>
    <col min="84" max="84" width="17" style="19" customWidth="1"/>
    <col min="85" max="16384" width="9.140625" style="19"/>
  </cols>
  <sheetData>
    <row r="1" spans="1:83"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row>
    <row r="2" spans="1:83"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AH2" s="178"/>
      <c r="AV2" s="179"/>
      <c r="AW2" s="180"/>
      <c r="AX2" s="180"/>
      <c r="AY2" s="179"/>
      <c r="AZ2" s="180"/>
      <c r="BA2" s="180"/>
      <c r="BB2" s="181"/>
      <c r="BC2" s="182"/>
      <c r="BD2" s="183"/>
    </row>
    <row r="3" spans="1:83" ht="21.75" thickBot="1">
      <c r="A3" s="1496" t="s">
        <v>1041</v>
      </c>
      <c r="B3" s="1496"/>
      <c r="C3" s="1497"/>
      <c r="D3" s="1497"/>
      <c r="E3" s="1497"/>
      <c r="F3" s="1497"/>
      <c r="G3" s="1497"/>
      <c r="H3" s="1497"/>
      <c r="I3" s="1497"/>
      <c r="J3" s="1497"/>
      <c r="K3" s="1497"/>
      <c r="L3" s="1497"/>
      <c r="M3" s="1497"/>
      <c r="N3" s="1497"/>
      <c r="O3" s="1497"/>
      <c r="P3" s="1497"/>
      <c r="Q3" s="1497"/>
      <c r="R3" s="1497"/>
      <c r="S3" s="1498" t="s">
        <v>625</v>
      </c>
      <c r="T3" s="1498"/>
      <c r="U3" s="1498"/>
      <c r="BH3" s="184">
        <f>IF((BG3=1),AJ2,0)</f>
        <v>0</v>
      </c>
      <c r="BI3" s="185">
        <f>IF(AND(EXACT(BA3,"1"),EXACT(BG3,"1")),(1),(0))</f>
        <v>0</v>
      </c>
      <c r="BJ3" s="186">
        <f>IF((BI3=1),AJ2,0)</f>
        <v>0</v>
      </c>
    </row>
    <row r="4" spans="1:83" ht="17.25" customHeight="1">
      <c r="A4" s="1479" t="s">
        <v>9</v>
      </c>
      <c r="B4" s="1470" t="s">
        <v>274</v>
      </c>
      <c r="C4" s="1470"/>
      <c r="D4" s="1470"/>
      <c r="E4" s="1470"/>
      <c r="F4" s="1453" t="s">
        <v>10</v>
      </c>
      <c r="G4" s="1454"/>
      <c r="H4" s="1482" t="s">
        <v>39</v>
      </c>
      <c r="I4" s="1482" t="s">
        <v>35</v>
      </c>
      <c r="J4" s="1471" t="s">
        <v>38</v>
      </c>
      <c r="K4" s="1473" t="s">
        <v>12</v>
      </c>
      <c r="L4" s="1484" t="s">
        <v>36</v>
      </c>
      <c r="M4" s="1475" t="s">
        <v>11</v>
      </c>
      <c r="N4" s="1476"/>
      <c r="O4" s="1477" t="s">
        <v>57</v>
      </c>
      <c r="P4" s="1453" t="s">
        <v>954</v>
      </c>
      <c r="Q4" s="1454"/>
      <c r="R4" s="1470" t="s">
        <v>13</v>
      </c>
      <c r="S4" s="1470"/>
      <c r="T4" s="1470"/>
      <c r="U4" s="1451" t="s">
        <v>14</v>
      </c>
    </row>
    <row r="5" spans="1:83" ht="75.75" customHeight="1" thickBot="1">
      <c r="A5" s="1480"/>
      <c r="B5" s="1481"/>
      <c r="C5" s="1481"/>
      <c r="D5" s="1481"/>
      <c r="E5" s="1481"/>
      <c r="F5" s="1455"/>
      <c r="G5" s="1456"/>
      <c r="H5" s="1483"/>
      <c r="I5" s="1483"/>
      <c r="J5" s="1472"/>
      <c r="K5" s="1474"/>
      <c r="L5" s="1485"/>
      <c r="M5" s="187" t="s">
        <v>41</v>
      </c>
      <c r="N5" s="187" t="s">
        <v>37</v>
      </c>
      <c r="O5" s="1478"/>
      <c r="P5" s="1455"/>
      <c r="Q5" s="1456"/>
      <c r="R5" s="188" t="s">
        <v>17</v>
      </c>
      <c r="S5" s="188" t="s">
        <v>349</v>
      </c>
      <c r="T5" s="188" t="s">
        <v>18</v>
      </c>
      <c r="U5" s="1452"/>
      <c r="W5" s="189"/>
      <c r="Z5" s="190" t="s">
        <v>105</v>
      </c>
      <c r="AA5" s="190" t="s">
        <v>58</v>
      </c>
      <c r="AB5" s="190" t="s">
        <v>1010</v>
      </c>
      <c r="AC5" s="190" t="s">
        <v>1050</v>
      </c>
      <c r="AD5" s="190" t="s">
        <v>1024</v>
      </c>
      <c r="AE5" s="190" t="s">
        <v>1025</v>
      </c>
      <c r="AF5" s="190" t="s">
        <v>1026</v>
      </c>
      <c r="AG5" s="190" t="s">
        <v>1027</v>
      </c>
      <c r="AH5" s="191" t="s">
        <v>28</v>
      </c>
      <c r="AI5" s="191" t="s">
        <v>23</v>
      </c>
      <c r="AJ5" s="191" t="s">
        <v>24</v>
      </c>
      <c r="AK5" s="191" t="s">
        <v>25</v>
      </c>
      <c r="AL5" s="190" t="s">
        <v>26</v>
      </c>
      <c r="AM5" s="191" t="s">
        <v>27</v>
      </c>
      <c r="AN5" s="190" t="s">
        <v>67</v>
      </c>
      <c r="AO5" s="190" t="s">
        <v>66</v>
      </c>
      <c r="AP5" s="190" t="s">
        <v>65</v>
      </c>
      <c r="AQ5" s="190" t="s">
        <v>64</v>
      </c>
      <c r="AR5" s="190" t="s">
        <v>63</v>
      </c>
      <c r="AS5" s="190" t="s">
        <v>62</v>
      </c>
      <c r="AT5" s="190" t="s">
        <v>61</v>
      </c>
      <c r="AU5" s="190" t="s">
        <v>60</v>
      </c>
      <c r="AV5" s="192" t="s">
        <v>71</v>
      </c>
      <c r="AW5" s="190" t="s">
        <v>72</v>
      </c>
      <c r="AX5" s="190" t="s">
        <v>73</v>
      </c>
      <c r="AY5" s="192" t="s">
        <v>74</v>
      </c>
      <c r="AZ5" s="190" t="s">
        <v>75</v>
      </c>
      <c r="BA5" s="190" t="s">
        <v>76</v>
      </c>
      <c r="BB5" s="192" t="s">
        <v>59</v>
      </c>
      <c r="BC5" s="190" t="s">
        <v>77</v>
      </c>
      <c r="BD5" s="190" t="s">
        <v>80</v>
      </c>
      <c r="BE5" s="192" t="s">
        <v>68</v>
      </c>
      <c r="BF5" s="190" t="s">
        <v>79</v>
      </c>
      <c r="BG5" s="190" t="s">
        <v>78</v>
      </c>
      <c r="BH5" s="192" t="s">
        <v>81</v>
      </c>
      <c r="BI5" s="191" t="s">
        <v>82</v>
      </c>
      <c r="BJ5" s="192" t="s">
        <v>83</v>
      </c>
      <c r="BK5" s="192" t="s">
        <v>84</v>
      </c>
      <c r="BL5" s="191" t="s">
        <v>85</v>
      </c>
      <c r="BM5" s="192" t="s">
        <v>86</v>
      </c>
      <c r="BN5" s="193" t="s">
        <v>87</v>
      </c>
      <c r="BO5" s="194" t="s">
        <v>88</v>
      </c>
      <c r="BP5" s="193" t="s">
        <v>89</v>
      </c>
      <c r="BQ5" s="193" t="s">
        <v>90</v>
      </c>
      <c r="BR5" s="194" t="s">
        <v>91</v>
      </c>
      <c r="BS5" s="193" t="s">
        <v>92</v>
      </c>
      <c r="BT5" s="193" t="s">
        <v>93</v>
      </c>
      <c r="BU5" s="193" t="s">
        <v>94</v>
      </c>
      <c r="BV5" s="193" t="s">
        <v>95</v>
      </c>
      <c r="BW5" s="193" t="s">
        <v>96</v>
      </c>
      <c r="BX5" s="193" t="s">
        <v>97</v>
      </c>
      <c r="BY5" s="193" t="s">
        <v>98</v>
      </c>
      <c r="BZ5" s="192" t="s">
        <v>99</v>
      </c>
      <c r="CA5" s="191" t="s">
        <v>100</v>
      </c>
      <c r="CB5" s="190" t="s">
        <v>101</v>
      </c>
      <c r="CC5" s="192" t="s">
        <v>102</v>
      </c>
      <c r="CD5" s="191" t="s">
        <v>103</v>
      </c>
      <c r="CE5" s="190" t="s">
        <v>104</v>
      </c>
    </row>
    <row r="6" spans="1:83" ht="20.25">
      <c r="A6" s="503">
        <f>IF(AA6=1,1,0)</f>
        <v>0</v>
      </c>
      <c r="B6" s="1465"/>
      <c r="C6" s="1465"/>
      <c r="D6" s="1465"/>
      <c r="E6" s="1450"/>
      <c r="F6" s="1457"/>
      <c r="G6" s="1457"/>
      <c r="H6" s="504"/>
      <c r="I6" s="505"/>
      <c r="J6" s="506"/>
      <c r="K6" s="507"/>
      <c r="L6" s="508"/>
      <c r="M6" s="509"/>
      <c r="N6" s="510"/>
      <c r="O6" s="509"/>
      <c r="P6" s="1450"/>
      <c r="Q6" s="1450"/>
      <c r="R6" s="511">
        <f ca="1">IF(OR(EXACT(H6,""),EXACT(B6,""),EXACT(F7,""),EXACT(H7,""),EXACT(J7,""),EXACT(L7,""),EXACT(N7,""),EXACT(F6,""),EXACT(J6,""),EXACT(M6,""),EXACT(N6,""),EXACT(O6,""),EXACT(P6,"")),0,IF(OR(EXACT(P7,"مقاله پر استناد"),EXACT(P7,"مقاله داغ"),EXACT(P7,"مستخرج از برنامه تحقيقاتي ملي معطوف به رفع مشكلات كشور")),(1.5*(F7*N7*(IF(EXACT(J7,"نفر اول"),INDIRECT(CONCATENATE("'Data Base'!$d",H7)),INDIRECT(CONCATENATE("'Data Base'!$e",H7))))*((100-L7)/100))),IF(EXACT(P7,"Short Article"),(0.5*(F7*N7*(IF(EXACT(J7,"نفر اول"),INDIRECT(CONCATENATE("'Data Base'!$D",H7)),INDIRECT(CONCATENATE("'Data Base'!$E",H7))))*((100-L7)/100))),IF(EXACT(P7,"چاپ شده در نشريات بسيار پر استناد Nature و Science"),(2*(F7*N7*(IF(EXACT(J7,"نفر اول"),INDIRECT(CONCATENATE("'Data Base'!$D",H7)),INDIRECT(CONCATENATE("'Data Base'!$E",H7))))*((100-L7)/100))),IF(OR(EXACT(P7,"مستخرج از طرح پژوهشي محرمانه"),EXACT(P7,"مشترك با اساتيد دانشگاه خارج از كشور")),(1.2*(F7*N7*(IF(EXACT(J7,"نفر اول"),INDIRECT(CONCATENATE("'Data Base'!$D",H7)),INDIRECT(CONCATENATE("'Data Base'!$E",H7))))*((100-L7)/100))),(F7*N7*(IF(EXACT(J7,"نفر اول"),INDIRECT(CONCATENATE("'Data Base'!$d",H7)),INDIRECT(CONCATENATE("'Data Base'!$e",H7))))*((100-L7)/100)))))))</f>
        <v>0</v>
      </c>
      <c r="S6" s="512">
        <f ca="1">IF(OR(EXACT(H6,""),EXACT(B6,""),EXACT(F8,""),EXACT(H8,""),EXACT(J8,""),EXACT(L8,""),EXACT(N8,""),EXACT(F6,""),EXACT(J6,""),EXACT(M6,""),EXACT(N6,""),EXACT(O6,""),EXACT(P6,"")),0,IF(OR(EXACT(P8,"مقاله پر استناد"),EXACT(P8,"مقاله داغ"),EXACT(P8,"مستخرج از برنامه تحقيقاتي ملي معطوف به رفع مشكلات كشور")),(1.5*(F8*N8*(IF(EXACT(J8,"نفر اول"),INDIRECT(CONCATENATE("'Data Base'!$d",H8)),INDIRECT(CONCATENATE("'Data Base'!$E",H8))))*((100-L8)/100))),IF(EXACT(P8,"Short Article"),(0.5*(F8*N8*(IF(EXACT(J8,"نفر اول"),INDIRECT(CONCATENATE("'Data Base'!$D",H8)),INDIRECT(CONCATENATE("'Data Base'!$E",H8))))*((100-L8)/100))),IF(EXACT(P8,"چاپ شده در نشريات بسيار پر استناد Nature و Science"),(2*(F8*N8*(IF(EXACT(J8,"نفر اول"),INDIRECT(CONCATENATE("'Data Base'!$D",H8)),INDIRECT(CONCATENATE("'Data Base'!$E",H8))))*((100-L8)/100))),IF(OR(EXACT(P8,"مستخرج از طرح پژوهشي محرمانه"),EXACT(P8,"مشترك با اساتيد دانشگاه خارج از كشور")),(1.2*(F8*N8*(IF(EXACT(J8,"نفر اول"),INDIRECT(CONCATENATE("'Data Base'!$D",H8)),INDIRECT(CONCATENATE("'Data Base'!$E",H8))))*((100-L8)/100))),(F8*N8*(IF(EXACT(J8,"نفر اول"),INDIRECT(CONCATENATE("'Data Base'!$D",H8)),INDIRECT(CONCATENATE("'Data Base'!$E",H8))))*((100-L8)/100)))))))</f>
        <v>0</v>
      </c>
      <c r="T6" s="513"/>
      <c r="U6" s="1463"/>
      <c r="AA6" s="19">
        <f>IF(OR(OR(B6="",F6="",H6="",J6="",P6=""),AND(M6="",O6="")),0,1)</f>
        <v>0</v>
      </c>
      <c r="AB6" s="19">
        <f ca="1">IF(AND(AA6=1,S6&gt;0),1,0)</f>
        <v>0</v>
      </c>
      <c r="AC6" s="19">
        <f ca="1">IF(AND(AA6=1,S6&lt;1),1,0)</f>
        <v>0</v>
      </c>
      <c r="AD6" s="19">
        <f ca="1">IF(AND(AA6=1,S6&gt;=1,AJ6=1),1,0)</f>
        <v>0</v>
      </c>
      <c r="AE6" s="19">
        <f ca="1">IF(AD6=1,S6,0)</f>
        <v>0</v>
      </c>
      <c r="AF6" s="19">
        <f ca="1">IF(AND(AA6=1,S6&gt;=1,AJ6=1,AR8=1),1,0)</f>
        <v>0</v>
      </c>
      <c r="AG6" s="19">
        <f ca="1">IF(AF6=1,S6,0)</f>
        <v>0</v>
      </c>
      <c r="AH6" s="19">
        <f>IF(OR(EXACT(H6,"JCR-Q1"),EXACT(H6,"JCR-Q2")),(1),(0))</f>
        <v>0</v>
      </c>
      <c r="AI6" s="19">
        <f>IF(OR(EXACT(H6,"JCR-Q1"),EXACT(H6,"JCR-Q2"),EXACT(H6,"JCR-Q3")),(1),(0))</f>
        <v>0</v>
      </c>
      <c r="AJ6" s="19">
        <f>IF(OR(EXACT(H6,"JCR-Q1"),EXACT(H6,"JCR-Q2"),EXACT(H6,"JCR-Q3"),EXACT(H6,"JCR-Q4")),(1),(0))</f>
        <v>0</v>
      </c>
      <c r="AK6" s="19">
        <f>IF(OR(EXACT(H6,"JCR-Q1"),EXACT(H6,"JCR-Q2"),EXACT(H6,"JCR-Q3"),EXACT(H6,"JCR-Q4"),EXACT(H6,"WOS")),(1),(0))</f>
        <v>0</v>
      </c>
      <c r="AL6" s="19">
        <f>IF(OR(EXACT(H6,"JCR-Q1"),EXACT(H6,"JCR-Q2"),EXACT(H6,"JCR-Q3"),EXACT(H6,"JCR-Q4"),EXACT(H6,"WOS"),EXACT(H6,"Scopus")),(1),(0))</f>
        <v>0</v>
      </c>
      <c r="AM6" s="19">
        <f>IF(OR(EXACT(H6,'Data Base'!$B$21),EXACT(H6,'Data Base'!$B$22)),(1),(0))</f>
        <v>0</v>
      </c>
    </row>
    <row r="7" spans="1:83" ht="20.25" customHeight="1">
      <c r="A7" s="1416" t="s">
        <v>29</v>
      </c>
      <c r="B7" s="1417"/>
      <c r="C7" s="1417"/>
      <c r="D7" s="1418"/>
      <c r="E7" s="514" t="s">
        <v>1001</v>
      </c>
      <c r="F7" s="515"/>
      <c r="G7" s="516" t="s">
        <v>801</v>
      </c>
      <c r="H7" s="517"/>
      <c r="I7" s="516" t="s">
        <v>1002</v>
      </c>
      <c r="J7" s="518"/>
      <c r="K7" s="516" t="s">
        <v>1003</v>
      </c>
      <c r="L7" s="519"/>
      <c r="M7" s="516" t="s">
        <v>1004</v>
      </c>
      <c r="N7" s="520"/>
      <c r="O7" s="1266" t="s">
        <v>55</v>
      </c>
      <c r="P7" s="1419"/>
      <c r="Q7" s="1419"/>
      <c r="R7" s="1419"/>
      <c r="S7" s="1419"/>
      <c r="T7" s="1419"/>
      <c r="U7" s="1415"/>
      <c r="AN7" s="19">
        <f>IF(AND(AA6=1,EXACT(J7,"نفر اول")),(1),(0))</f>
        <v>0</v>
      </c>
      <c r="AO7" s="19">
        <f>IF(AN7=1,R6,0)</f>
        <v>0</v>
      </c>
      <c r="AP7" s="19">
        <f>IF(AND(AA6=1,EXACT(J7,"همكار")),(1),(0))</f>
        <v>0</v>
      </c>
      <c r="AQ7" s="19">
        <f>IF(AP7=1,R6,0)</f>
        <v>0</v>
      </c>
      <c r="AV7" s="19">
        <f>IF((AH6=1),R6,0)</f>
        <v>0</v>
      </c>
      <c r="AW7" s="19">
        <f>IF(AND(EXACT(AN7,"1"),EXACT(AH6,"1")),(1),(0))</f>
        <v>0</v>
      </c>
      <c r="AX7" s="19">
        <f>IF((AW7=1),AV7,0)</f>
        <v>0</v>
      </c>
      <c r="BB7" s="19">
        <f>IF((AI6=1),R6,0)</f>
        <v>0</v>
      </c>
      <c r="BC7" s="19">
        <f>IF(AND(EXACT(AI6,"1"),EXACT(AN7,"1")),(1),(0))</f>
        <v>0</v>
      </c>
      <c r="BD7" s="19">
        <f>IF((BC7=1),BB7,0)</f>
        <v>0</v>
      </c>
      <c r="BH7" s="19">
        <f>IF((AJ6=1),R6,0)</f>
        <v>0</v>
      </c>
      <c r="BI7" s="19">
        <f>IF(AND(EXACT(AJ6,"1"),EXACT(AN7,"1")),(1),(0))</f>
        <v>0</v>
      </c>
      <c r="BJ7" s="19">
        <f>IF((BI7=1),BH7,0)</f>
        <v>0</v>
      </c>
      <c r="BN7" s="19">
        <f>IF((AK6=1),R6,0)</f>
        <v>0</v>
      </c>
      <c r="BO7" s="19">
        <f>IF(AND(EXACT(AK6,"1"),EXACT(AN7,"1")),(1),(0))</f>
        <v>0</v>
      </c>
      <c r="BP7" s="19">
        <f>IF((BO7=1),BN7,0)</f>
        <v>0</v>
      </c>
      <c r="BT7" s="19">
        <f>IF((AL6=1),R6,0)</f>
        <v>0</v>
      </c>
      <c r="BU7" s="19">
        <f>IF(AND(EXACT(AN7,"1"),EXACT(AL6,"1")),(1),(0))</f>
        <v>0</v>
      </c>
      <c r="BV7" s="19">
        <f>IF((BU7=1),BT7,0)</f>
        <v>0</v>
      </c>
      <c r="BZ7" s="19">
        <f>IF((AM6=1),R6,0)</f>
        <v>0</v>
      </c>
      <c r="CA7" s="19">
        <f>IF(AND(EXACT(AM6,"1"),EXACT(AN7,"1")),(1),(0))</f>
        <v>0</v>
      </c>
      <c r="CB7" s="19">
        <f>IF((CA7=1),BZ7,0)</f>
        <v>0</v>
      </c>
    </row>
    <row r="8" spans="1:83" ht="20.25">
      <c r="A8" s="1458" t="s">
        <v>30</v>
      </c>
      <c r="B8" s="1459"/>
      <c r="C8" s="1459"/>
      <c r="D8" s="1460"/>
      <c r="E8" s="521" t="s">
        <v>1001</v>
      </c>
      <c r="F8" s="522"/>
      <c r="G8" s="523" t="s">
        <v>801</v>
      </c>
      <c r="H8" s="524"/>
      <c r="I8" s="523" t="s">
        <v>1002</v>
      </c>
      <c r="J8" s="525"/>
      <c r="K8" s="523" t="s">
        <v>1003</v>
      </c>
      <c r="L8" s="525"/>
      <c r="M8" s="523" t="s">
        <v>1004</v>
      </c>
      <c r="N8" s="526"/>
      <c r="O8" s="1461"/>
      <c r="P8" s="1462"/>
      <c r="Q8" s="1462"/>
      <c r="R8" s="1462"/>
      <c r="S8" s="1462"/>
      <c r="T8" s="1462"/>
      <c r="U8" s="1464"/>
      <c r="AR8" s="19">
        <f>IF(AND(AA6=1,EXACT(J8,"نفر اول")),(1),(0))</f>
        <v>0</v>
      </c>
      <c r="AS8" s="19">
        <f>IF(AR8=1,S6,0)</f>
        <v>0</v>
      </c>
      <c r="AT8" s="19">
        <f>IF(AND(AA6=1,EXACT(J8,"همكار")),(1),(0))</f>
        <v>0</v>
      </c>
      <c r="AU8" s="19">
        <f>IF(AT8=1,S6,0)</f>
        <v>0</v>
      </c>
      <c r="AY8" s="19">
        <f>IF((AH6=1),S6,0)</f>
        <v>0</v>
      </c>
      <c r="AZ8" s="19">
        <f>IF(AND(EXACT(AR8,"1"),EXACT(AH6,"1")),(1),(0))</f>
        <v>0</v>
      </c>
      <c r="BA8" s="19">
        <f>IF((AZ8=1),AY8,0)</f>
        <v>0</v>
      </c>
      <c r="BE8" s="19">
        <f>IF((AI6=1),S6,0)</f>
        <v>0</v>
      </c>
      <c r="BF8" s="19">
        <f>IF(AND(EXACT(AI6,"1"),EXACT(AR8,"1")),(1),(0))</f>
        <v>0</v>
      </c>
      <c r="BG8" s="19">
        <f>IF((BF8=1),BE8,0)</f>
        <v>0</v>
      </c>
      <c r="BK8" s="19">
        <f>IF((AJ6=1),S6,0)</f>
        <v>0</v>
      </c>
      <c r="BL8" s="19">
        <f>IF(AND(EXACT(AJ6,"1"),EXACT(AR8,"1")),(1),(0))</f>
        <v>0</v>
      </c>
      <c r="BM8" s="19">
        <f>IF((BL8=1),BK8,0)</f>
        <v>0</v>
      </c>
      <c r="BQ8" s="19">
        <f>IF((AJ6=1),S6,0)</f>
        <v>0</v>
      </c>
      <c r="BR8" s="19">
        <f>IF(AND(EXACT(AJ6,"1"),EXACT(AR8,"1")),(1),(0))</f>
        <v>0</v>
      </c>
      <c r="BS8" s="19">
        <f>IF((BL8=1),BK8,0)</f>
        <v>0</v>
      </c>
      <c r="BW8" s="19">
        <f>IF((AL6=1),S6,0)</f>
        <v>0</v>
      </c>
      <c r="BX8" s="19">
        <f>IF(AND(EXACT(AL6,"1"),EXACT(AR8,"1")),(1),(0))</f>
        <v>0</v>
      </c>
      <c r="BY8" s="19">
        <f>IF((BX8=1),BW8,0)</f>
        <v>0</v>
      </c>
      <c r="CC8" s="19">
        <f>IF((AM6=1),R6,0)</f>
        <v>0</v>
      </c>
      <c r="CD8" s="19">
        <f>IF(AND(EXACT(AM6,"1"),EXACT(AR8,"1")),(1),(0))</f>
        <v>0</v>
      </c>
      <c r="CE8" s="19">
        <f>IF((CD8=1),CC8,0)</f>
        <v>0</v>
      </c>
    </row>
    <row r="9" spans="1:83" ht="20.25">
      <c r="A9" s="12">
        <f>IF(AA9=0,0,SUM(A6,AA9))</f>
        <v>0</v>
      </c>
      <c r="B9" s="1157"/>
      <c r="C9" s="1157"/>
      <c r="D9" s="1157"/>
      <c r="E9" s="1182"/>
      <c r="F9" s="1424"/>
      <c r="G9" s="1424"/>
      <c r="H9" s="527"/>
      <c r="I9" s="528"/>
      <c r="J9" s="529"/>
      <c r="K9" s="530"/>
      <c r="L9" s="531"/>
      <c r="M9" s="532"/>
      <c r="N9" s="533"/>
      <c r="O9" s="532"/>
      <c r="P9" s="1182"/>
      <c r="Q9" s="1182"/>
      <c r="R9" s="534">
        <f t="shared" ref="R9" ca="1" si="0">IF(OR(EXACT(H9,""),EXACT(B9,""),EXACT(F10,""),EXACT(H10,""),EXACT(J10,""),EXACT(L10,""),EXACT(N10,""),EXACT(F9,""),EXACT(J9,""),EXACT(M9,""),EXACT(N9,""),EXACT(O9,""),EXACT(P9,"")),0,IF(OR(EXACT(P10,"مقاله پر استناد"),EXACT(P10,"مقاله داغ"),EXACT(P10,"مستخرج از برنامه تحقيقاتي ملي معطوف به رفع مشكلات كشور")),(1.5*(F10*N10*(IF(EXACT(J10,"نفر اول"),INDIRECT(CONCATENATE("'Data Base'!$d",H10)),INDIRECT(CONCATENATE("'Data Base'!$e",H10))))*((100-L10)/100))),IF(EXACT(P10,"Short Article"),(0.5*(F10*N10*(IF(EXACT(J10,"نفر اول"),INDIRECT(CONCATENATE("'Data Base'!$D",H10)),INDIRECT(CONCATENATE("'Data Base'!$E",H10))))*((100-L10)/100))),IF(EXACT(P10,"چاپ شده در نشريات بسيار پر استناد Nature و Science"),(2*(F10*N10*(IF(EXACT(J10,"نفر اول"),INDIRECT(CONCATENATE("'Data Base'!$D",H10)),INDIRECT(CONCATENATE("'Data Base'!$E",H10))))*((100-L10)/100))),IF(OR(EXACT(P10,"مستخرج از طرح پژوهشي محرمانه"),EXACT(P10,"مشترك با اساتيد دانشگاه خارج از كشور")),(1.2*(F10*N10*(IF(EXACT(J10,"نفر اول"),INDIRECT(CONCATENATE("'Data Base'!$D",H10)),INDIRECT(CONCATENATE("'Data Base'!$E",H10))))*((100-L10)/100))),(F10*N10*(IF(EXACT(J10,"نفر اول"),INDIRECT(CONCATENATE("'Data Base'!$d",H10)),INDIRECT(CONCATENATE("'Data Base'!$e",H10))))*((100-L10)/100)))))))</f>
        <v>0</v>
      </c>
      <c r="S9" s="535">
        <f t="shared" ref="S9" ca="1" si="1">IF(OR(EXACT(H9,""),EXACT(B9,""),EXACT(F11,""),EXACT(H11,""),EXACT(J11,""),EXACT(L11,""),EXACT(N11,""),EXACT(F9,""),EXACT(J9,""),EXACT(M9,""),EXACT(N9,""),EXACT(O9,""),EXACT(P9,"")),0,IF(OR(EXACT(P11,"مقاله پر استناد"),EXACT(P11,"مقاله داغ"),EXACT(P11,"مستخرج از برنامه تحقيقاتي ملي معطوف به رفع مشكلات كشور")),(1.5*(F11*N11*(IF(EXACT(J11,"نفر اول"),INDIRECT(CONCATENATE("'Data Base'!$d",H11)),INDIRECT(CONCATENATE("'Data Base'!$E",H11))))*((100-L11)/100))),IF(EXACT(P11,"Short Article"),(0.5*(F11*N11*(IF(EXACT(J11,"نفر اول"),INDIRECT(CONCATENATE("'Data Base'!$D",H11)),INDIRECT(CONCATENATE("'Data Base'!$E",H11))))*((100-L11)/100))),IF(EXACT(P11,"چاپ شده در نشريات بسيار پر استناد Nature و Science"),(2*(F11*N11*(IF(EXACT(J11,"نفر اول"),INDIRECT(CONCATENATE("'Data Base'!$D",H11)),INDIRECT(CONCATENATE("'Data Base'!$E",H11))))*((100-L11)/100))),IF(OR(EXACT(P11,"مستخرج از طرح پژوهشي محرمانه"),EXACT(P11,"مشترك با اساتيد دانشگاه خارج از كشور")),(1.2*(F11*N11*(IF(EXACT(J11,"نفر اول"),INDIRECT(CONCATENATE("'Data Base'!$D",H11)),INDIRECT(CONCATENATE("'Data Base'!$E",H11))))*((100-L11)/100))),(F11*N11*(IF(EXACT(J11,"نفر اول"),INDIRECT(CONCATENATE("'Data Base'!$D",H11)),INDIRECT(CONCATENATE("'Data Base'!$E",H11))))*((100-L11)/100)))))))</f>
        <v>0</v>
      </c>
      <c r="T9" s="147"/>
      <c r="U9" s="1414"/>
      <c r="Z9" s="19">
        <f>SUM(AA6,AA9)</f>
        <v>0</v>
      </c>
      <c r="AA9" s="19">
        <f>IF(OR(OR(B9="",F9="",H9="",J9="",P9=""),AND(M9="",O9="")),0,1)</f>
        <v>0</v>
      </c>
      <c r="AB9" s="19">
        <f ca="1">IF(AND(AA9=1,S9&gt;0),1,0)</f>
        <v>0</v>
      </c>
      <c r="AC9" s="19">
        <f ca="1">IF(AND(AA9=1,S9&lt;1),1,0)</f>
        <v>0</v>
      </c>
      <c r="AD9" s="19">
        <f ca="1">IF(AND(AA9=1,S9&gt;=1,AJ9=1),1,0)</f>
        <v>0</v>
      </c>
      <c r="AE9" s="19">
        <f ca="1">IF(AD9=1,S9,0)</f>
        <v>0</v>
      </c>
      <c r="AF9" s="19">
        <f ca="1">IF(AND(AA9=1,S9&gt;=1,AJ9=1,AR11=1),1,0)</f>
        <v>0</v>
      </c>
      <c r="AG9" s="19">
        <f ca="1">IF(AF9=1,S9,0)</f>
        <v>0</v>
      </c>
      <c r="AH9" s="19">
        <f>IF(OR(EXACT(H9,"JCR-Q1"),EXACT(H9,"JCR-Q2")),(1),(0))</f>
        <v>0</v>
      </c>
      <c r="AI9" s="19">
        <f>IF(OR(EXACT(H9,"JCR-Q1"),EXACT(H9,"JCR-Q2"),EXACT(H9,"JCR-Q3")),(1),(0))</f>
        <v>0</v>
      </c>
      <c r="AJ9" s="19">
        <f>IF(OR(EXACT(H9,"JCR-Q1"),EXACT(H9,"JCR-Q2"),EXACT(H9,"JCR-Q3"),EXACT(H9,"JCR-Q4")),(1),(0))</f>
        <v>0</v>
      </c>
      <c r="AK9" s="19">
        <f>IF(OR(EXACT(H9,"JCR-Q1"),EXACT(H9,"JCR-Q2"),EXACT(H9,"JCR-Q3"),EXACT(H9,"JCR-Q4"),EXACT(H9,"WOS")),(1),(0))</f>
        <v>0</v>
      </c>
      <c r="AL9" s="19">
        <f>IF(OR(EXACT(H9,"JCR-Q1"),EXACT(H9,"JCR-Q2"),EXACT(H9,"JCR-Q3"),EXACT(H9,"JCR-Q4"),EXACT(H9,"WOS"),EXACT(H9,"Scopus")),(1),(0))</f>
        <v>0</v>
      </c>
      <c r="AM9" s="19">
        <f>IF(OR(EXACT(H9,'Data Base'!$B$21),EXACT(H9,'Data Base'!$B$22)),(1),(0))</f>
        <v>0</v>
      </c>
    </row>
    <row r="10" spans="1:83" ht="20.25" customHeight="1">
      <c r="A10" s="1416" t="s">
        <v>29</v>
      </c>
      <c r="B10" s="1417"/>
      <c r="C10" s="1417"/>
      <c r="D10" s="1418"/>
      <c r="E10" s="514" t="s">
        <v>1001</v>
      </c>
      <c r="F10" s="515"/>
      <c r="G10" s="516" t="s">
        <v>801</v>
      </c>
      <c r="H10" s="517"/>
      <c r="I10" s="516" t="s">
        <v>1002</v>
      </c>
      <c r="J10" s="518"/>
      <c r="K10" s="516" t="s">
        <v>1003</v>
      </c>
      <c r="L10" s="519"/>
      <c r="M10" s="516" t="s">
        <v>1004</v>
      </c>
      <c r="N10" s="520"/>
      <c r="O10" s="1266" t="s">
        <v>55</v>
      </c>
      <c r="P10" s="1419"/>
      <c r="Q10" s="1419"/>
      <c r="R10" s="1419"/>
      <c r="S10" s="1419"/>
      <c r="T10" s="1419"/>
      <c r="U10" s="1415"/>
      <c r="AN10" s="19">
        <f>IF(AND(AA9=1,EXACT(J10,"نفر اول")),(1),(0))</f>
        <v>0</v>
      </c>
      <c r="AO10" s="19">
        <f>IF(AN10=1,R9,0)</f>
        <v>0</v>
      </c>
      <c r="AP10" s="19">
        <f>IF(AND(AA9=1,EXACT(J10,"همكار")),(1),(0))</f>
        <v>0</v>
      </c>
      <c r="AQ10" s="19">
        <f>IF(AP10=1,R9,0)</f>
        <v>0</v>
      </c>
      <c r="AV10" s="19">
        <f>IF((AH9=1),R9,0)</f>
        <v>0</v>
      </c>
      <c r="AW10" s="19">
        <f>IF(AND(EXACT(AN10,"1"),EXACT(AH9,"1")),(1),(0))</f>
        <v>0</v>
      </c>
      <c r="AX10" s="19">
        <f>IF((AW10=1),AV10,0)</f>
        <v>0</v>
      </c>
      <c r="BB10" s="19">
        <f>IF((AI9=1),R9,0)</f>
        <v>0</v>
      </c>
      <c r="BC10" s="19">
        <f>IF(AND(EXACT(AI9,"1"),EXACT(AN10,"1")),(1),(0))</f>
        <v>0</v>
      </c>
      <c r="BD10" s="19">
        <f>IF((BC10=1),BB10,0)</f>
        <v>0</v>
      </c>
      <c r="BH10" s="19">
        <f>IF((AJ9=1),R9,0)</f>
        <v>0</v>
      </c>
      <c r="BI10" s="19">
        <f>IF(AND(EXACT(AJ9,"1"),EXACT(AN10,"1")),(1),(0))</f>
        <v>0</v>
      </c>
      <c r="BJ10" s="19">
        <f>IF((BI10=1),BH10,0)</f>
        <v>0</v>
      </c>
      <c r="BN10" s="19">
        <f>IF((AK9=1),R9,0)</f>
        <v>0</v>
      </c>
      <c r="BO10" s="19">
        <f>IF(AND(EXACT(AK9,"1"),EXACT(AN10,"1")),(1),(0))</f>
        <v>0</v>
      </c>
      <c r="BP10" s="19">
        <f>IF((BO10=1),BN10,0)</f>
        <v>0</v>
      </c>
      <c r="BT10" s="19">
        <f>IF((AL9=1),R9,0)</f>
        <v>0</v>
      </c>
      <c r="BU10" s="19">
        <f>IF(AND(EXACT(AN10,"1"),EXACT(AL9,"1")),(1),(0))</f>
        <v>0</v>
      </c>
      <c r="BV10" s="19">
        <f>IF((BU10=1),BT10,0)</f>
        <v>0</v>
      </c>
      <c r="BZ10" s="19">
        <f>IF((AM9=1),R9,0)</f>
        <v>0</v>
      </c>
      <c r="CA10" s="19">
        <f>IF(AND(EXACT(AM9,"1"),EXACT(AN10,"1")),(1),(0))</f>
        <v>0</v>
      </c>
      <c r="CB10" s="19">
        <f>IF((CA10=1),BZ10,0)</f>
        <v>0</v>
      </c>
    </row>
    <row r="11" spans="1:83" ht="20.25">
      <c r="A11" s="1420" t="s">
        <v>30</v>
      </c>
      <c r="B11" s="1421"/>
      <c r="C11" s="1421"/>
      <c r="D11" s="1422"/>
      <c r="E11" s="536" t="s">
        <v>1001</v>
      </c>
      <c r="F11" s="537"/>
      <c r="G11" s="538" t="s">
        <v>801</v>
      </c>
      <c r="H11" s="539"/>
      <c r="I11" s="538" t="s">
        <v>1002</v>
      </c>
      <c r="J11" s="525"/>
      <c r="K11" s="538" t="s">
        <v>1003</v>
      </c>
      <c r="L11" s="540"/>
      <c r="M11" s="538" t="s">
        <v>1004</v>
      </c>
      <c r="N11" s="541"/>
      <c r="O11" s="1266"/>
      <c r="P11" s="1423"/>
      <c r="Q11" s="1423"/>
      <c r="R11" s="1423"/>
      <c r="S11" s="1423"/>
      <c r="T11" s="1423"/>
      <c r="U11" s="1415"/>
      <c r="AR11" s="19">
        <f>IF(AND(AA9=1,EXACT(J11,"نفر اول")),(1),(0))</f>
        <v>0</v>
      </c>
      <c r="AS11" s="19">
        <f>IF(AR11=1,S9,0)</f>
        <v>0</v>
      </c>
      <c r="AT11" s="19">
        <f>IF(AND(AA9=1,EXACT(J11,"همكار")),(1),(0))</f>
        <v>0</v>
      </c>
      <c r="AU11" s="19">
        <f>IF(AT11=1,S9,0)</f>
        <v>0</v>
      </c>
      <c r="AY11" s="19">
        <f>IF((AH9=1),S9,0)</f>
        <v>0</v>
      </c>
      <c r="AZ11" s="19">
        <f>IF(AND(EXACT(AR11,"1"),EXACT(AH9,"1")),(1),(0))</f>
        <v>0</v>
      </c>
      <c r="BA11" s="19">
        <f>IF((AZ11=1),AY11,0)</f>
        <v>0</v>
      </c>
      <c r="BE11" s="19">
        <f>IF((AI9=1),S9,0)</f>
        <v>0</v>
      </c>
      <c r="BF11" s="19">
        <f>IF(AND(EXACT(AI9,"1"),EXACT(AR11,"1")),(1),(0))</f>
        <v>0</v>
      </c>
      <c r="BG11" s="19">
        <f>IF((BF11=1),BE11,0)</f>
        <v>0</v>
      </c>
      <c r="BK11" s="19">
        <f>IF((AJ9=1),S9,0)</f>
        <v>0</v>
      </c>
      <c r="BL11" s="19">
        <f>IF(AND(EXACT(AJ9,"1"),EXACT(AR11,"1")),(1),(0))</f>
        <v>0</v>
      </c>
      <c r="BM11" s="19">
        <f>IF((BL11=1),BK11,0)</f>
        <v>0</v>
      </c>
      <c r="BQ11" s="19">
        <f>IF((AJ9=1),S9,0)</f>
        <v>0</v>
      </c>
      <c r="BR11" s="19">
        <f>IF(AND(EXACT(AJ9,"1"),EXACT(AR11,"1")),(1),(0))</f>
        <v>0</v>
      </c>
      <c r="BS11" s="19">
        <f>IF((BL11=1),BK11,0)</f>
        <v>0</v>
      </c>
      <c r="BW11" s="19">
        <f>IF((AL9=1),S9,0)</f>
        <v>0</v>
      </c>
      <c r="BX11" s="19">
        <f>IF(AND(EXACT(AL9,"1"),EXACT(AR11,"1")),(1),(0))</f>
        <v>0</v>
      </c>
      <c r="BY11" s="19">
        <f>IF((BX11=1),BW11,0)</f>
        <v>0</v>
      </c>
      <c r="CC11" s="19">
        <f>IF((AM9=1),R9,0)</f>
        <v>0</v>
      </c>
      <c r="CD11" s="19">
        <f>IF(AND(EXACT(AM9,"1"),EXACT(AR11,"1")),(1),(0))</f>
        <v>0</v>
      </c>
      <c r="CE11" s="19">
        <f>IF((CD11=1),CC11,0)</f>
        <v>0</v>
      </c>
    </row>
    <row r="12" spans="1:83" ht="20.25">
      <c r="A12" s="12">
        <f>IF(AA12=0,0,IF(AA9=0,Z12,SUM(A9,AA12)))</f>
        <v>0</v>
      </c>
      <c r="B12" s="1157"/>
      <c r="C12" s="1157"/>
      <c r="D12" s="1157"/>
      <c r="E12" s="1182"/>
      <c r="F12" s="1424"/>
      <c r="G12" s="1424"/>
      <c r="H12" s="527"/>
      <c r="I12" s="528"/>
      <c r="J12" s="529"/>
      <c r="K12" s="530"/>
      <c r="L12" s="531"/>
      <c r="M12" s="532"/>
      <c r="N12" s="533"/>
      <c r="O12" s="532"/>
      <c r="P12" s="1182"/>
      <c r="Q12" s="1182"/>
      <c r="R12" s="534">
        <f t="shared" ref="R12" ca="1" si="2">IF(OR(EXACT(H12,""),EXACT(B12,""),EXACT(F13,""),EXACT(H13,""),EXACT(J13,""),EXACT(L13,""),EXACT(N13,""),EXACT(F12,""),EXACT(J12,""),EXACT(M12,""),EXACT(N12,""),EXACT(O12,""),EXACT(P12,"")),0,IF(OR(EXACT(P13,"مقاله پر استناد"),EXACT(P13,"مقاله داغ"),EXACT(P13,"مستخرج از برنامه تحقيقاتي ملي معطوف به رفع مشكلات كشور")),(1.5*(F13*N13*(IF(EXACT(J13,"نفر اول"),INDIRECT(CONCATENATE("'Data Base'!$d",H13)),INDIRECT(CONCATENATE("'Data Base'!$e",H13))))*((100-L13)/100))),IF(EXACT(P13,"Short Article"),(0.5*(F13*N13*(IF(EXACT(J13,"نفر اول"),INDIRECT(CONCATENATE("'Data Base'!$D",H13)),INDIRECT(CONCATENATE("'Data Base'!$E",H13))))*((100-L13)/100))),IF(EXACT(P13,"چاپ شده در نشريات بسيار پر استناد Nature و Science"),(2*(F13*N13*(IF(EXACT(J13,"نفر اول"),INDIRECT(CONCATENATE("'Data Base'!$D",H13)),INDIRECT(CONCATENATE("'Data Base'!$E",H13))))*((100-L13)/100))),IF(OR(EXACT(P13,"مستخرج از طرح پژوهشي محرمانه"),EXACT(P13,"مشترك با اساتيد دانشگاه خارج از كشور")),(1.2*(F13*N13*(IF(EXACT(J13,"نفر اول"),INDIRECT(CONCATENATE("'Data Base'!$D",H13)),INDIRECT(CONCATENATE("'Data Base'!$E",H13))))*((100-L13)/100))),(F13*N13*(IF(EXACT(J13,"نفر اول"),INDIRECT(CONCATENATE("'Data Base'!$d",H13)),INDIRECT(CONCATENATE("'Data Base'!$e",H13))))*((100-L13)/100)))))))</f>
        <v>0</v>
      </c>
      <c r="S12" s="535">
        <f t="shared" ref="S12" ca="1" si="3">IF(OR(EXACT(H12,""),EXACT(B12,""),EXACT(F14,""),EXACT(H14,""),EXACT(J14,""),EXACT(L14,""),EXACT(N14,""),EXACT(F12,""),EXACT(J12,""),EXACT(M12,""),EXACT(N12,""),EXACT(O12,""),EXACT(P12,"")),0,IF(OR(EXACT(P14,"مقاله پر استناد"),EXACT(P14,"مقاله داغ"),EXACT(P14,"مستخرج از برنامه تحقيقاتي ملي معطوف به رفع مشكلات كشور")),(1.5*(F14*N14*(IF(EXACT(J14,"نفر اول"),INDIRECT(CONCATENATE("'Data Base'!$d",H14)),INDIRECT(CONCATENATE("'Data Base'!$E",H14))))*((100-L14)/100))),IF(EXACT(P14,"Short Article"),(0.5*(F14*N14*(IF(EXACT(J14,"نفر اول"),INDIRECT(CONCATENATE("'Data Base'!$D",H14)),INDIRECT(CONCATENATE("'Data Base'!$E",H14))))*((100-L14)/100))),IF(EXACT(P14,"چاپ شده در نشريات بسيار پر استناد Nature و Science"),(2*(F14*N14*(IF(EXACT(J14,"نفر اول"),INDIRECT(CONCATENATE("'Data Base'!$D",H14)),INDIRECT(CONCATENATE("'Data Base'!$E",H14))))*((100-L14)/100))),IF(OR(EXACT(P14,"مستخرج از طرح پژوهشي محرمانه"),EXACT(P14,"مشترك با اساتيد دانشگاه خارج از كشور")),(1.2*(F14*N14*(IF(EXACT(J14,"نفر اول"),INDIRECT(CONCATENATE("'Data Base'!$D",H14)),INDIRECT(CONCATENATE("'Data Base'!$E",H14))))*((100-L14)/100))),(F14*N14*(IF(EXACT(J14,"نفر اول"),INDIRECT(CONCATENATE("'Data Base'!$D",H14)),INDIRECT(CONCATENATE("'Data Base'!$E",H14))))*((100-L14)/100)))))))</f>
        <v>0</v>
      </c>
      <c r="T12" s="147"/>
      <c r="U12" s="1414"/>
      <c r="Z12" s="19">
        <f>SUM(Z9,AA12)</f>
        <v>0</v>
      </c>
      <c r="AA12" s="19">
        <f>IF(OR(OR(B12="",F12="",H12="",J12="",P12=""),AND(M12="",O12="")),0,1)</f>
        <v>0</v>
      </c>
      <c r="AB12" s="19">
        <f t="shared" ref="AB12" ca="1" si="4">IF(AND(AA12=1,S12&gt;0),1,0)</f>
        <v>0</v>
      </c>
      <c r="AC12" s="19">
        <f ca="1">IF(AND(AA12=1,S12&lt;1),1,0)</f>
        <v>0</v>
      </c>
      <c r="AD12" s="19">
        <f ca="1">IF(AND(AA12=1,S12&gt;=1,AJ12=1),1,0)</f>
        <v>0</v>
      </c>
      <c r="AE12" s="19">
        <f ca="1">IF(AD12=1,S12,0)</f>
        <v>0</v>
      </c>
      <c r="AF12" s="19">
        <f ca="1">IF(AND(AA12=1,S12&gt;=1,AJ12=1,AR14=1),1,0)</f>
        <v>0</v>
      </c>
      <c r="AG12" s="19">
        <f ca="1">IF(AF12=1,S12,0)</f>
        <v>0</v>
      </c>
      <c r="AH12" s="19">
        <f>IF(OR(EXACT(H12,"JCR-Q1"),EXACT(H12,"JCR-Q2")),(1),(0))</f>
        <v>0</v>
      </c>
      <c r="AI12" s="19">
        <f>IF(OR(EXACT(H12,"JCR-Q1"),EXACT(H12,"JCR-Q2"),EXACT(H12,"JCR-Q3")),(1),(0))</f>
        <v>0</v>
      </c>
      <c r="AJ12" s="19">
        <f>IF(OR(EXACT(H12,"JCR-Q1"),EXACT(H12,"JCR-Q2"),EXACT(H12,"JCR-Q3"),EXACT(H12,"JCR-Q4")),(1),(0))</f>
        <v>0</v>
      </c>
      <c r="AK12" s="19">
        <f>IF(OR(EXACT(H12,"JCR-Q1"),EXACT(H12,"JCR-Q2"),EXACT(H12,"JCR-Q3"),EXACT(H12,"JCR-Q4"),EXACT(H12,"WOS")),(1),(0))</f>
        <v>0</v>
      </c>
      <c r="AL12" s="19">
        <f>IF(OR(EXACT(H12,"JCR-Q1"),EXACT(H12,"JCR-Q2"),EXACT(H12,"JCR-Q3"),EXACT(H12,"JCR-Q4"),EXACT(H12,"WOS"),EXACT(H12,"Scopus")),(1),(0))</f>
        <v>0</v>
      </c>
      <c r="AM12" s="19">
        <f>IF(OR(EXACT(H12,'Data Base'!$B$21),EXACT(H12,'Data Base'!$B$22)),(1),(0))</f>
        <v>0</v>
      </c>
    </row>
    <row r="13" spans="1:83" ht="20.25" customHeight="1">
      <c r="A13" s="1416" t="s">
        <v>29</v>
      </c>
      <c r="B13" s="1417"/>
      <c r="C13" s="1417"/>
      <c r="D13" s="1418"/>
      <c r="E13" s="514" t="s">
        <v>1001</v>
      </c>
      <c r="F13" s="515"/>
      <c r="G13" s="516" t="s">
        <v>801</v>
      </c>
      <c r="H13" s="517"/>
      <c r="I13" s="516" t="s">
        <v>1002</v>
      </c>
      <c r="J13" s="518"/>
      <c r="K13" s="516" t="s">
        <v>1003</v>
      </c>
      <c r="L13" s="519"/>
      <c r="M13" s="516" t="s">
        <v>1004</v>
      </c>
      <c r="N13" s="520"/>
      <c r="O13" s="1266" t="s">
        <v>55</v>
      </c>
      <c r="P13" s="1419"/>
      <c r="Q13" s="1419"/>
      <c r="R13" s="1419"/>
      <c r="S13" s="1419"/>
      <c r="T13" s="1419"/>
      <c r="U13" s="1415"/>
      <c r="AN13" s="19">
        <f>IF(AND(AA12=1,EXACT(J13,"نفر اول")),(1),(0))</f>
        <v>0</v>
      </c>
      <c r="AO13" s="19">
        <f>IF(AN13=1,R12,0)</f>
        <v>0</v>
      </c>
      <c r="AP13" s="19">
        <f>IF(AND(AA12=1,EXACT(J13,"همكار")),(1),(0))</f>
        <v>0</v>
      </c>
      <c r="AQ13" s="19">
        <f>IF(AP13=1,R12,0)</f>
        <v>0</v>
      </c>
      <c r="AV13" s="19">
        <f>IF((AH12=1),R12,0)</f>
        <v>0</v>
      </c>
      <c r="AW13" s="19">
        <f>IF(AND(EXACT(AN13,"1"),EXACT(AH12,"1")),(1),(0))</f>
        <v>0</v>
      </c>
      <c r="AX13" s="19">
        <f>IF((AW13=1),AV13,0)</f>
        <v>0</v>
      </c>
      <c r="BB13" s="19">
        <f>IF((AI12=1),R12,0)</f>
        <v>0</v>
      </c>
      <c r="BC13" s="19">
        <f>IF(AND(EXACT(AI12,"1"),EXACT(AN13,"1")),(1),(0))</f>
        <v>0</v>
      </c>
      <c r="BD13" s="19">
        <f>IF((BC13=1),BB13,0)</f>
        <v>0</v>
      </c>
      <c r="BH13" s="19">
        <f>IF((AJ12=1),R12,0)</f>
        <v>0</v>
      </c>
      <c r="BI13" s="19">
        <f>IF(AND(EXACT(AJ12,"1"),EXACT(AN13,"1")),(1),(0))</f>
        <v>0</v>
      </c>
      <c r="BJ13" s="19">
        <f>IF((BI13=1),BH13,0)</f>
        <v>0</v>
      </c>
      <c r="BN13" s="19">
        <f>IF((AK12=1),R12,0)</f>
        <v>0</v>
      </c>
      <c r="BO13" s="19">
        <f>IF(AND(EXACT(AK12,"1"),EXACT(AN13,"1")),(1),(0))</f>
        <v>0</v>
      </c>
      <c r="BP13" s="19">
        <f>IF((BO13=1),BN13,0)</f>
        <v>0</v>
      </c>
      <c r="BT13" s="19">
        <f>IF((AL12=1),R12,0)</f>
        <v>0</v>
      </c>
      <c r="BU13" s="19">
        <f>IF(AND(EXACT(AN13,"1"),EXACT(AL12,"1")),(1),(0))</f>
        <v>0</v>
      </c>
      <c r="BV13" s="19">
        <f>IF((BU13=1),BT13,0)</f>
        <v>0</v>
      </c>
      <c r="BZ13" s="19">
        <f>IF((AM12=1),R12,0)</f>
        <v>0</v>
      </c>
      <c r="CA13" s="19">
        <f>IF(AND(EXACT(AM12,"1"),EXACT(AN13,"1")),(1),(0))</f>
        <v>0</v>
      </c>
      <c r="CB13" s="19">
        <f>IF((CA13=1),BZ13,0)</f>
        <v>0</v>
      </c>
    </row>
    <row r="14" spans="1:83" ht="20.25">
      <c r="A14" s="1420" t="s">
        <v>30</v>
      </c>
      <c r="B14" s="1421"/>
      <c r="C14" s="1421"/>
      <c r="D14" s="1422"/>
      <c r="E14" s="536" t="s">
        <v>1001</v>
      </c>
      <c r="F14" s="537"/>
      <c r="G14" s="538" t="s">
        <v>801</v>
      </c>
      <c r="H14" s="539"/>
      <c r="I14" s="538" t="s">
        <v>1002</v>
      </c>
      <c r="J14" s="525"/>
      <c r="K14" s="538" t="s">
        <v>1003</v>
      </c>
      <c r="L14" s="540"/>
      <c r="M14" s="538" t="s">
        <v>1004</v>
      </c>
      <c r="N14" s="541"/>
      <c r="O14" s="1266"/>
      <c r="P14" s="1423"/>
      <c r="Q14" s="1423"/>
      <c r="R14" s="1423"/>
      <c r="S14" s="1423"/>
      <c r="T14" s="1423"/>
      <c r="U14" s="1415"/>
      <c r="AR14" s="19">
        <f>IF(AND(AA12=1,EXACT(J14,"نفر اول")),(1),(0))</f>
        <v>0</v>
      </c>
      <c r="AS14" s="19">
        <f>IF(AR14=1,S12,0)</f>
        <v>0</v>
      </c>
      <c r="AT14" s="19">
        <f>IF(AND(AA12=1,EXACT(J14,"همكار")),(1),(0))</f>
        <v>0</v>
      </c>
      <c r="AU14" s="19">
        <f>IF(AT14=1,S12,0)</f>
        <v>0</v>
      </c>
      <c r="AY14" s="19">
        <f>IF((AH12=1),S12,0)</f>
        <v>0</v>
      </c>
      <c r="AZ14" s="19">
        <f>IF(AND(EXACT(AR14,"1"),EXACT(AH12,"1")),(1),(0))</f>
        <v>0</v>
      </c>
      <c r="BA14" s="19">
        <f>IF((AZ14=1),AY14,0)</f>
        <v>0</v>
      </c>
      <c r="BE14" s="19">
        <f>IF((AI12=1),S12,0)</f>
        <v>0</v>
      </c>
      <c r="BF14" s="19">
        <f>IF(AND(EXACT(AI12,"1"),EXACT(AR14,"1")),(1),(0))</f>
        <v>0</v>
      </c>
      <c r="BG14" s="19">
        <f>IF((BF14=1),BE14,0)</f>
        <v>0</v>
      </c>
      <c r="BK14" s="19">
        <f>IF((AJ12=1),S12,0)</f>
        <v>0</v>
      </c>
      <c r="BL14" s="19">
        <f>IF(AND(EXACT(AJ12,"1"),EXACT(AR14,"1")),(1),(0))</f>
        <v>0</v>
      </c>
      <c r="BM14" s="19">
        <f>IF((BL14=1),BK14,0)</f>
        <v>0</v>
      </c>
      <c r="BQ14" s="19">
        <f>IF((AJ12=1),S12,0)</f>
        <v>0</v>
      </c>
      <c r="BR14" s="19">
        <f>IF(AND(EXACT(AJ12,"1"),EXACT(AR14,"1")),(1),(0))</f>
        <v>0</v>
      </c>
      <c r="BS14" s="19">
        <f>IF((BL14=1),BK14,0)</f>
        <v>0</v>
      </c>
      <c r="BW14" s="19">
        <f>IF((AL12=1),S12,0)</f>
        <v>0</v>
      </c>
      <c r="BX14" s="19">
        <f>IF(AND(EXACT(AL12,"1"),EXACT(AR14,"1")),(1),(0))</f>
        <v>0</v>
      </c>
      <c r="BY14" s="19">
        <f>IF((BX14=1),BW14,0)</f>
        <v>0</v>
      </c>
      <c r="CC14" s="19">
        <f>IF((AM12=1),R12,0)</f>
        <v>0</v>
      </c>
      <c r="CD14" s="19">
        <f>IF(AND(EXACT(AM12,"1"),EXACT(AR14,"1")),(1),(0))</f>
        <v>0</v>
      </c>
      <c r="CE14" s="19">
        <f>IF((CD14=1),CC14,0)</f>
        <v>0</v>
      </c>
    </row>
    <row r="15" spans="1:83" ht="20.25">
      <c r="A15" s="12">
        <f>IF(AA15=0,0,IF(AA12=0,Z15,SUM(A12,AA15)))</f>
        <v>0</v>
      </c>
      <c r="B15" s="1157"/>
      <c r="C15" s="1157"/>
      <c r="D15" s="1157"/>
      <c r="E15" s="1182"/>
      <c r="F15" s="1424"/>
      <c r="G15" s="1424"/>
      <c r="H15" s="527"/>
      <c r="I15" s="528"/>
      <c r="J15" s="529"/>
      <c r="K15" s="530"/>
      <c r="L15" s="531"/>
      <c r="M15" s="532"/>
      <c r="N15" s="533"/>
      <c r="O15" s="532"/>
      <c r="P15" s="1182"/>
      <c r="Q15" s="1182"/>
      <c r="R15" s="534">
        <f t="shared" ref="R15" ca="1" si="5">IF(OR(EXACT(H15,""),EXACT(B15,""),EXACT(F16,""),EXACT(H16,""),EXACT(J16,""),EXACT(L16,""),EXACT(N16,""),EXACT(F15,""),EXACT(J15,""),EXACT(M15,""),EXACT(N15,""),EXACT(O15,""),EXACT(P15,"")),0,IF(OR(EXACT(P16,"مقاله پر استناد"),EXACT(P16,"مقاله داغ"),EXACT(P16,"مستخرج از برنامه تحقيقاتي ملي معطوف به رفع مشكلات كشور")),(1.5*(F16*N16*(IF(EXACT(J16,"نفر اول"),INDIRECT(CONCATENATE("'Data Base'!$d",H16)),INDIRECT(CONCATENATE("'Data Base'!$e",H16))))*((100-L16)/100))),IF(EXACT(P16,"Short Article"),(0.5*(F16*N16*(IF(EXACT(J16,"نفر اول"),INDIRECT(CONCATENATE("'Data Base'!$D",H16)),INDIRECT(CONCATENATE("'Data Base'!$E",H16))))*((100-L16)/100))),IF(EXACT(P16,"چاپ شده در نشريات بسيار پر استناد Nature و Science"),(2*(F16*N16*(IF(EXACT(J16,"نفر اول"),INDIRECT(CONCATENATE("'Data Base'!$D",H16)),INDIRECT(CONCATENATE("'Data Base'!$E",H16))))*((100-L16)/100))),IF(OR(EXACT(P16,"مستخرج از طرح پژوهشي محرمانه"),EXACT(P16,"مشترك با اساتيد دانشگاه خارج از كشور")),(1.2*(F16*N16*(IF(EXACT(J16,"نفر اول"),INDIRECT(CONCATENATE("'Data Base'!$D",H16)),INDIRECT(CONCATENATE("'Data Base'!$E",H16))))*((100-L16)/100))),(F16*N16*(IF(EXACT(J16,"نفر اول"),INDIRECT(CONCATENATE("'Data Base'!$d",H16)),INDIRECT(CONCATENATE("'Data Base'!$e",H16))))*((100-L16)/100)))))))</f>
        <v>0</v>
      </c>
      <c r="S15" s="535">
        <f t="shared" ref="S15" ca="1" si="6">IF(OR(EXACT(H15,""),EXACT(B15,""),EXACT(F17,""),EXACT(H17,""),EXACT(J17,""),EXACT(L17,""),EXACT(N17,""),EXACT(F15,""),EXACT(J15,""),EXACT(M15,""),EXACT(N15,""),EXACT(O15,""),EXACT(P15,"")),0,IF(OR(EXACT(P17,"مقاله پر استناد"),EXACT(P17,"مقاله داغ"),EXACT(P17,"مستخرج از برنامه تحقيقاتي ملي معطوف به رفع مشكلات كشور")),(1.5*(F17*N17*(IF(EXACT(J17,"نفر اول"),INDIRECT(CONCATENATE("'Data Base'!$d",H17)),INDIRECT(CONCATENATE("'Data Base'!$E",H17))))*((100-L17)/100))),IF(EXACT(P17,"Short Article"),(0.5*(F17*N17*(IF(EXACT(J17,"نفر اول"),INDIRECT(CONCATENATE("'Data Base'!$D",H17)),INDIRECT(CONCATENATE("'Data Base'!$E",H17))))*((100-L17)/100))),IF(EXACT(P17,"چاپ شده در نشريات بسيار پر استناد Nature و Science"),(2*(F17*N17*(IF(EXACT(J17,"نفر اول"),INDIRECT(CONCATENATE("'Data Base'!$D",H17)),INDIRECT(CONCATENATE("'Data Base'!$E",H17))))*((100-L17)/100))),IF(OR(EXACT(P17,"مستخرج از طرح پژوهشي محرمانه"),EXACT(P17,"مشترك با اساتيد دانشگاه خارج از كشور")),(1.2*(F17*N17*(IF(EXACT(J17,"نفر اول"),INDIRECT(CONCATENATE("'Data Base'!$D",H17)),INDIRECT(CONCATENATE("'Data Base'!$E",H17))))*((100-L17)/100))),(F17*N17*(IF(EXACT(J17,"نفر اول"),INDIRECT(CONCATENATE("'Data Base'!$D",H17)),INDIRECT(CONCATENATE("'Data Base'!$E",H17))))*((100-L17)/100)))))))</f>
        <v>0</v>
      </c>
      <c r="T15" s="147"/>
      <c r="U15" s="1414"/>
      <c r="Z15" s="19">
        <f>SUM(Z12,AA15)</f>
        <v>0</v>
      </c>
      <c r="AA15" s="19">
        <f>IF(OR(OR(B15="",F15="",H15="",J15="",P15=""),AND(M15="",O15="")),0,1)</f>
        <v>0</v>
      </c>
      <c r="AB15" s="19">
        <f t="shared" ref="AB15" ca="1" si="7">IF(AND(AA15=1,S15&gt;0),1,0)</f>
        <v>0</v>
      </c>
      <c r="AC15" s="19">
        <f ca="1">IF(AND(AA15=1,S15&lt;1),1,0)</f>
        <v>0</v>
      </c>
      <c r="AD15" s="19">
        <f ca="1">IF(AND(AA15=1,S15&gt;=1,AJ15=1),1,0)</f>
        <v>0</v>
      </c>
      <c r="AE15" s="19">
        <f ca="1">IF(AD15=1,S15,0)</f>
        <v>0</v>
      </c>
      <c r="AF15" s="19">
        <f ca="1">IF(AND(AA15=1,S15&gt;=1,AJ15=1,AR17=1),1,0)</f>
        <v>0</v>
      </c>
      <c r="AG15" s="19">
        <f ca="1">IF(AF15=1,S15,0)</f>
        <v>0</v>
      </c>
      <c r="AH15" s="19">
        <f>IF(OR(EXACT(H15,"JCR-Q1"),EXACT(H15,"JCR-Q2")),(1),(0))</f>
        <v>0</v>
      </c>
      <c r="AI15" s="19">
        <f>IF(OR(EXACT(H15,"JCR-Q1"),EXACT(H15,"JCR-Q2"),EXACT(H15,"JCR-Q3")),(1),(0))</f>
        <v>0</v>
      </c>
      <c r="AJ15" s="19">
        <f>IF(OR(EXACT(H15,"JCR-Q1"),EXACT(H15,"JCR-Q2"),EXACT(H15,"JCR-Q3"),EXACT(H15,"JCR-Q4")),(1),(0))</f>
        <v>0</v>
      </c>
      <c r="AK15" s="19">
        <f>IF(OR(EXACT(H15,"JCR-Q1"),EXACT(H15,"JCR-Q2"),EXACT(H15,"JCR-Q3"),EXACT(H15,"JCR-Q4"),EXACT(H15,"WOS")),(1),(0))</f>
        <v>0</v>
      </c>
      <c r="AL15" s="19">
        <f>IF(OR(EXACT(H15,"JCR-Q1"),EXACT(H15,"JCR-Q2"),EXACT(H15,"JCR-Q3"),EXACT(H15,"JCR-Q4"),EXACT(H15,"WOS"),EXACT(H15,"Scopus")),(1),(0))</f>
        <v>0</v>
      </c>
      <c r="AM15" s="19">
        <f>IF(OR(EXACT(H15,'Data Base'!$B$21),EXACT(H15,'Data Base'!$B$22)),(1),(0))</f>
        <v>0</v>
      </c>
    </row>
    <row r="16" spans="1:83" ht="20.25" customHeight="1">
      <c r="A16" s="1416" t="s">
        <v>29</v>
      </c>
      <c r="B16" s="1417"/>
      <c r="C16" s="1417"/>
      <c r="D16" s="1418"/>
      <c r="E16" s="514" t="s">
        <v>1001</v>
      </c>
      <c r="F16" s="515"/>
      <c r="G16" s="516" t="s">
        <v>801</v>
      </c>
      <c r="H16" s="517"/>
      <c r="I16" s="516" t="s">
        <v>1002</v>
      </c>
      <c r="J16" s="518"/>
      <c r="K16" s="516" t="s">
        <v>1003</v>
      </c>
      <c r="L16" s="519"/>
      <c r="M16" s="516" t="s">
        <v>1004</v>
      </c>
      <c r="N16" s="520"/>
      <c r="O16" s="1266" t="s">
        <v>55</v>
      </c>
      <c r="P16" s="1419"/>
      <c r="Q16" s="1419"/>
      <c r="R16" s="1419"/>
      <c r="S16" s="1419"/>
      <c r="T16" s="1419"/>
      <c r="U16" s="1415"/>
      <c r="AN16" s="19">
        <f>IF(AND(AA15=1,EXACT(J16,"نفر اول")),(1),(0))</f>
        <v>0</v>
      </c>
      <c r="AO16" s="19">
        <f>IF(AN16=1,R15,0)</f>
        <v>0</v>
      </c>
      <c r="AP16" s="19">
        <f>IF(AND(AA15=1,EXACT(J16,"همكار")),(1),(0))</f>
        <v>0</v>
      </c>
      <c r="AQ16" s="19">
        <f>IF(AP16=1,R15,0)</f>
        <v>0</v>
      </c>
      <c r="AV16" s="19">
        <f>IF((AH15=1),R15,0)</f>
        <v>0</v>
      </c>
      <c r="AW16" s="19">
        <f>IF(AND(EXACT(AN16,"1"),EXACT(AH15,"1")),(1),(0))</f>
        <v>0</v>
      </c>
      <c r="AX16" s="19">
        <f>IF((AW16=1),AV16,0)</f>
        <v>0</v>
      </c>
      <c r="BB16" s="19">
        <f>IF((AI15=1),R15,0)</f>
        <v>0</v>
      </c>
      <c r="BC16" s="19">
        <f>IF(AND(EXACT(AI15,"1"),EXACT(AN16,"1")),(1),(0))</f>
        <v>0</v>
      </c>
      <c r="BD16" s="19">
        <f>IF((BC16=1),BB16,0)</f>
        <v>0</v>
      </c>
      <c r="BH16" s="19">
        <f>IF((AJ15=1),R15,0)</f>
        <v>0</v>
      </c>
      <c r="BI16" s="19">
        <f>IF(AND(EXACT(AJ15,"1"),EXACT(AN16,"1")),(1),(0))</f>
        <v>0</v>
      </c>
      <c r="BJ16" s="19">
        <f>IF((BI16=1),BH16,0)</f>
        <v>0</v>
      </c>
      <c r="BN16" s="19">
        <f>IF((AK15=1),R15,0)</f>
        <v>0</v>
      </c>
      <c r="BO16" s="19">
        <f>IF(AND(EXACT(AK15,"1"),EXACT(AN16,"1")),(1),(0))</f>
        <v>0</v>
      </c>
      <c r="BP16" s="19">
        <f>IF((BO16=1),BN16,0)</f>
        <v>0</v>
      </c>
      <c r="BT16" s="19">
        <f>IF((AL15=1),R15,0)</f>
        <v>0</v>
      </c>
      <c r="BU16" s="19">
        <f>IF(AND(EXACT(AN16,"1"),EXACT(AL15,"1")),(1),(0))</f>
        <v>0</v>
      </c>
      <c r="BV16" s="19">
        <f>IF((BU16=1),BT16,0)</f>
        <v>0</v>
      </c>
      <c r="BZ16" s="19">
        <f>IF((AM15=1),R15,0)</f>
        <v>0</v>
      </c>
      <c r="CA16" s="19">
        <f>IF(AND(EXACT(AM15,"1"),EXACT(AN16,"1")),(1),(0))</f>
        <v>0</v>
      </c>
      <c r="CB16" s="19">
        <f>IF((CA16=1),BZ16,0)</f>
        <v>0</v>
      </c>
    </row>
    <row r="17" spans="1:83" ht="20.25">
      <c r="A17" s="1420" t="s">
        <v>30</v>
      </c>
      <c r="B17" s="1421"/>
      <c r="C17" s="1421"/>
      <c r="D17" s="1422"/>
      <c r="E17" s="536" t="s">
        <v>1001</v>
      </c>
      <c r="F17" s="537"/>
      <c r="G17" s="538" t="s">
        <v>801</v>
      </c>
      <c r="H17" s="539"/>
      <c r="I17" s="538" t="s">
        <v>1002</v>
      </c>
      <c r="J17" s="525"/>
      <c r="K17" s="538" t="s">
        <v>1003</v>
      </c>
      <c r="L17" s="540"/>
      <c r="M17" s="538" t="s">
        <v>1004</v>
      </c>
      <c r="N17" s="541"/>
      <c r="O17" s="1266"/>
      <c r="P17" s="1423"/>
      <c r="Q17" s="1423"/>
      <c r="R17" s="1423"/>
      <c r="S17" s="1423"/>
      <c r="T17" s="1423"/>
      <c r="U17" s="1415"/>
      <c r="AR17" s="19">
        <f>IF(AND(AA15=1,EXACT(J17,"نفر اول")),(1),(0))</f>
        <v>0</v>
      </c>
      <c r="AS17" s="19">
        <f>IF(AR17=1,S15,0)</f>
        <v>0</v>
      </c>
      <c r="AT17" s="19">
        <f>IF(AND(AA15=1,EXACT(J17,"همكار")),(1),(0))</f>
        <v>0</v>
      </c>
      <c r="AU17" s="19">
        <f>IF(AT17=1,S15,0)</f>
        <v>0</v>
      </c>
      <c r="AY17" s="19">
        <f>IF((AH15=1),S15,0)</f>
        <v>0</v>
      </c>
      <c r="AZ17" s="19">
        <f>IF(AND(EXACT(AR17,"1"),EXACT(AH15,"1")),(1),(0))</f>
        <v>0</v>
      </c>
      <c r="BA17" s="19">
        <f>IF((AZ17=1),AY17,0)</f>
        <v>0</v>
      </c>
      <c r="BE17" s="19">
        <f>IF((AI15=1),S15,0)</f>
        <v>0</v>
      </c>
      <c r="BF17" s="19">
        <f>IF(AND(EXACT(AI15,"1"),EXACT(AR17,"1")),(1),(0))</f>
        <v>0</v>
      </c>
      <c r="BG17" s="19">
        <f>IF((BF17=1),BE17,0)</f>
        <v>0</v>
      </c>
      <c r="BK17" s="19">
        <f>IF((AJ15=1),S15,0)</f>
        <v>0</v>
      </c>
      <c r="BL17" s="19">
        <f>IF(AND(EXACT(AJ15,"1"),EXACT(AR17,"1")),(1),(0))</f>
        <v>0</v>
      </c>
      <c r="BM17" s="19">
        <f>IF((BL17=1),BK17,0)</f>
        <v>0</v>
      </c>
      <c r="BQ17" s="19">
        <f>IF((AJ15=1),S15,0)</f>
        <v>0</v>
      </c>
      <c r="BR17" s="19">
        <f>IF(AND(EXACT(AJ15,"1"),EXACT(AR17,"1")),(1),(0))</f>
        <v>0</v>
      </c>
      <c r="BS17" s="19">
        <f>IF((BL17=1),BK17,0)</f>
        <v>0</v>
      </c>
      <c r="BW17" s="19">
        <f>IF((AL15=1),S15,0)</f>
        <v>0</v>
      </c>
      <c r="BX17" s="19">
        <f>IF(AND(EXACT(AL15,"1"),EXACT(AR17,"1")),(1),(0))</f>
        <v>0</v>
      </c>
      <c r="BY17" s="19">
        <f>IF((BX17=1),BW17,0)</f>
        <v>0</v>
      </c>
      <c r="CC17" s="19">
        <f>IF((AM15=1),R15,0)</f>
        <v>0</v>
      </c>
      <c r="CD17" s="19">
        <f>IF(AND(EXACT(AM15,"1"),EXACT(AR17,"1")),(1),(0))</f>
        <v>0</v>
      </c>
      <c r="CE17" s="19">
        <f>IF((CD17=1),CC17,0)</f>
        <v>0</v>
      </c>
    </row>
    <row r="18" spans="1:83" ht="20.25">
      <c r="A18" s="12">
        <f>IF(AA18=0,0,IF(AA15=0,Z18,SUM(A15,AA18)))</f>
        <v>0</v>
      </c>
      <c r="B18" s="1157"/>
      <c r="C18" s="1157"/>
      <c r="D18" s="1157"/>
      <c r="E18" s="1182"/>
      <c r="F18" s="1424"/>
      <c r="G18" s="1424"/>
      <c r="H18" s="527"/>
      <c r="I18" s="528"/>
      <c r="J18" s="529"/>
      <c r="K18" s="530"/>
      <c r="L18" s="531"/>
      <c r="M18" s="532"/>
      <c r="N18" s="533"/>
      <c r="O18" s="532"/>
      <c r="P18" s="1182"/>
      <c r="Q18" s="1182"/>
      <c r="R18" s="534">
        <f t="shared" ref="R18" ca="1" si="8">IF(OR(EXACT(H18,""),EXACT(B18,""),EXACT(F19,""),EXACT(H19,""),EXACT(J19,""),EXACT(L19,""),EXACT(N19,""),EXACT(F18,""),EXACT(J18,""),EXACT(M18,""),EXACT(N18,""),EXACT(O18,""),EXACT(P18,"")),0,IF(OR(EXACT(P19,"مقاله پر استناد"),EXACT(P19,"مقاله داغ"),EXACT(P19,"مستخرج از برنامه تحقيقاتي ملي معطوف به رفع مشكلات كشور")),(1.5*(F19*N19*(IF(EXACT(J19,"نفر اول"),INDIRECT(CONCATENATE("'Data Base'!$d",H19)),INDIRECT(CONCATENATE("'Data Base'!$e",H19))))*((100-L19)/100))),IF(EXACT(P19,"Short Article"),(0.5*(F19*N19*(IF(EXACT(J19,"نفر اول"),INDIRECT(CONCATENATE("'Data Base'!$D",H19)),INDIRECT(CONCATENATE("'Data Base'!$E",H19))))*((100-L19)/100))),IF(EXACT(P19,"چاپ شده در نشريات بسيار پر استناد Nature و Science"),(2*(F19*N19*(IF(EXACT(J19,"نفر اول"),INDIRECT(CONCATENATE("'Data Base'!$D",H19)),INDIRECT(CONCATENATE("'Data Base'!$E",H19))))*((100-L19)/100))),IF(OR(EXACT(P19,"مستخرج از طرح پژوهشي محرمانه"),EXACT(P19,"مشترك با اساتيد دانشگاه خارج از كشور")),(1.2*(F19*N19*(IF(EXACT(J19,"نفر اول"),INDIRECT(CONCATENATE("'Data Base'!$D",H19)),INDIRECT(CONCATENATE("'Data Base'!$E",H19))))*((100-L19)/100))),(F19*N19*(IF(EXACT(J19,"نفر اول"),INDIRECT(CONCATENATE("'Data Base'!$d",H19)),INDIRECT(CONCATENATE("'Data Base'!$e",H19))))*((100-L19)/100)))))))</f>
        <v>0</v>
      </c>
      <c r="S18" s="535">
        <f t="shared" ref="S18" ca="1" si="9">IF(OR(EXACT(H18,""),EXACT(B18,""),EXACT(F20,""),EXACT(H20,""),EXACT(J20,""),EXACT(L20,""),EXACT(N20,""),EXACT(F18,""),EXACT(J18,""),EXACT(M18,""),EXACT(N18,""),EXACT(O18,""),EXACT(P18,"")),0,IF(OR(EXACT(P20,"مقاله پر استناد"),EXACT(P20,"مقاله داغ"),EXACT(P20,"مستخرج از برنامه تحقيقاتي ملي معطوف به رفع مشكلات كشور")),(1.5*(F20*N20*(IF(EXACT(J20,"نفر اول"),INDIRECT(CONCATENATE("'Data Base'!$d",H20)),INDIRECT(CONCATENATE("'Data Base'!$E",H20))))*((100-L20)/100))),IF(EXACT(P20,"Short Article"),(0.5*(F20*N20*(IF(EXACT(J20,"نفر اول"),INDIRECT(CONCATENATE("'Data Base'!$D",H20)),INDIRECT(CONCATENATE("'Data Base'!$E",H20))))*((100-L20)/100))),IF(EXACT(P20,"چاپ شده در نشريات بسيار پر استناد Nature و Science"),(2*(F20*N20*(IF(EXACT(J20,"نفر اول"),INDIRECT(CONCATENATE("'Data Base'!$D",H20)),INDIRECT(CONCATENATE("'Data Base'!$E",H20))))*((100-L20)/100))),IF(OR(EXACT(P20,"مستخرج از طرح پژوهشي محرمانه"),EXACT(P20,"مشترك با اساتيد دانشگاه خارج از كشور")),(1.2*(F20*N20*(IF(EXACT(J20,"نفر اول"),INDIRECT(CONCATENATE("'Data Base'!$D",H20)),INDIRECT(CONCATENATE("'Data Base'!$E",H20))))*((100-L20)/100))),(F20*N20*(IF(EXACT(J20,"نفر اول"),INDIRECT(CONCATENATE("'Data Base'!$D",H20)),INDIRECT(CONCATENATE("'Data Base'!$E",H20))))*((100-L20)/100)))))))</f>
        <v>0</v>
      </c>
      <c r="T18" s="147"/>
      <c r="U18" s="1414"/>
      <c r="Z18" s="19">
        <f>SUM(Z15,AA18)</f>
        <v>0</v>
      </c>
      <c r="AA18" s="19">
        <f>IF(OR(OR(B18="",F18="",H18="",J18="",P18=""),AND(M18="",O18="")),0,1)</f>
        <v>0</v>
      </c>
      <c r="AB18" s="19">
        <f t="shared" ref="AB18" ca="1" si="10">IF(AND(AA18=1,S18&gt;0),1,0)</f>
        <v>0</v>
      </c>
      <c r="AC18" s="19">
        <f ca="1">IF(AND(AA18=1,S18&lt;1),1,0)</f>
        <v>0</v>
      </c>
      <c r="AD18" s="19">
        <f ca="1">IF(AND(AA18=1,S18&gt;=1,AJ18=1),1,0)</f>
        <v>0</v>
      </c>
      <c r="AE18" s="19">
        <f ca="1">IF(AD18=1,S18,0)</f>
        <v>0</v>
      </c>
      <c r="AF18" s="19">
        <f ca="1">IF(AND(AA18=1,S18&gt;=1,AJ18=1,AR20=1),1,0)</f>
        <v>0</v>
      </c>
      <c r="AG18" s="19">
        <f ca="1">IF(AF18=1,S18,0)</f>
        <v>0</v>
      </c>
      <c r="AH18" s="19">
        <f>IF(OR(EXACT(H18,"JCR-Q1"),EXACT(H18,"JCR-Q2")),(1),(0))</f>
        <v>0</v>
      </c>
      <c r="AI18" s="19">
        <f>IF(OR(EXACT(H18,"JCR-Q1"),EXACT(H18,"JCR-Q2"),EXACT(H18,"JCR-Q3")),(1),(0))</f>
        <v>0</v>
      </c>
      <c r="AJ18" s="19">
        <f>IF(OR(EXACT(H18,"JCR-Q1"),EXACT(H18,"JCR-Q2"),EXACT(H18,"JCR-Q3"),EXACT(H18,"JCR-Q4")),(1),(0))</f>
        <v>0</v>
      </c>
      <c r="AK18" s="19">
        <f>IF(OR(EXACT(H18,"JCR-Q1"),EXACT(H18,"JCR-Q2"),EXACT(H18,"JCR-Q3"),EXACT(H18,"JCR-Q4"),EXACT(H18,"WOS")),(1),(0))</f>
        <v>0</v>
      </c>
      <c r="AL18" s="19">
        <f>IF(OR(EXACT(H18,"JCR-Q1"),EXACT(H18,"JCR-Q2"),EXACT(H18,"JCR-Q3"),EXACT(H18,"JCR-Q4"),EXACT(H18,"WOS"),EXACT(H18,"Scopus")),(1),(0))</f>
        <v>0</v>
      </c>
      <c r="AM18" s="19">
        <f>IF(OR(EXACT(H18,'Data Base'!$B$21),EXACT(H18,'Data Base'!$B$22)),(1),(0))</f>
        <v>0</v>
      </c>
    </row>
    <row r="19" spans="1:83" ht="20.25" customHeight="1">
      <c r="A19" s="1416" t="s">
        <v>29</v>
      </c>
      <c r="B19" s="1417"/>
      <c r="C19" s="1417"/>
      <c r="D19" s="1418"/>
      <c r="E19" s="514" t="s">
        <v>1001</v>
      </c>
      <c r="F19" s="515"/>
      <c r="G19" s="516" t="s">
        <v>801</v>
      </c>
      <c r="H19" s="517"/>
      <c r="I19" s="516" t="s">
        <v>1002</v>
      </c>
      <c r="J19" s="518"/>
      <c r="K19" s="516" t="s">
        <v>1003</v>
      </c>
      <c r="L19" s="519"/>
      <c r="M19" s="516" t="s">
        <v>1004</v>
      </c>
      <c r="N19" s="520"/>
      <c r="O19" s="1266" t="s">
        <v>55</v>
      </c>
      <c r="P19" s="1419"/>
      <c r="Q19" s="1419"/>
      <c r="R19" s="1419"/>
      <c r="S19" s="1419"/>
      <c r="T19" s="1419"/>
      <c r="U19" s="1415"/>
      <c r="AN19" s="19">
        <f>IF(AND(AA18=1,EXACT(J19,"نفر اول")),(1),(0))</f>
        <v>0</v>
      </c>
      <c r="AO19" s="19">
        <f>IF(AN19=1,R18,0)</f>
        <v>0</v>
      </c>
      <c r="AP19" s="19">
        <f>IF(AND(AA18=1,EXACT(J19,"همكار")),(1),(0))</f>
        <v>0</v>
      </c>
      <c r="AQ19" s="19">
        <f>IF(AP19=1,R18,0)</f>
        <v>0</v>
      </c>
      <c r="AV19" s="19">
        <f>IF((AH18=1),R18,0)</f>
        <v>0</v>
      </c>
      <c r="AW19" s="19">
        <f>IF(AND(EXACT(AN19,"1"),EXACT(AH18,"1")),(1),(0))</f>
        <v>0</v>
      </c>
      <c r="AX19" s="19">
        <f>IF((AW19=1),AV19,0)</f>
        <v>0</v>
      </c>
      <c r="BB19" s="19">
        <f>IF((AI18=1),R18,0)</f>
        <v>0</v>
      </c>
      <c r="BC19" s="19">
        <f>IF(AND(EXACT(AI18,"1"),EXACT(AN19,"1")),(1),(0))</f>
        <v>0</v>
      </c>
      <c r="BD19" s="19">
        <f>IF((BC19=1),BB19,0)</f>
        <v>0</v>
      </c>
      <c r="BH19" s="19">
        <f>IF((AJ18=1),R18,0)</f>
        <v>0</v>
      </c>
      <c r="BI19" s="19">
        <f>IF(AND(EXACT(AJ18,"1"),EXACT(AN19,"1")),(1),(0))</f>
        <v>0</v>
      </c>
      <c r="BJ19" s="19">
        <f>IF((BI19=1),BH19,0)</f>
        <v>0</v>
      </c>
      <c r="BN19" s="19">
        <f>IF((AK18=1),R18,0)</f>
        <v>0</v>
      </c>
      <c r="BO19" s="19">
        <f>IF(AND(EXACT(AK18,"1"),EXACT(AN19,"1")),(1),(0))</f>
        <v>0</v>
      </c>
      <c r="BP19" s="19">
        <f>IF((BO19=1),BN19,0)</f>
        <v>0</v>
      </c>
      <c r="BT19" s="19">
        <f>IF((AL18=1),R18,0)</f>
        <v>0</v>
      </c>
      <c r="BU19" s="19">
        <f>IF(AND(EXACT(AN19,"1"),EXACT(AL18,"1")),(1),(0))</f>
        <v>0</v>
      </c>
      <c r="BV19" s="19">
        <f>IF((BU19=1),BT19,0)</f>
        <v>0</v>
      </c>
      <c r="BZ19" s="19">
        <f>IF((AM18=1),R18,0)</f>
        <v>0</v>
      </c>
      <c r="CA19" s="19">
        <f>IF(AND(EXACT(AM18,"1"),EXACT(AN19,"1")),(1),(0))</f>
        <v>0</v>
      </c>
      <c r="CB19" s="19">
        <f>IF((CA19=1),BZ19,0)</f>
        <v>0</v>
      </c>
    </row>
    <row r="20" spans="1:83" ht="20.25">
      <c r="A20" s="1420" t="s">
        <v>30</v>
      </c>
      <c r="B20" s="1421"/>
      <c r="C20" s="1421"/>
      <c r="D20" s="1422"/>
      <c r="E20" s="536" t="s">
        <v>1001</v>
      </c>
      <c r="F20" s="537"/>
      <c r="G20" s="538" t="s">
        <v>801</v>
      </c>
      <c r="H20" s="539"/>
      <c r="I20" s="538" t="s">
        <v>1002</v>
      </c>
      <c r="J20" s="525"/>
      <c r="K20" s="538" t="s">
        <v>1003</v>
      </c>
      <c r="L20" s="540"/>
      <c r="M20" s="538" t="s">
        <v>1004</v>
      </c>
      <c r="N20" s="541"/>
      <c r="O20" s="1266"/>
      <c r="P20" s="1423"/>
      <c r="Q20" s="1423"/>
      <c r="R20" s="1423"/>
      <c r="S20" s="1423"/>
      <c r="T20" s="1423"/>
      <c r="U20" s="1415"/>
      <c r="AR20" s="19">
        <f>IF(AND(AA18=1,EXACT(J20,"نفر اول")),(1),(0))</f>
        <v>0</v>
      </c>
      <c r="AS20" s="19">
        <f>IF(AR20=1,S18,0)</f>
        <v>0</v>
      </c>
      <c r="AT20" s="19">
        <f>IF(AND(AA18=1,EXACT(J20,"همكار")),(1),(0))</f>
        <v>0</v>
      </c>
      <c r="AU20" s="19">
        <f>IF(AT20=1,S18,0)</f>
        <v>0</v>
      </c>
      <c r="AY20" s="19">
        <f>IF((AH18=1),S18,0)</f>
        <v>0</v>
      </c>
      <c r="AZ20" s="19">
        <f>IF(AND(EXACT(AR20,"1"),EXACT(AH18,"1")),(1),(0))</f>
        <v>0</v>
      </c>
      <c r="BA20" s="19">
        <f>IF((AZ20=1),AY20,0)</f>
        <v>0</v>
      </c>
      <c r="BE20" s="19">
        <f>IF((AI18=1),S18,0)</f>
        <v>0</v>
      </c>
      <c r="BF20" s="19">
        <f>IF(AND(EXACT(AI18,"1"),EXACT(AR20,"1")),(1),(0))</f>
        <v>0</v>
      </c>
      <c r="BG20" s="19">
        <f>IF((BF20=1),BE20,0)</f>
        <v>0</v>
      </c>
      <c r="BK20" s="19">
        <f>IF((AJ18=1),S18,0)</f>
        <v>0</v>
      </c>
      <c r="BL20" s="19">
        <f>IF(AND(EXACT(AJ18,"1"),EXACT(AR20,"1")),(1),(0))</f>
        <v>0</v>
      </c>
      <c r="BM20" s="19">
        <f>IF((BL20=1),BK20,0)</f>
        <v>0</v>
      </c>
      <c r="BQ20" s="19">
        <f>IF((AJ18=1),S18,0)</f>
        <v>0</v>
      </c>
      <c r="BR20" s="19">
        <f>IF(AND(EXACT(AJ18,"1"),EXACT(AR20,"1")),(1),(0))</f>
        <v>0</v>
      </c>
      <c r="BS20" s="19">
        <f>IF((BL20=1),BK20,0)</f>
        <v>0</v>
      </c>
      <c r="BW20" s="19">
        <f>IF((AL18=1),S18,0)</f>
        <v>0</v>
      </c>
      <c r="BX20" s="19">
        <f>IF(AND(EXACT(AL18,"1"),EXACT(AR20,"1")),(1),(0))</f>
        <v>0</v>
      </c>
      <c r="BY20" s="19">
        <f>IF((BX20=1),BW20,0)</f>
        <v>0</v>
      </c>
      <c r="CC20" s="19">
        <f>IF((AM18=1),R18,0)</f>
        <v>0</v>
      </c>
      <c r="CD20" s="19">
        <f>IF(AND(EXACT(AM18,"1"),EXACT(AR20,"1")),(1),(0))</f>
        <v>0</v>
      </c>
      <c r="CE20" s="19">
        <f>IF((CD20=1),CC20,0)</f>
        <v>0</v>
      </c>
    </row>
    <row r="21" spans="1:83" ht="20.25">
      <c r="A21" s="12">
        <f>IF(AA21=0,0,IF(AA18=0,Z21,SUM(A18,AA21)))</f>
        <v>0</v>
      </c>
      <c r="B21" s="1157"/>
      <c r="C21" s="1157"/>
      <c r="D21" s="1157"/>
      <c r="E21" s="1182"/>
      <c r="F21" s="1424"/>
      <c r="G21" s="1424"/>
      <c r="H21" s="527"/>
      <c r="I21" s="528"/>
      <c r="J21" s="529"/>
      <c r="K21" s="530"/>
      <c r="L21" s="531"/>
      <c r="M21" s="532"/>
      <c r="N21" s="533"/>
      <c r="O21" s="532"/>
      <c r="P21" s="1182"/>
      <c r="Q21" s="1182"/>
      <c r="R21" s="534">
        <f t="shared" ref="R21" ca="1" si="11">IF(OR(EXACT(H21,""),EXACT(B21,""),EXACT(F22,""),EXACT(H22,""),EXACT(J22,""),EXACT(L22,""),EXACT(N22,""),EXACT(F21,""),EXACT(J21,""),EXACT(M21,""),EXACT(N21,""),EXACT(O21,""),EXACT(P21,"")),0,IF(OR(EXACT(P22,"مقاله پر استناد"),EXACT(P22,"مقاله داغ"),EXACT(P22,"مستخرج از برنامه تحقيقاتي ملي معطوف به رفع مشكلات كشور")),(1.5*(F22*N22*(IF(EXACT(J22,"نفر اول"),INDIRECT(CONCATENATE("'Data Base'!$d",H22)),INDIRECT(CONCATENATE("'Data Base'!$e",H22))))*((100-L22)/100))),IF(EXACT(P22,"Short Article"),(0.5*(F22*N22*(IF(EXACT(J22,"نفر اول"),INDIRECT(CONCATENATE("'Data Base'!$D",H22)),INDIRECT(CONCATENATE("'Data Base'!$E",H22))))*((100-L22)/100))),IF(EXACT(P22,"چاپ شده در نشريات بسيار پر استناد Nature و Science"),(2*(F22*N22*(IF(EXACT(J22,"نفر اول"),INDIRECT(CONCATENATE("'Data Base'!$D",H22)),INDIRECT(CONCATENATE("'Data Base'!$E",H22))))*((100-L22)/100))),IF(OR(EXACT(P22,"مستخرج از طرح پژوهشي محرمانه"),EXACT(P22,"مشترك با اساتيد دانشگاه خارج از كشور")),(1.2*(F22*N22*(IF(EXACT(J22,"نفر اول"),INDIRECT(CONCATENATE("'Data Base'!$D",H22)),INDIRECT(CONCATENATE("'Data Base'!$E",H22))))*((100-L22)/100))),(F22*N22*(IF(EXACT(J22,"نفر اول"),INDIRECT(CONCATENATE("'Data Base'!$d",H22)),INDIRECT(CONCATENATE("'Data Base'!$e",H22))))*((100-L22)/100)))))))</f>
        <v>0</v>
      </c>
      <c r="S21" s="535">
        <f t="shared" ref="S21" ca="1" si="12">IF(OR(EXACT(H21,""),EXACT(B21,""),EXACT(F23,""),EXACT(H23,""),EXACT(J23,""),EXACT(L23,""),EXACT(N23,""),EXACT(F21,""),EXACT(J21,""),EXACT(M21,""),EXACT(N21,""),EXACT(O21,""),EXACT(P21,"")),0,IF(OR(EXACT(P23,"مقاله پر استناد"),EXACT(P23,"مقاله داغ"),EXACT(P23,"مستخرج از برنامه تحقيقاتي ملي معطوف به رفع مشكلات كشور")),(1.5*(F23*N23*(IF(EXACT(J23,"نفر اول"),INDIRECT(CONCATENATE("'Data Base'!$d",H23)),INDIRECT(CONCATENATE("'Data Base'!$E",H23))))*((100-L23)/100))),IF(EXACT(P23,"Short Article"),(0.5*(F23*N23*(IF(EXACT(J23,"نفر اول"),INDIRECT(CONCATENATE("'Data Base'!$D",H23)),INDIRECT(CONCATENATE("'Data Base'!$E",H23))))*((100-L23)/100))),IF(EXACT(P23,"چاپ شده در نشريات بسيار پر استناد Nature و Science"),(2*(F23*N23*(IF(EXACT(J23,"نفر اول"),INDIRECT(CONCATENATE("'Data Base'!$D",H23)),INDIRECT(CONCATENATE("'Data Base'!$E",H23))))*((100-L23)/100))),IF(OR(EXACT(P23,"مستخرج از طرح پژوهشي محرمانه"),EXACT(P23,"مشترك با اساتيد دانشگاه خارج از كشور")),(1.2*(F23*N23*(IF(EXACT(J23,"نفر اول"),INDIRECT(CONCATENATE("'Data Base'!$D",H23)),INDIRECT(CONCATENATE("'Data Base'!$E",H23))))*((100-L23)/100))),(F23*N23*(IF(EXACT(J23,"نفر اول"),INDIRECT(CONCATENATE("'Data Base'!$D",H23)),INDIRECT(CONCATENATE("'Data Base'!$E",H23))))*((100-L23)/100)))))))</f>
        <v>0</v>
      </c>
      <c r="T21" s="147"/>
      <c r="U21" s="1414"/>
      <c r="Z21" s="19">
        <f>SUM(Z18,AA21)</f>
        <v>0</v>
      </c>
      <c r="AA21" s="19">
        <f>IF(OR(OR(B21="",F21="",H21="",J21="",P21=""),AND(M21="",O21="")),0,1)</f>
        <v>0</v>
      </c>
      <c r="AB21" s="19">
        <f t="shared" ref="AB21" ca="1" si="13">IF(AND(AA21=1,S21&gt;0),1,0)</f>
        <v>0</v>
      </c>
      <c r="AC21" s="19">
        <f ca="1">IF(AND(AA21=1,S21&lt;1),1,0)</f>
        <v>0</v>
      </c>
      <c r="AD21" s="19">
        <f ca="1">IF(AND(AA21=1,S21&gt;=1,AJ21=1),1,0)</f>
        <v>0</v>
      </c>
      <c r="AE21" s="19">
        <f ca="1">IF(AD21=1,S21,0)</f>
        <v>0</v>
      </c>
      <c r="AF21" s="19">
        <f ca="1">IF(AND(AA21=1,S21&gt;=1,AJ21=1,AR23=1),1,0)</f>
        <v>0</v>
      </c>
      <c r="AG21" s="19">
        <f ca="1">IF(AF21=1,S21,0)</f>
        <v>0</v>
      </c>
      <c r="AH21" s="19">
        <f>IF(OR(EXACT(H21,"JCR-Q1"),EXACT(H21,"JCR-Q2")),(1),(0))</f>
        <v>0</v>
      </c>
      <c r="AI21" s="19">
        <f>IF(OR(EXACT(H21,"JCR-Q1"),EXACT(H21,"JCR-Q2"),EXACT(H21,"JCR-Q3")),(1),(0))</f>
        <v>0</v>
      </c>
      <c r="AJ21" s="19">
        <f>IF(OR(EXACT(H21,"JCR-Q1"),EXACT(H21,"JCR-Q2"),EXACT(H21,"JCR-Q3"),EXACT(H21,"JCR-Q4")),(1),(0))</f>
        <v>0</v>
      </c>
      <c r="AK21" s="19">
        <f>IF(OR(EXACT(H21,"JCR-Q1"),EXACT(H21,"JCR-Q2"),EXACT(H21,"JCR-Q3"),EXACT(H21,"JCR-Q4"),EXACT(H21,"WOS")),(1),(0))</f>
        <v>0</v>
      </c>
      <c r="AL21" s="19">
        <f>IF(OR(EXACT(H21,"JCR-Q1"),EXACT(H21,"JCR-Q2"),EXACT(H21,"JCR-Q3"),EXACT(H21,"JCR-Q4"),EXACT(H21,"WOS"),EXACT(H21,"Scopus")),(1),(0))</f>
        <v>0</v>
      </c>
      <c r="AM21" s="19">
        <f>IF(OR(EXACT(H21,'Data Base'!$B$21),EXACT(H21,'Data Base'!$B$22)),(1),(0))</f>
        <v>0</v>
      </c>
    </row>
    <row r="22" spans="1:83" ht="20.25" customHeight="1">
      <c r="A22" s="1416" t="s">
        <v>29</v>
      </c>
      <c r="B22" s="1417"/>
      <c r="C22" s="1417"/>
      <c r="D22" s="1418"/>
      <c r="E22" s="514" t="s">
        <v>1001</v>
      </c>
      <c r="F22" s="515"/>
      <c r="G22" s="516" t="s">
        <v>801</v>
      </c>
      <c r="H22" s="517"/>
      <c r="I22" s="516" t="s">
        <v>1002</v>
      </c>
      <c r="J22" s="518"/>
      <c r="K22" s="516" t="s">
        <v>1003</v>
      </c>
      <c r="L22" s="519"/>
      <c r="M22" s="516" t="s">
        <v>1004</v>
      </c>
      <c r="N22" s="520"/>
      <c r="O22" s="1266" t="s">
        <v>55</v>
      </c>
      <c r="P22" s="1419"/>
      <c r="Q22" s="1419"/>
      <c r="R22" s="1419"/>
      <c r="S22" s="1419"/>
      <c r="T22" s="1419"/>
      <c r="U22" s="1415"/>
      <c r="AN22" s="19">
        <f>IF(AND(AA21=1,EXACT(J22,"نفر اول")),(1),(0))</f>
        <v>0</v>
      </c>
      <c r="AO22" s="19">
        <f>IF(AN22=1,R21,0)</f>
        <v>0</v>
      </c>
      <c r="AP22" s="19">
        <f>IF(AND(AA21=1,EXACT(J22,"همكار")),(1),(0))</f>
        <v>0</v>
      </c>
      <c r="AQ22" s="19">
        <f>IF(AP22=1,R21,0)</f>
        <v>0</v>
      </c>
      <c r="AV22" s="19">
        <f>IF((AH21=1),R21,0)</f>
        <v>0</v>
      </c>
      <c r="AW22" s="19">
        <f>IF(AND(EXACT(AN22,"1"),EXACT(AH21,"1")),(1),(0))</f>
        <v>0</v>
      </c>
      <c r="AX22" s="19">
        <f>IF((AW22=1),AV22,0)</f>
        <v>0</v>
      </c>
      <c r="BB22" s="19">
        <f>IF((AI21=1),R21,0)</f>
        <v>0</v>
      </c>
      <c r="BC22" s="19">
        <f>IF(AND(EXACT(AI21,"1"),EXACT(AN22,"1")),(1),(0))</f>
        <v>0</v>
      </c>
      <c r="BD22" s="19">
        <f>IF((BC22=1),BB22,0)</f>
        <v>0</v>
      </c>
      <c r="BH22" s="19">
        <f>IF((AJ21=1),R21,0)</f>
        <v>0</v>
      </c>
      <c r="BI22" s="19">
        <f>IF(AND(EXACT(AJ21,"1"),EXACT(AN22,"1")),(1),(0))</f>
        <v>0</v>
      </c>
      <c r="BJ22" s="19">
        <f>IF((BI22=1),BH22,0)</f>
        <v>0</v>
      </c>
      <c r="BN22" s="19">
        <f>IF((AK21=1),R21,0)</f>
        <v>0</v>
      </c>
      <c r="BO22" s="19">
        <f>IF(AND(EXACT(AK21,"1"),EXACT(AN22,"1")),(1),(0))</f>
        <v>0</v>
      </c>
      <c r="BP22" s="19">
        <f>IF((BO22=1),BN22,0)</f>
        <v>0</v>
      </c>
      <c r="BT22" s="19">
        <f>IF((AL21=1),R21,0)</f>
        <v>0</v>
      </c>
      <c r="BU22" s="19">
        <f>IF(AND(EXACT(AN22,"1"),EXACT(AL21,"1")),(1),(0))</f>
        <v>0</v>
      </c>
      <c r="BV22" s="19">
        <f>IF((BU22=1),BT22,0)</f>
        <v>0</v>
      </c>
      <c r="BZ22" s="19">
        <f>IF((AM21=1),R21,0)</f>
        <v>0</v>
      </c>
      <c r="CA22" s="19">
        <f>IF(AND(EXACT(AM21,"1"),EXACT(AN22,"1")),(1),(0))</f>
        <v>0</v>
      </c>
      <c r="CB22" s="19">
        <f>IF((CA22=1),BZ22,0)</f>
        <v>0</v>
      </c>
    </row>
    <row r="23" spans="1:83" ht="20.25">
      <c r="A23" s="1420" t="s">
        <v>30</v>
      </c>
      <c r="B23" s="1421"/>
      <c r="C23" s="1421"/>
      <c r="D23" s="1422"/>
      <c r="E23" s="536" t="s">
        <v>1001</v>
      </c>
      <c r="F23" s="537"/>
      <c r="G23" s="538" t="s">
        <v>801</v>
      </c>
      <c r="H23" s="539"/>
      <c r="I23" s="538" t="s">
        <v>1002</v>
      </c>
      <c r="J23" s="525"/>
      <c r="K23" s="538" t="s">
        <v>1003</v>
      </c>
      <c r="L23" s="540"/>
      <c r="M23" s="538" t="s">
        <v>1004</v>
      </c>
      <c r="N23" s="541"/>
      <c r="O23" s="1266"/>
      <c r="P23" s="1423"/>
      <c r="Q23" s="1423"/>
      <c r="R23" s="1423"/>
      <c r="S23" s="1423"/>
      <c r="T23" s="1423"/>
      <c r="U23" s="1415"/>
      <c r="AR23" s="19">
        <f>IF(AND(AA21=1,EXACT(J23,"نفر اول")),(1),(0))</f>
        <v>0</v>
      </c>
      <c r="AS23" s="19">
        <f>IF(AR23=1,S21,0)</f>
        <v>0</v>
      </c>
      <c r="AT23" s="19">
        <f>IF(AND(AA21=1,EXACT(J23,"همكار")),(1),(0))</f>
        <v>0</v>
      </c>
      <c r="AU23" s="19">
        <f>IF(AT23=1,S21,0)</f>
        <v>0</v>
      </c>
      <c r="AY23" s="19">
        <f>IF((AH21=1),S21,0)</f>
        <v>0</v>
      </c>
      <c r="AZ23" s="19">
        <f>IF(AND(EXACT(AR23,"1"),EXACT(AH21,"1")),(1),(0))</f>
        <v>0</v>
      </c>
      <c r="BA23" s="19">
        <f>IF((AZ23=1),AY23,0)</f>
        <v>0</v>
      </c>
      <c r="BE23" s="19">
        <f>IF((AI21=1),S21,0)</f>
        <v>0</v>
      </c>
      <c r="BF23" s="19">
        <f>IF(AND(EXACT(AI21,"1"),EXACT(AR23,"1")),(1),(0))</f>
        <v>0</v>
      </c>
      <c r="BG23" s="19">
        <f>IF((BF23=1),BE23,0)</f>
        <v>0</v>
      </c>
      <c r="BK23" s="19">
        <f>IF((AJ21=1),S21,0)</f>
        <v>0</v>
      </c>
      <c r="BL23" s="19">
        <f>IF(AND(EXACT(AJ21,"1"),EXACT(AR23,"1")),(1),(0))</f>
        <v>0</v>
      </c>
      <c r="BM23" s="19">
        <f>IF((BL23=1),BK23,0)</f>
        <v>0</v>
      </c>
      <c r="BQ23" s="19">
        <f>IF((AJ21=1),S21,0)</f>
        <v>0</v>
      </c>
      <c r="BR23" s="19">
        <f>IF(AND(EXACT(AJ21,"1"),EXACT(AR23,"1")),(1),(0))</f>
        <v>0</v>
      </c>
      <c r="BS23" s="19">
        <f>IF((BL23=1),BK23,0)</f>
        <v>0</v>
      </c>
      <c r="BW23" s="19">
        <f>IF((AL21=1),S21,0)</f>
        <v>0</v>
      </c>
      <c r="BX23" s="19">
        <f>IF(AND(EXACT(AL21,"1"),EXACT(AR23,"1")),(1),(0))</f>
        <v>0</v>
      </c>
      <c r="BY23" s="19">
        <f>IF((BX23=1),BW23,0)</f>
        <v>0</v>
      </c>
      <c r="CC23" s="19">
        <f>IF((AM21=1),R21,0)</f>
        <v>0</v>
      </c>
      <c r="CD23" s="19">
        <f>IF(AND(EXACT(AM21,"1"),EXACT(AR23,"1")),(1),(0))</f>
        <v>0</v>
      </c>
      <c r="CE23" s="19">
        <f>IF((CD23=1),CC23,0)</f>
        <v>0</v>
      </c>
    </row>
    <row r="24" spans="1:83" ht="20.25">
      <c r="A24" s="12">
        <f>IF(AA24=0,0,IF(AA21=0,Z24,SUM(A21,AA24)))</f>
        <v>0</v>
      </c>
      <c r="B24" s="1157"/>
      <c r="C24" s="1157"/>
      <c r="D24" s="1157"/>
      <c r="E24" s="1182"/>
      <c r="F24" s="1424"/>
      <c r="G24" s="1424"/>
      <c r="H24" s="527"/>
      <c r="I24" s="528"/>
      <c r="J24" s="529"/>
      <c r="K24" s="530"/>
      <c r="L24" s="531"/>
      <c r="M24" s="532"/>
      <c r="N24" s="533"/>
      <c r="O24" s="532"/>
      <c r="P24" s="1182"/>
      <c r="Q24" s="1182"/>
      <c r="R24" s="534">
        <f t="shared" ref="R24" ca="1" si="14">IF(OR(EXACT(H24,""),EXACT(B24,""),EXACT(F25,""),EXACT(H25,""),EXACT(J25,""),EXACT(L25,""),EXACT(N25,""),EXACT(F24,""),EXACT(J24,""),EXACT(M24,""),EXACT(N24,""),EXACT(O24,""),EXACT(P24,"")),0,IF(OR(EXACT(P25,"مقاله پر استناد"),EXACT(P25,"مقاله داغ"),EXACT(P25,"مستخرج از برنامه تحقيقاتي ملي معطوف به رفع مشكلات كشور")),(1.5*(F25*N25*(IF(EXACT(J25,"نفر اول"),INDIRECT(CONCATENATE("'Data Base'!$d",H25)),INDIRECT(CONCATENATE("'Data Base'!$e",H25))))*((100-L25)/100))),IF(EXACT(P25,"Short Article"),(0.5*(F25*N25*(IF(EXACT(J25,"نفر اول"),INDIRECT(CONCATENATE("'Data Base'!$D",H25)),INDIRECT(CONCATENATE("'Data Base'!$E",H25))))*((100-L25)/100))),IF(EXACT(P25,"چاپ شده در نشريات بسيار پر استناد Nature و Science"),(2*(F25*N25*(IF(EXACT(J25,"نفر اول"),INDIRECT(CONCATENATE("'Data Base'!$D",H25)),INDIRECT(CONCATENATE("'Data Base'!$E",H25))))*((100-L25)/100))),IF(OR(EXACT(P25,"مستخرج از طرح پژوهشي محرمانه"),EXACT(P25,"مشترك با اساتيد دانشگاه خارج از كشور")),(1.2*(F25*N25*(IF(EXACT(J25,"نفر اول"),INDIRECT(CONCATENATE("'Data Base'!$D",H25)),INDIRECT(CONCATENATE("'Data Base'!$E",H25))))*((100-L25)/100))),(F25*N25*(IF(EXACT(J25,"نفر اول"),INDIRECT(CONCATENATE("'Data Base'!$d",H25)),INDIRECT(CONCATENATE("'Data Base'!$e",H25))))*((100-L25)/100)))))))</f>
        <v>0</v>
      </c>
      <c r="S24" s="535">
        <f t="shared" ref="S24" ca="1" si="15">IF(OR(EXACT(H24,""),EXACT(B24,""),EXACT(F26,""),EXACT(H26,""),EXACT(J26,""),EXACT(L26,""),EXACT(N26,""),EXACT(F24,""),EXACT(J24,""),EXACT(M24,""),EXACT(N24,""),EXACT(O24,""),EXACT(P24,"")),0,IF(OR(EXACT(P26,"مقاله پر استناد"),EXACT(P26,"مقاله داغ"),EXACT(P26,"مستخرج از برنامه تحقيقاتي ملي معطوف به رفع مشكلات كشور")),(1.5*(F26*N26*(IF(EXACT(J26,"نفر اول"),INDIRECT(CONCATENATE("'Data Base'!$d",H26)),INDIRECT(CONCATENATE("'Data Base'!$E",H26))))*((100-L26)/100))),IF(EXACT(P26,"Short Article"),(0.5*(F26*N26*(IF(EXACT(J26,"نفر اول"),INDIRECT(CONCATENATE("'Data Base'!$D",H26)),INDIRECT(CONCATENATE("'Data Base'!$E",H26))))*((100-L26)/100))),IF(EXACT(P26,"چاپ شده در نشريات بسيار پر استناد Nature و Science"),(2*(F26*N26*(IF(EXACT(J26,"نفر اول"),INDIRECT(CONCATENATE("'Data Base'!$D",H26)),INDIRECT(CONCATENATE("'Data Base'!$E",H26))))*((100-L26)/100))),IF(OR(EXACT(P26,"مستخرج از طرح پژوهشي محرمانه"),EXACT(P26,"مشترك با اساتيد دانشگاه خارج از كشور")),(1.2*(F26*N26*(IF(EXACT(J26,"نفر اول"),INDIRECT(CONCATENATE("'Data Base'!$D",H26)),INDIRECT(CONCATENATE("'Data Base'!$E",H26))))*((100-L26)/100))),(F26*N26*(IF(EXACT(J26,"نفر اول"),INDIRECT(CONCATENATE("'Data Base'!$D",H26)),INDIRECT(CONCATENATE("'Data Base'!$E",H26))))*((100-L26)/100)))))))</f>
        <v>0</v>
      </c>
      <c r="T24" s="147"/>
      <c r="U24" s="1414"/>
      <c r="Z24" s="19">
        <f>SUM(Z21,AA24)</f>
        <v>0</v>
      </c>
      <c r="AA24" s="19">
        <f>IF(OR(OR(B24="",F24="",H24="",J24="",P24=""),AND(M24="",O24="")),0,1)</f>
        <v>0</v>
      </c>
      <c r="AB24" s="19">
        <f t="shared" ref="AB24" ca="1" si="16">IF(AND(AA24=1,S24&gt;0),1,0)</f>
        <v>0</v>
      </c>
      <c r="AC24" s="19">
        <f ca="1">IF(AND(AA24=1,S24&lt;1),1,0)</f>
        <v>0</v>
      </c>
      <c r="AD24" s="19">
        <f ca="1">IF(AND(AA24=1,S24&gt;=1,AJ24=1),1,0)</f>
        <v>0</v>
      </c>
      <c r="AE24" s="19">
        <f ca="1">IF(AD24=1,S24,0)</f>
        <v>0</v>
      </c>
      <c r="AF24" s="19">
        <f ca="1">IF(AND(AA24=1,S24&gt;=1,AJ24=1,AR26=1),1,0)</f>
        <v>0</v>
      </c>
      <c r="AG24" s="19">
        <f ca="1">IF(AF24=1,S24,0)</f>
        <v>0</v>
      </c>
      <c r="AH24" s="19">
        <f>IF(OR(EXACT(H24,"JCR-Q1"),EXACT(H24,"JCR-Q2")),(1),(0))</f>
        <v>0</v>
      </c>
      <c r="AI24" s="19">
        <f>IF(OR(EXACT(H24,"JCR-Q1"),EXACT(H24,"JCR-Q2"),EXACT(H24,"JCR-Q3")),(1),(0))</f>
        <v>0</v>
      </c>
      <c r="AJ24" s="19">
        <f>IF(OR(EXACT(H24,"JCR-Q1"),EXACT(H24,"JCR-Q2"),EXACT(H24,"JCR-Q3"),EXACT(H24,"JCR-Q4")),(1),(0))</f>
        <v>0</v>
      </c>
      <c r="AK24" s="19">
        <f>IF(OR(EXACT(H24,"JCR-Q1"),EXACT(H24,"JCR-Q2"),EXACT(H24,"JCR-Q3"),EXACT(H24,"JCR-Q4"),EXACT(H24,"WOS")),(1),(0))</f>
        <v>0</v>
      </c>
      <c r="AL24" s="19">
        <f>IF(OR(EXACT(H24,"JCR-Q1"),EXACT(H24,"JCR-Q2"),EXACT(H24,"JCR-Q3"),EXACT(H24,"JCR-Q4"),EXACT(H24,"WOS"),EXACT(H24,"Scopus")),(1),(0))</f>
        <v>0</v>
      </c>
      <c r="AM24" s="19">
        <f>IF(OR(EXACT(H24,'Data Base'!$B$21),EXACT(H24,'Data Base'!$B$22)),(1),(0))</f>
        <v>0</v>
      </c>
    </row>
    <row r="25" spans="1:83" ht="20.25" customHeight="1">
      <c r="A25" s="1416" t="s">
        <v>29</v>
      </c>
      <c r="B25" s="1417"/>
      <c r="C25" s="1417"/>
      <c r="D25" s="1418"/>
      <c r="E25" s="514" t="s">
        <v>1001</v>
      </c>
      <c r="F25" s="515"/>
      <c r="G25" s="516" t="s">
        <v>801</v>
      </c>
      <c r="H25" s="517"/>
      <c r="I25" s="516" t="s">
        <v>1002</v>
      </c>
      <c r="J25" s="518"/>
      <c r="K25" s="516" t="s">
        <v>1003</v>
      </c>
      <c r="L25" s="519"/>
      <c r="M25" s="516" t="s">
        <v>1004</v>
      </c>
      <c r="N25" s="520"/>
      <c r="O25" s="1266" t="s">
        <v>55</v>
      </c>
      <c r="P25" s="1419"/>
      <c r="Q25" s="1419"/>
      <c r="R25" s="1419"/>
      <c r="S25" s="1419"/>
      <c r="T25" s="1419"/>
      <c r="U25" s="1415"/>
      <c r="AN25" s="19">
        <f>IF(AND(AA24=1,EXACT(J25,"نفر اول")),(1),(0))</f>
        <v>0</v>
      </c>
      <c r="AO25" s="19">
        <f>IF(AN25=1,R24,0)</f>
        <v>0</v>
      </c>
      <c r="AP25" s="19">
        <f>IF(AND(AA24=1,EXACT(J25,"همكار")),(1),(0))</f>
        <v>0</v>
      </c>
      <c r="AQ25" s="19">
        <f>IF(AP25=1,R24,0)</f>
        <v>0</v>
      </c>
      <c r="AV25" s="19">
        <f>IF((AH24=1),R24,0)</f>
        <v>0</v>
      </c>
      <c r="AW25" s="19">
        <f>IF(AND(EXACT(AN25,"1"),EXACT(AH24,"1")),(1),(0))</f>
        <v>0</v>
      </c>
      <c r="AX25" s="19">
        <f>IF((AW25=1),AV25,0)</f>
        <v>0</v>
      </c>
      <c r="BB25" s="19">
        <f>IF((AI24=1),R24,0)</f>
        <v>0</v>
      </c>
      <c r="BC25" s="19">
        <f>IF(AND(EXACT(AI24,"1"),EXACT(AN25,"1")),(1),(0))</f>
        <v>0</v>
      </c>
      <c r="BD25" s="19">
        <f>IF((BC25=1),BB25,0)</f>
        <v>0</v>
      </c>
      <c r="BH25" s="19">
        <f>IF((AJ24=1),R24,0)</f>
        <v>0</v>
      </c>
      <c r="BI25" s="19">
        <f>IF(AND(EXACT(AJ24,"1"),EXACT(AN25,"1")),(1),(0))</f>
        <v>0</v>
      </c>
      <c r="BJ25" s="19">
        <f>IF((BI25=1),BH25,0)</f>
        <v>0</v>
      </c>
      <c r="BN25" s="19">
        <f>IF((AK24=1),R24,0)</f>
        <v>0</v>
      </c>
      <c r="BO25" s="19">
        <f>IF(AND(EXACT(AK24,"1"),EXACT(AN25,"1")),(1),(0))</f>
        <v>0</v>
      </c>
      <c r="BP25" s="19">
        <f>IF((BO25=1),BN25,0)</f>
        <v>0</v>
      </c>
      <c r="BT25" s="19">
        <f>IF((AL24=1),R24,0)</f>
        <v>0</v>
      </c>
      <c r="BU25" s="19">
        <f>IF(AND(EXACT(AN25,"1"),EXACT(AL24,"1")),(1),(0))</f>
        <v>0</v>
      </c>
      <c r="BV25" s="19">
        <f>IF((BU25=1),BT25,0)</f>
        <v>0</v>
      </c>
      <c r="BZ25" s="19">
        <f>IF((AM24=1),R24,0)</f>
        <v>0</v>
      </c>
      <c r="CA25" s="19">
        <f>IF(AND(EXACT(AM24,"1"),EXACT(AN25,"1")),(1),(0))</f>
        <v>0</v>
      </c>
      <c r="CB25" s="19">
        <f>IF((CA25=1),BZ25,0)</f>
        <v>0</v>
      </c>
    </row>
    <row r="26" spans="1:83" ht="20.25">
      <c r="A26" s="1420" t="s">
        <v>30</v>
      </c>
      <c r="B26" s="1421"/>
      <c r="C26" s="1421"/>
      <c r="D26" s="1422"/>
      <c r="E26" s="536" t="s">
        <v>1001</v>
      </c>
      <c r="F26" s="537"/>
      <c r="G26" s="538" t="s">
        <v>801</v>
      </c>
      <c r="H26" s="539"/>
      <c r="I26" s="538" t="s">
        <v>1002</v>
      </c>
      <c r="J26" s="525"/>
      <c r="K26" s="538" t="s">
        <v>1003</v>
      </c>
      <c r="L26" s="540"/>
      <c r="M26" s="538" t="s">
        <v>1004</v>
      </c>
      <c r="N26" s="541"/>
      <c r="O26" s="1266"/>
      <c r="P26" s="1423"/>
      <c r="Q26" s="1423"/>
      <c r="R26" s="1423"/>
      <c r="S26" s="1423"/>
      <c r="T26" s="1423"/>
      <c r="U26" s="1415"/>
      <c r="AR26" s="19">
        <f>IF(AND(AA24=1,EXACT(J26,"نفر اول")),(1),(0))</f>
        <v>0</v>
      </c>
      <c r="AS26" s="19">
        <f>IF(AR26=1,S24,0)</f>
        <v>0</v>
      </c>
      <c r="AT26" s="19">
        <f>IF(AND(AA24=1,EXACT(J26,"همكار")),(1),(0))</f>
        <v>0</v>
      </c>
      <c r="AU26" s="19">
        <f>IF(AT26=1,S24,0)</f>
        <v>0</v>
      </c>
      <c r="AY26" s="19">
        <f>IF((AH24=1),S24,0)</f>
        <v>0</v>
      </c>
      <c r="AZ26" s="19">
        <f>IF(AND(EXACT(AR26,"1"),EXACT(AH24,"1")),(1),(0))</f>
        <v>0</v>
      </c>
      <c r="BA26" s="19">
        <f>IF((AZ26=1),AY26,0)</f>
        <v>0</v>
      </c>
      <c r="BE26" s="19">
        <f>IF((AI24=1),S24,0)</f>
        <v>0</v>
      </c>
      <c r="BF26" s="19">
        <f>IF(AND(EXACT(AI24,"1"),EXACT(AR26,"1")),(1),(0))</f>
        <v>0</v>
      </c>
      <c r="BG26" s="19">
        <f>IF((BF26=1),BE26,0)</f>
        <v>0</v>
      </c>
      <c r="BK26" s="19">
        <f>IF((AJ24=1),S24,0)</f>
        <v>0</v>
      </c>
      <c r="BL26" s="19">
        <f>IF(AND(EXACT(AJ24,"1"),EXACT(AR26,"1")),(1),(0))</f>
        <v>0</v>
      </c>
      <c r="BM26" s="19">
        <f>IF((BL26=1),BK26,0)</f>
        <v>0</v>
      </c>
      <c r="BQ26" s="19">
        <f>IF((AJ24=1),S24,0)</f>
        <v>0</v>
      </c>
      <c r="BR26" s="19">
        <f>IF(AND(EXACT(AJ24,"1"),EXACT(AR26,"1")),(1),(0))</f>
        <v>0</v>
      </c>
      <c r="BS26" s="19">
        <f>IF((BL26=1),BK26,0)</f>
        <v>0</v>
      </c>
      <c r="BW26" s="19">
        <f>IF((AL24=1),S24,0)</f>
        <v>0</v>
      </c>
      <c r="BX26" s="19">
        <f>IF(AND(EXACT(AL24,"1"),EXACT(AR26,"1")),(1),(0))</f>
        <v>0</v>
      </c>
      <c r="BY26" s="19">
        <f>IF((BX26=1),BW26,0)</f>
        <v>0</v>
      </c>
      <c r="CC26" s="19">
        <f>IF((AM24=1),R24,0)</f>
        <v>0</v>
      </c>
      <c r="CD26" s="19">
        <f>IF(AND(EXACT(AM24,"1"),EXACT(AR26,"1")),(1),(0))</f>
        <v>0</v>
      </c>
      <c r="CE26" s="19">
        <f>IF((CD26=1),CC26,0)</f>
        <v>0</v>
      </c>
    </row>
    <row r="27" spans="1:83" ht="20.25">
      <c r="A27" s="12">
        <f>IF(AA27=0,0,IF(AA24=0,Z27,SUM(A24,AA27)))</f>
        <v>0</v>
      </c>
      <c r="B27" s="1157"/>
      <c r="C27" s="1157"/>
      <c r="D27" s="1157"/>
      <c r="E27" s="1182"/>
      <c r="F27" s="1424"/>
      <c r="G27" s="1424"/>
      <c r="H27" s="527"/>
      <c r="I27" s="528"/>
      <c r="J27" s="529"/>
      <c r="K27" s="530"/>
      <c r="L27" s="531"/>
      <c r="M27" s="532"/>
      <c r="N27" s="533"/>
      <c r="O27" s="532"/>
      <c r="P27" s="1182"/>
      <c r="Q27" s="1182"/>
      <c r="R27" s="534">
        <f t="shared" ref="R27" ca="1" si="17">IF(OR(EXACT(H27,""),EXACT(B27,""),EXACT(F28,""),EXACT(H28,""),EXACT(J28,""),EXACT(L28,""),EXACT(N28,""),EXACT(F27,""),EXACT(J27,""),EXACT(M27,""),EXACT(N27,""),EXACT(O27,""),EXACT(P27,"")),0,IF(OR(EXACT(P28,"مقاله پر استناد"),EXACT(P28,"مقاله داغ"),EXACT(P28,"مستخرج از برنامه تحقيقاتي ملي معطوف به رفع مشكلات كشور")),(1.5*(F28*N28*(IF(EXACT(J28,"نفر اول"),INDIRECT(CONCATENATE("'Data Base'!$d",H28)),INDIRECT(CONCATENATE("'Data Base'!$e",H28))))*((100-L28)/100))),IF(EXACT(P28,"Short Article"),(0.5*(F28*N28*(IF(EXACT(J28,"نفر اول"),INDIRECT(CONCATENATE("'Data Base'!$D",H28)),INDIRECT(CONCATENATE("'Data Base'!$E",H28))))*((100-L28)/100))),IF(EXACT(P28,"چاپ شده در نشريات بسيار پر استناد Nature و Science"),(2*(F28*N28*(IF(EXACT(J28,"نفر اول"),INDIRECT(CONCATENATE("'Data Base'!$D",H28)),INDIRECT(CONCATENATE("'Data Base'!$E",H28))))*((100-L28)/100))),IF(OR(EXACT(P28,"مستخرج از طرح پژوهشي محرمانه"),EXACT(P28,"مشترك با اساتيد دانشگاه خارج از كشور")),(1.2*(F28*N28*(IF(EXACT(J28,"نفر اول"),INDIRECT(CONCATENATE("'Data Base'!$D",H28)),INDIRECT(CONCATENATE("'Data Base'!$E",H28))))*((100-L28)/100))),(F28*N28*(IF(EXACT(J28,"نفر اول"),INDIRECT(CONCATENATE("'Data Base'!$d",H28)),INDIRECT(CONCATENATE("'Data Base'!$e",H28))))*((100-L28)/100)))))))</f>
        <v>0</v>
      </c>
      <c r="S27" s="535">
        <f t="shared" ref="S27" ca="1" si="18">IF(OR(EXACT(H27,""),EXACT(B27,""),EXACT(F29,""),EXACT(H29,""),EXACT(J29,""),EXACT(L29,""),EXACT(N29,""),EXACT(F27,""),EXACT(J27,""),EXACT(M27,""),EXACT(N27,""),EXACT(O27,""),EXACT(P27,"")),0,IF(OR(EXACT(P29,"مقاله پر استناد"),EXACT(P29,"مقاله داغ"),EXACT(P29,"مستخرج از برنامه تحقيقاتي ملي معطوف به رفع مشكلات كشور")),(1.5*(F29*N29*(IF(EXACT(J29,"نفر اول"),INDIRECT(CONCATENATE("'Data Base'!$d",H29)),INDIRECT(CONCATENATE("'Data Base'!$E",H29))))*((100-L29)/100))),IF(EXACT(P29,"Short Article"),(0.5*(F29*N29*(IF(EXACT(J29,"نفر اول"),INDIRECT(CONCATENATE("'Data Base'!$D",H29)),INDIRECT(CONCATENATE("'Data Base'!$E",H29))))*((100-L29)/100))),IF(EXACT(P29,"چاپ شده در نشريات بسيار پر استناد Nature و Science"),(2*(F29*N29*(IF(EXACT(J29,"نفر اول"),INDIRECT(CONCATENATE("'Data Base'!$D",H29)),INDIRECT(CONCATENATE("'Data Base'!$E",H29))))*((100-L29)/100))),IF(OR(EXACT(P29,"مستخرج از طرح پژوهشي محرمانه"),EXACT(P29,"مشترك با اساتيد دانشگاه خارج از كشور")),(1.2*(F29*N29*(IF(EXACT(J29,"نفر اول"),INDIRECT(CONCATENATE("'Data Base'!$D",H29)),INDIRECT(CONCATENATE("'Data Base'!$E",H29))))*((100-L29)/100))),(F29*N29*(IF(EXACT(J29,"نفر اول"),INDIRECT(CONCATENATE("'Data Base'!$D",H29)),INDIRECT(CONCATENATE("'Data Base'!$E",H29))))*((100-L29)/100)))))))</f>
        <v>0</v>
      </c>
      <c r="T27" s="147"/>
      <c r="U27" s="1414"/>
      <c r="Z27" s="19">
        <f>SUM(Z24,AA27)</f>
        <v>0</v>
      </c>
      <c r="AA27" s="19">
        <f>IF(OR(OR(B27="",F27="",H27="",J27="",P27=""),AND(M27="",O27="")),0,1)</f>
        <v>0</v>
      </c>
      <c r="AB27" s="19">
        <f t="shared" ref="AB27" ca="1" si="19">IF(AND(AA27=1,S27&gt;0),1,0)</f>
        <v>0</v>
      </c>
      <c r="AC27" s="19">
        <f ca="1">IF(AND(AA27=1,S27&lt;1),1,0)</f>
        <v>0</v>
      </c>
      <c r="AD27" s="19">
        <f ca="1">IF(AND(AA27=1,S27&gt;=1,AJ27=1),1,0)</f>
        <v>0</v>
      </c>
      <c r="AE27" s="19">
        <f ca="1">IF(AD27=1,S27,0)</f>
        <v>0</v>
      </c>
      <c r="AF27" s="19">
        <f ca="1">IF(AND(AA27=1,S27&gt;=1,AJ27=1,AR29=1),1,0)</f>
        <v>0</v>
      </c>
      <c r="AG27" s="19">
        <f ca="1">IF(AF27=1,S27,0)</f>
        <v>0</v>
      </c>
      <c r="AH27" s="19">
        <f>IF(OR(EXACT(H27,"JCR-Q1"),EXACT(H27,"JCR-Q2")),(1),(0))</f>
        <v>0</v>
      </c>
      <c r="AI27" s="19">
        <f>IF(OR(EXACT(H27,"JCR-Q1"),EXACT(H27,"JCR-Q2"),EXACT(H27,"JCR-Q3")),(1),(0))</f>
        <v>0</v>
      </c>
      <c r="AJ27" s="19">
        <f>IF(OR(EXACT(H27,"JCR-Q1"),EXACT(H27,"JCR-Q2"),EXACT(H27,"JCR-Q3"),EXACT(H27,"JCR-Q4")),(1),(0))</f>
        <v>0</v>
      </c>
      <c r="AK27" s="19">
        <f>IF(OR(EXACT(H27,"JCR-Q1"),EXACT(H27,"JCR-Q2"),EXACT(H27,"JCR-Q3"),EXACT(H27,"JCR-Q4"),EXACT(H27,"WOS")),(1),(0))</f>
        <v>0</v>
      </c>
      <c r="AL27" s="19">
        <f>IF(OR(EXACT(H27,"JCR-Q1"),EXACT(H27,"JCR-Q2"),EXACT(H27,"JCR-Q3"),EXACT(H27,"JCR-Q4"),EXACT(H27,"WOS"),EXACT(H27,"Scopus")),(1),(0))</f>
        <v>0</v>
      </c>
      <c r="AM27" s="19">
        <f>IF(OR(EXACT(H27,'Data Base'!$B$21),EXACT(H27,'Data Base'!$B$22)),(1),(0))</f>
        <v>0</v>
      </c>
    </row>
    <row r="28" spans="1:83" ht="20.25" customHeight="1">
      <c r="A28" s="1416" t="s">
        <v>29</v>
      </c>
      <c r="B28" s="1417"/>
      <c r="C28" s="1417"/>
      <c r="D28" s="1418"/>
      <c r="E28" s="514" t="s">
        <v>1001</v>
      </c>
      <c r="F28" s="515"/>
      <c r="G28" s="516" t="s">
        <v>801</v>
      </c>
      <c r="H28" s="517"/>
      <c r="I28" s="516" t="s">
        <v>1002</v>
      </c>
      <c r="J28" s="518"/>
      <c r="K28" s="516" t="s">
        <v>1003</v>
      </c>
      <c r="L28" s="519"/>
      <c r="M28" s="516" t="s">
        <v>1004</v>
      </c>
      <c r="N28" s="520"/>
      <c r="O28" s="1266" t="s">
        <v>55</v>
      </c>
      <c r="P28" s="1419"/>
      <c r="Q28" s="1419"/>
      <c r="R28" s="1419"/>
      <c r="S28" s="1419"/>
      <c r="T28" s="1419"/>
      <c r="U28" s="1415"/>
      <c r="AN28" s="19">
        <f>IF(AND(AA27=1,EXACT(J28,"نفر اول")),(1),(0))</f>
        <v>0</v>
      </c>
      <c r="AO28" s="19">
        <f>IF(AN28=1,R27,0)</f>
        <v>0</v>
      </c>
      <c r="AP28" s="19">
        <f>IF(AND(AA27=1,EXACT(J28,"همكار")),(1),(0))</f>
        <v>0</v>
      </c>
      <c r="AQ28" s="19">
        <f>IF(AP28=1,R27,0)</f>
        <v>0</v>
      </c>
      <c r="AV28" s="19">
        <f>IF((AH27=1),R27,0)</f>
        <v>0</v>
      </c>
      <c r="AW28" s="19">
        <f>IF(AND(EXACT(AN28,"1"),EXACT(AH27,"1")),(1),(0))</f>
        <v>0</v>
      </c>
      <c r="AX28" s="19">
        <f>IF((AW28=1),AV28,0)</f>
        <v>0</v>
      </c>
      <c r="BB28" s="19">
        <f>IF((AI27=1),R27,0)</f>
        <v>0</v>
      </c>
      <c r="BC28" s="19">
        <f>IF(AND(EXACT(AI27,"1"),EXACT(AN28,"1")),(1),(0))</f>
        <v>0</v>
      </c>
      <c r="BD28" s="19">
        <f>IF((BC28=1),BB28,0)</f>
        <v>0</v>
      </c>
      <c r="BH28" s="19">
        <f>IF((AJ27=1),R27,0)</f>
        <v>0</v>
      </c>
      <c r="BI28" s="19">
        <f>IF(AND(EXACT(AJ27,"1"),EXACT(AN28,"1")),(1),(0))</f>
        <v>0</v>
      </c>
      <c r="BJ28" s="19">
        <f>IF((BI28=1),BH28,0)</f>
        <v>0</v>
      </c>
      <c r="BN28" s="19">
        <f>IF((AK27=1),R27,0)</f>
        <v>0</v>
      </c>
      <c r="BO28" s="19">
        <f>IF(AND(EXACT(AK27,"1"),EXACT(AN28,"1")),(1),(0))</f>
        <v>0</v>
      </c>
      <c r="BP28" s="19">
        <f>IF((BO28=1),BN28,0)</f>
        <v>0</v>
      </c>
      <c r="BT28" s="19">
        <f>IF((AL27=1),R27,0)</f>
        <v>0</v>
      </c>
      <c r="BU28" s="19">
        <f>IF(AND(EXACT(AN28,"1"),EXACT(AL27,"1")),(1),(0))</f>
        <v>0</v>
      </c>
      <c r="BV28" s="19">
        <f>IF((BU28=1),BT28,0)</f>
        <v>0</v>
      </c>
      <c r="BZ28" s="19">
        <f>IF((AM27=1),R27,0)</f>
        <v>0</v>
      </c>
      <c r="CA28" s="19">
        <f>IF(AND(EXACT(AM27,"1"),EXACT(AN28,"1")),(1),(0))</f>
        <v>0</v>
      </c>
      <c r="CB28" s="19">
        <f>IF((CA28=1),BZ28,0)</f>
        <v>0</v>
      </c>
    </row>
    <row r="29" spans="1:83" ht="20.25">
      <c r="A29" s="1420" t="s">
        <v>30</v>
      </c>
      <c r="B29" s="1421"/>
      <c r="C29" s="1421"/>
      <c r="D29" s="1422"/>
      <c r="E29" s="536" t="s">
        <v>1001</v>
      </c>
      <c r="F29" s="537"/>
      <c r="G29" s="538" t="s">
        <v>801</v>
      </c>
      <c r="H29" s="539"/>
      <c r="I29" s="538" t="s">
        <v>1002</v>
      </c>
      <c r="J29" s="525"/>
      <c r="K29" s="538" t="s">
        <v>1003</v>
      </c>
      <c r="L29" s="540"/>
      <c r="M29" s="538" t="s">
        <v>1004</v>
      </c>
      <c r="N29" s="541"/>
      <c r="O29" s="1266"/>
      <c r="P29" s="1423"/>
      <c r="Q29" s="1423"/>
      <c r="R29" s="1423"/>
      <c r="S29" s="1423"/>
      <c r="T29" s="1423"/>
      <c r="U29" s="1415"/>
      <c r="AR29" s="19">
        <f>IF(AND(AA27=1,EXACT(J29,"نفر اول")),(1),(0))</f>
        <v>0</v>
      </c>
      <c r="AS29" s="19">
        <f>IF(AR29=1,S27,0)</f>
        <v>0</v>
      </c>
      <c r="AT29" s="19">
        <f>IF(AND(AA27=1,EXACT(J29,"همكار")),(1),(0))</f>
        <v>0</v>
      </c>
      <c r="AU29" s="19">
        <f>IF(AT29=1,S27,0)</f>
        <v>0</v>
      </c>
      <c r="AY29" s="19">
        <f>IF((AH27=1),S27,0)</f>
        <v>0</v>
      </c>
      <c r="AZ29" s="19">
        <f>IF(AND(EXACT(AR29,"1"),EXACT(AH27,"1")),(1),(0))</f>
        <v>0</v>
      </c>
      <c r="BA29" s="19">
        <f>IF((AZ29=1),AY29,0)</f>
        <v>0</v>
      </c>
      <c r="BE29" s="19">
        <f>IF((AI27=1),S27,0)</f>
        <v>0</v>
      </c>
      <c r="BF29" s="19">
        <f>IF(AND(EXACT(AI27,"1"),EXACT(AR29,"1")),(1),(0))</f>
        <v>0</v>
      </c>
      <c r="BG29" s="19">
        <f>IF((BF29=1),BE29,0)</f>
        <v>0</v>
      </c>
      <c r="BK29" s="19">
        <f>IF((AJ27=1),S27,0)</f>
        <v>0</v>
      </c>
      <c r="BL29" s="19">
        <f>IF(AND(EXACT(AJ27,"1"),EXACT(AR29,"1")),(1),(0))</f>
        <v>0</v>
      </c>
      <c r="BM29" s="19">
        <f>IF((BL29=1),BK29,0)</f>
        <v>0</v>
      </c>
      <c r="BQ29" s="19">
        <f>IF((AJ27=1),S27,0)</f>
        <v>0</v>
      </c>
      <c r="BR29" s="19">
        <f>IF(AND(EXACT(AJ27,"1"),EXACT(AR29,"1")),(1),(0))</f>
        <v>0</v>
      </c>
      <c r="BS29" s="19">
        <f>IF((BL29=1),BK29,0)</f>
        <v>0</v>
      </c>
      <c r="BW29" s="19">
        <f>IF((AL27=1),S27,0)</f>
        <v>0</v>
      </c>
      <c r="BX29" s="19">
        <f>IF(AND(EXACT(AL27,"1"),EXACT(AR29,"1")),(1),(0))</f>
        <v>0</v>
      </c>
      <c r="BY29" s="19">
        <f>IF((BX29=1),BW29,0)</f>
        <v>0</v>
      </c>
      <c r="CC29" s="19">
        <f>IF((AM27=1),R27,0)</f>
        <v>0</v>
      </c>
      <c r="CD29" s="19">
        <f>IF(AND(EXACT(AM27,"1"),EXACT(AR29,"1")),(1),(0))</f>
        <v>0</v>
      </c>
      <c r="CE29" s="19">
        <f>IF((CD29=1),CC29,0)</f>
        <v>0</v>
      </c>
    </row>
    <row r="30" spans="1:83" ht="20.25">
      <c r="A30" s="12">
        <f>IF(AA30=0,0,IF(AA27=0,Z30,SUM(A27,AA30)))</f>
        <v>0</v>
      </c>
      <c r="B30" s="1157"/>
      <c r="C30" s="1157"/>
      <c r="D30" s="1157"/>
      <c r="E30" s="1182"/>
      <c r="F30" s="1424"/>
      <c r="G30" s="1424"/>
      <c r="H30" s="527"/>
      <c r="I30" s="528"/>
      <c r="J30" s="529"/>
      <c r="K30" s="530"/>
      <c r="L30" s="531"/>
      <c r="M30" s="532"/>
      <c r="N30" s="533"/>
      <c r="O30" s="532"/>
      <c r="P30" s="1182"/>
      <c r="Q30" s="1182"/>
      <c r="R30" s="534">
        <f t="shared" ref="R30" ca="1" si="20">IF(OR(EXACT(H30,""),EXACT(B30,""),EXACT(F31,""),EXACT(H31,""),EXACT(J31,""),EXACT(L31,""),EXACT(N31,""),EXACT(F30,""),EXACT(J30,""),EXACT(M30,""),EXACT(N30,""),EXACT(O30,""),EXACT(P30,"")),0,IF(OR(EXACT(P31,"مقاله پر استناد"),EXACT(P31,"مقاله داغ"),EXACT(P31,"مستخرج از برنامه تحقيقاتي ملي معطوف به رفع مشكلات كشور")),(1.5*(F31*N31*(IF(EXACT(J31,"نفر اول"),INDIRECT(CONCATENATE("'Data Base'!$d",H31)),INDIRECT(CONCATENATE("'Data Base'!$e",H31))))*((100-L31)/100))),IF(EXACT(P31,"Short Article"),(0.5*(F31*N31*(IF(EXACT(J31,"نفر اول"),INDIRECT(CONCATENATE("'Data Base'!$D",H31)),INDIRECT(CONCATENATE("'Data Base'!$E",H31))))*((100-L31)/100))),IF(EXACT(P31,"چاپ شده در نشريات بسيار پر استناد Nature و Science"),(2*(F31*N31*(IF(EXACT(J31,"نفر اول"),INDIRECT(CONCATENATE("'Data Base'!$D",H31)),INDIRECT(CONCATENATE("'Data Base'!$E",H31))))*((100-L31)/100))),IF(OR(EXACT(P31,"مستخرج از طرح پژوهشي محرمانه"),EXACT(P31,"مشترك با اساتيد دانشگاه خارج از كشور")),(1.2*(F31*N31*(IF(EXACT(J31,"نفر اول"),INDIRECT(CONCATENATE("'Data Base'!$D",H31)),INDIRECT(CONCATENATE("'Data Base'!$E",H31))))*((100-L31)/100))),(F31*N31*(IF(EXACT(J31,"نفر اول"),INDIRECT(CONCATENATE("'Data Base'!$d",H31)),INDIRECT(CONCATENATE("'Data Base'!$e",H31))))*((100-L31)/100)))))))</f>
        <v>0</v>
      </c>
      <c r="S30" s="535">
        <f t="shared" ref="S30" ca="1" si="21">IF(OR(EXACT(H30,""),EXACT(B30,""),EXACT(F32,""),EXACT(H32,""),EXACT(J32,""),EXACT(L32,""),EXACT(N32,""),EXACT(F30,""),EXACT(J30,""),EXACT(M30,""),EXACT(N30,""),EXACT(O30,""),EXACT(P30,"")),0,IF(OR(EXACT(P32,"مقاله پر استناد"),EXACT(P32,"مقاله داغ"),EXACT(P32,"مستخرج از برنامه تحقيقاتي ملي معطوف به رفع مشكلات كشور")),(1.5*(F32*N32*(IF(EXACT(J32,"نفر اول"),INDIRECT(CONCATENATE("'Data Base'!$d",H32)),INDIRECT(CONCATENATE("'Data Base'!$E",H32))))*((100-L32)/100))),IF(EXACT(P32,"Short Article"),(0.5*(F32*N32*(IF(EXACT(J32,"نفر اول"),INDIRECT(CONCATENATE("'Data Base'!$D",H32)),INDIRECT(CONCATENATE("'Data Base'!$E",H32))))*((100-L32)/100))),IF(EXACT(P32,"چاپ شده در نشريات بسيار پر استناد Nature و Science"),(2*(F32*N32*(IF(EXACT(J32,"نفر اول"),INDIRECT(CONCATENATE("'Data Base'!$D",H32)),INDIRECT(CONCATENATE("'Data Base'!$E",H32))))*((100-L32)/100))),IF(OR(EXACT(P32,"مستخرج از طرح پژوهشي محرمانه"),EXACT(P32,"مشترك با اساتيد دانشگاه خارج از كشور")),(1.2*(F32*N32*(IF(EXACT(J32,"نفر اول"),INDIRECT(CONCATENATE("'Data Base'!$D",H32)),INDIRECT(CONCATENATE("'Data Base'!$E",H32))))*((100-L32)/100))),(F32*N32*(IF(EXACT(J32,"نفر اول"),INDIRECT(CONCATENATE("'Data Base'!$D",H32)),INDIRECT(CONCATENATE("'Data Base'!$E",H32))))*((100-L32)/100)))))))</f>
        <v>0</v>
      </c>
      <c r="T30" s="147"/>
      <c r="U30" s="1414"/>
      <c r="Z30" s="19">
        <f>SUM(Z27,AA30)</f>
        <v>0</v>
      </c>
      <c r="AA30" s="19">
        <f>IF(OR(OR(B30="",F30="",H30="",J30="",P30=""),AND(M30="",O30="")),0,1)</f>
        <v>0</v>
      </c>
      <c r="AB30" s="19">
        <f t="shared" ref="AB30" ca="1" si="22">IF(AND(AA30=1,S30&gt;0),1,0)</f>
        <v>0</v>
      </c>
      <c r="AC30" s="19">
        <f t="shared" ref="AC30" ca="1" si="23">IF(AND(AA30=1,S30&lt;1),1,0)</f>
        <v>0</v>
      </c>
      <c r="AD30" s="19">
        <f ca="1">IF(AND(AA30=1,S30&gt;=1,AJ30=1),1,0)</f>
        <v>0</v>
      </c>
      <c r="AE30" s="19">
        <f ca="1">IF(AD30=1,S30,0)</f>
        <v>0</v>
      </c>
      <c r="AF30" s="19">
        <f ca="1">IF(AND(AA30=1,S30&gt;=1,AJ30=1,AR32=1),1,0)</f>
        <v>0</v>
      </c>
      <c r="AG30" s="19">
        <f ca="1">IF(AF30=1,S30,0)</f>
        <v>0</v>
      </c>
      <c r="AH30" s="19">
        <f>IF(OR(EXACT(H30,"JCR-Q1"),EXACT(H30,"JCR-Q2")),(1),(0))</f>
        <v>0</v>
      </c>
      <c r="AI30" s="19">
        <f>IF(OR(EXACT(H30,"JCR-Q1"),EXACT(H30,"JCR-Q2"),EXACT(H30,"JCR-Q3")),(1),(0))</f>
        <v>0</v>
      </c>
      <c r="AJ30" s="19">
        <f>IF(OR(EXACT(H30,"JCR-Q1"),EXACT(H30,"JCR-Q2"),EXACT(H30,"JCR-Q3"),EXACT(H30,"JCR-Q4")),(1),(0))</f>
        <v>0</v>
      </c>
      <c r="AK30" s="19">
        <f>IF(OR(EXACT(H30,"JCR-Q1"),EXACT(H30,"JCR-Q2"),EXACT(H30,"JCR-Q3"),EXACT(H30,"JCR-Q4"),EXACT(H30,"WOS")),(1),(0))</f>
        <v>0</v>
      </c>
      <c r="AL30" s="19">
        <f>IF(OR(EXACT(H30,"JCR-Q1"),EXACT(H30,"JCR-Q2"),EXACT(H30,"JCR-Q3"),EXACT(H30,"JCR-Q4"),EXACT(H30,"WOS"),EXACT(H30,"Scopus")),(1),(0))</f>
        <v>0</v>
      </c>
      <c r="AM30" s="19">
        <f>IF(OR(EXACT(H30,'Data Base'!$B$21),EXACT(H30,'Data Base'!$B$22)),(1),(0))</f>
        <v>0</v>
      </c>
    </row>
    <row r="31" spans="1:83" ht="20.25" customHeight="1">
      <c r="A31" s="1416" t="s">
        <v>29</v>
      </c>
      <c r="B31" s="1417"/>
      <c r="C31" s="1417"/>
      <c r="D31" s="1418"/>
      <c r="E31" s="514" t="s">
        <v>1001</v>
      </c>
      <c r="F31" s="515"/>
      <c r="G31" s="516" t="s">
        <v>801</v>
      </c>
      <c r="H31" s="517"/>
      <c r="I31" s="516" t="s">
        <v>1002</v>
      </c>
      <c r="J31" s="518"/>
      <c r="K31" s="516" t="s">
        <v>1003</v>
      </c>
      <c r="L31" s="519"/>
      <c r="M31" s="516" t="s">
        <v>1004</v>
      </c>
      <c r="N31" s="520"/>
      <c r="O31" s="1266" t="s">
        <v>55</v>
      </c>
      <c r="P31" s="1419"/>
      <c r="Q31" s="1419"/>
      <c r="R31" s="1419"/>
      <c r="S31" s="1419"/>
      <c r="T31" s="1419"/>
      <c r="U31" s="1415"/>
      <c r="AN31" s="19">
        <f>IF(AND(AA30=1,EXACT(J31,"نفر اول")),(1),(0))</f>
        <v>0</v>
      </c>
      <c r="AO31" s="19">
        <f>IF(AN31=1,R30,0)</f>
        <v>0</v>
      </c>
      <c r="AP31" s="19">
        <f>IF(AND(AA30=1,EXACT(J31,"همكار")),(1),(0))</f>
        <v>0</v>
      </c>
      <c r="AQ31" s="19">
        <f>IF(AP31=1,R30,0)</f>
        <v>0</v>
      </c>
      <c r="AV31" s="19">
        <f>IF((AH30=1),R30,0)</f>
        <v>0</v>
      </c>
      <c r="AW31" s="19">
        <f>IF(AND(EXACT(AN31,"1"),EXACT(AH30,"1")),(1),(0))</f>
        <v>0</v>
      </c>
      <c r="AX31" s="19">
        <f>IF((AW31=1),AV31,0)</f>
        <v>0</v>
      </c>
      <c r="BB31" s="19">
        <f>IF((AI30=1),R30,0)</f>
        <v>0</v>
      </c>
      <c r="BC31" s="19">
        <f>IF(AND(EXACT(AI30,"1"),EXACT(AN31,"1")),(1),(0))</f>
        <v>0</v>
      </c>
      <c r="BD31" s="19">
        <f>IF((BC31=1),BB31,0)</f>
        <v>0</v>
      </c>
      <c r="BH31" s="19">
        <f>IF((AJ30=1),R30,0)</f>
        <v>0</v>
      </c>
      <c r="BI31" s="19">
        <f>IF(AND(EXACT(AJ30,"1"),EXACT(AN31,"1")),(1),(0))</f>
        <v>0</v>
      </c>
      <c r="BJ31" s="19">
        <f>IF((BI31=1),BH31,0)</f>
        <v>0</v>
      </c>
      <c r="BN31" s="19">
        <f>IF((AK30=1),R30,0)</f>
        <v>0</v>
      </c>
      <c r="BO31" s="19">
        <f>IF(AND(EXACT(AK30,"1"),EXACT(AN31,"1")),(1),(0))</f>
        <v>0</v>
      </c>
      <c r="BP31" s="19">
        <f>IF((BO31=1),BN31,0)</f>
        <v>0</v>
      </c>
      <c r="BT31" s="19">
        <f>IF((AL30=1),R30,0)</f>
        <v>0</v>
      </c>
      <c r="BU31" s="19">
        <f>IF(AND(EXACT(AN31,"1"),EXACT(AL30,"1")),(1),(0))</f>
        <v>0</v>
      </c>
      <c r="BV31" s="19">
        <f>IF((BU31=1),BT31,0)</f>
        <v>0</v>
      </c>
      <c r="BZ31" s="19">
        <f>IF((AM30=1),R30,0)</f>
        <v>0</v>
      </c>
      <c r="CA31" s="19">
        <f>IF(AND(EXACT(AM30,"1"),EXACT(AN31,"1")),(1),(0))</f>
        <v>0</v>
      </c>
      <c r="CB31" s="19">
        <f>IF((CA31=1),BZ31,0)</f>
        <v>0</v>
      </c>
    </row>
    <row r="32" spans="1:83" ht="20.25">
      <c r="A32" s="1420" t="s">
        <v>30</v>
      </c>
      <c r="B32" s="1421"/>
      <c r="C32" s="1421"/>
      <c r="D32" s="1422"/>
      <c r="E32" s="536" t="s">
        <v>1001</v>
      </c>
      <c r="F32" s="537"/>
      <c r="G32" s="538" t="s">
        <v>801</v>
      </c>
      <c r="H32" s="539"/>
      <c r="I32" s="538" t="s">
        <v>1002</v>
      </c>
      <c r="J32" s="525"/>
      <c r="K32" s="538" t="s">
        <v>1003</v>
      </c>
      <c r="L32" s="540"/>
      <c r="M32" s="538" t="s">
        <v>1004</v>
      </c>
      <c r="N32" s="541"/>
      <c r="O32" s="1266"/>
      <c r="P32" s="1423"/>
      <c r="Q32" s="1423"/>
      <c r="R32" s="1423"/>
      <c r="S32" s="1423"/>
      <c r="T32" s="1423"/>
      <c r="U32" s="1415"/>
      <c r="AR32" s="19">
        <f>IF(AND(AA30=1,EXACT(J32,"نفر اول")),(1),(0))</f>
        <v>0</v>
      </c>
      <c r="AS32" s="19">
        <f>IF(AR32=1,S30,0)</f>
        <v>0</v>
      </c>
      <c r="AT32" s="19">
        <f>IF(AND(AA30=1,EXACT(J32,"همكار")),(1),(0))</f>
        <v>0</v>
      </c>
      <c r="AU32" s="19">
        <f>IF(AT32=1,S30,0)</f>
        <v>0</v>
      </c>
      <c r="AY32" s="19">
        <f>IF((AH30=1),S30,0)</f>
        <v>0</v>
      </c>
      <c r="AZ32" s="19">
        <f>IF(AND(EXACT(AR32,"1"),EXACT(AH30,"1")),(1),(0))</f>
        <v>0</v>
      </c>
      <c r="BA32" s="19">
        <f>IF((AZ32=1),AY32,0)</f>
        <v>0</v>
      </c>
      <c r="BE32" s="19">
        <f>IF((AI30=1),S30,0)</f>
        <v>0</v>
      </c>
      <c r="BF32" s="19">
        <f>IF(AND(EXACT(AI30,"1"),EXACT(AR32,"1")),(1),(0))</f>
        <v>0</v>
      </c>
      <c r="BG32" s="19">
        <f>IF((BF32=1),BE32,0)</f>
        <v>0</v>
      </c>
      <c r="BK32" s="19">
        <f>IF((AJ30=1),S30,0)</f>
        <v>0</v>
      </c>
      <c r="BL32" s="19">
        <f>IF(AND(EXACT(AJ30,"1"),EXACT(AR32,"1")),(1),(0))</f>
        <v>0</v>
      </c>
      <c r="BM32" s="19">
        <f>IF((BL32=1),BK32,0)</f>
        <v>0</v>
      </c>
      <c r="BQ32" s="19">
        <f>IF((AJ30=1),S30,0)</f>
        <v>0</v>
      </c>
      <c r="BR32" s="19">
        <f>IF(AND(EXACT(AJ30,"1"),EXACT(AR32,"1")),(1),(0))</f>
        <v>0</v>
      </c>
      <c r="BS32" s="19">
        <f>IF((BL32=1),BK32,0)</f>
        <v>0</v>
      </c>
      <c r="BW32" s="19">
        <f>IF((AL30=1),S30,0)</f>
        <v>0</v>
      </c>
      <c r="BX32" s="19">
        <f>IF(AND(EXACT(AL30,"1"),EXACT(AR32,"1")),(1),(0))</f>
        <v>0</v>
      </c>
      <c r="BY32" s="19">
        <f>IF((BX32=1),BW32,0)</f>
        <v>0</v>
      </c>
      <c r="CC32" s="19">
        <f>IF((AM30=1),R30,0)</f>
        <v>0</v>
      </c>
      <c r="CD32" s="19">
        <f>IF(AND(EXACT(AM30,"1"),EXACT(AR32,"1")),(1),(0))</f>
        <v>0</v>
      </c>
      <c r="CE32" s="19">
        <f>IF((CD32=1),CC32,0)</f>
        <v>0</v>
      </c>
    </row>
    <row r="33" spans="1:83" ht="20.25">
      <c r="A33" s="12">
        <f>IF(AA33=0,0,IF(AA30=0,Z33,SUM(A30,AA33)))</f>
        <v>0</v>
      </c>
      <c r="B33" s="1157"/>
      <c r="C33" s="1157"/>
      <c r="D33" s="1157"/>
      <c r="E33" s="1182"/>
      <c r="F33" s="1424"/>
      <c r="G33" s="1424"/>
      <c r="H33" s="527"/>
      <c r="I33" s="528"/>
      <c r="J33" s="529"/>
      <c r="K33" s="530"/>
      <c r="L33" s="531"/>
      <c r="M33" s="532"/>
      <c r="N33" s="533"/>
      <c r="O33" s="532"/>
      <c r="P33" s="1182"/>
      <c r="Q33" s="1182"/>
      <c r="R33" s="534">
        <f t="shared" ref="R33" ca="1" si="24">IF(OR(EXACT(H33,""),EXACT(B33,""),EXACT(F34,""),EXACT(H34,""),EXACT(J34,""),EXACT(L34,""),EXACT(N34,""),EXACT(F33,""),EXACT(J33,""),EXACT(M33,""),EXACT(N33,""),EXACT(O33,""),EXACT(P33,"")),0,IF(OR(EXACT(P34,"مقاله پر استناد"),EXACT(P34,"مقاله داغ"),EXACT(P34,"مستخرج از برنامه تحقيقاتي ملي معطوف به رفع مشكلات كشور")),(1.5*(F34*N34*(IF(EXACT(J34,"نفر اول"),INDIRECT(CONCATENATE("'Data Base'!$d",H34)),INDIRECT(CONCATENATE("'Data Base'!$e",H34))))*((100-L34)/100))),IF(EXACT(P34,"Short Article"),(0.5*(F34*N34*(IF(EXACT(J34,"نفر اول"),INDIRECT(CONCATENATE("'Data Base'!$D",H34)),INDIRECT(CONCATENATE("'Data Base'!$E",H34))))*((100-L34)/100))),IF(EXACT(P34,"چاپ شده در نشريات بسيار پر استناد Nature و Science"),(2*(F34*N34*(IF(EXACT(J34,"نفر اول"),INDIRECT(CONCATENATE("'Data Base'!$D",H34)),INDIRECT(CONCATENATE("'Data Base'!$E",H34))))*((100-L34)/100))),IF(OR(EXACT(P34,"مستخرج از طرح پژوهشي محرمانه"),EXACT(P34,"مشترك با اساتيد دانشگاه خارج از كشور")),(1.2*(F34*N34*(IF(EXACT(J34,"نفر اول"),INDIRECT(CONCATENATE("'Data Base'!$D",H34)),INDIRECT(CONCATENATE("'Data Base'!$E",H34))))*((100-L34)/100))),(F34*N34*(IF(EXACT(J34,"نفر اول"),INDIRECT(CONCATENATE("'Data Base'!$d",H34)),INDIRECT(CONCATENATE("'Data Base'!$e",H34))))*((100-L34)/100)))))))</f>
        <v>0</v>
      </c>
      <c r="S33" s="535">
        <f t="shared" ref="S33" ca="1" si="25">IF(OR(EXACT(H33,""),EXACT(B33,""),EXACT(F35,""),EXACT(H35,""),EXACT(J35,""),EXACT(L35,""),EXACT(N35,""),EXACT(F33,""),EXACT(J33,""),EXACT(M33,""),EXACT(N33,""),EXACT(O33,""),EXACT(P33,"")),0,IF(OR(EXACT(P35,"مقاله پر استناد"),EXACT(P35,"مقاله داغ"),EXACT(P35,"مستخرج از برنامه تحقيقاتي ملي معطوف به رفع مشكلات كشور")),(1.5*(F35*N35*(IF(EXACT(J35,"نفر اول"),INDIRECT(CONCATENATE("'Data Base'!$d",H35)),INDIRECT(CONCATENATE("'Data Base'!$E",H35))))*((100-L35)/100))),IF(EXACT(P35,"Short Article"),(0.5*(F35*N35*(IF(EXACT(J35,"نفر اول"),INDIRECT(CONCATENATE("'Data Base'!$D",H35)),INDIRECT(CONCATENATE("'Data Base'!$E",H35))))*((100-L35)/100))),IF(EXACT(P35,"چاپ شده در نشريات بسيار پر استناد Nature و Science"),(2*(F35*N35*(IF(EXACT(J35,"نفر اول"),INDIRECT(CONCATENATE("'Data Base'!$D",H35)),INDIRECT(CONCATENATE("'Data Base'!$E",H35))))*((100-L35)/100))),IF(OR(EXACT(P35,"مستخرج از طرح پژوهشي محرمانه"),EXACT(P35,"مشترك با اساتيد دانشگاه خارج از كشور")),(1.2*(F35*N35*(IF(EXACT(J35,"نفر اول"),INDIRECT(CONCATENATE("'Data Base'!$D",H35)),INDIRECT(CONCATENATE("'Data Base'!$E",H35))))*((100-L35)/100))),(F35*N35*(IF(EXACT(J35,"نفر اول"),INDIRECT(CONCATENATE("'Data Base'!$D",H35)),INDIRECT(CONCATENATE("'Data Base'!$E",H35))))*((100-L35)/100)))))))</f>
        <v>0</v>
      </c>
      <c r="T33" s="147"/>
      <c r="U33" s="1414"/>
      <c r="Z33" s="19">
        <f>SUM(Z30,AA33)</f>
        <v>0</v>
      </c>
      <c r="AA33" s="19">
        <f>IF(OR(OR(B33="",F33="",H33="",J33="",P33=""),AND(M33="",O33="")),0,1)</f>
        <v>0</v>
      </c>
      <c r="AB33" s="19">
        <f t="shared" ref="AB33" ca="1" si="26">IF(AND(AA33=1,S33&gt;0),1,0)</f>
        <v>0</v>
      </c>
      <c r="AC33" s="19">
        <f t="shared" ref="AC33" ca="1" si="27">IF(AND(AA33=1,S33&lt;1),1,0)</f>
        <v>0</v>
      </c>
      <c r="AD33" s="19">
        <f ca="1">IF(AND(AA33=1,S33&gt;=1,AJ33=1),1,0)</f>
        <v>0</v>
      </c>
      <c r="AE33" s="19">
        <f ca="1">IF(AD33=1,S33,0)</f>
        <v>0</v>
      </c>
      <c r="AF33" s="19">
        <f ca="1">IF(AND(AA33=1,S33&gt;=1,AJ33=1,AR35=1),1,0)</f>
        <v>0</v>
      </c>
      <c r="AG33" s="19">
        <f ca="1">IF(AF33=1,S33,0)</f>
        <v>0</v>
      </c>
      <c r="AH33" s="19">
        <f>IF(OR(EXACT(H33,"JCR-Q1"),EXACT(H33,"JCR-Q2")),(1),(0))</f>
        <v>0</v>
      </c>
      <c r="AI33" s="19">
        <f>IF(OR(EXACT(H33,"JCR-Q1"),EXACT(H33,"JCR-Q2"),EXACT(H33,"JCR-Q3")),(1),(0))</f>
        <v>0</v>
      </c>
      <c r="AJ33" s="19">
        <f>IF(OR(EXACT(H33,"JCR-Q1"),EXACT(H33,"JCR-Q2"),EXACT(H33,"JCR-Q3"),EXACT(H33,"JCR-Q4")),(1),(0))</f>
        <v>0</v>
      </c>
      <c r="AK33" s="19">
        <f>IF(OR(EXACT(H33,"JCR-Q1"),EXACT(H33,"JCR-Q2"),EXACT(H33,"JCR-Q3"),EXACT(H33,"JCR-Q4"),EXACT(H33,"WOS")),(1),(0))</f>
        <v>0</v>
      </c>
      <c r="AL33" s="19">
        <f>IF(OR(EXACT(H33,"JCR-Q1"),EXACT(H33,"JCR-Q2"),EXACT(H33,"JCR-Q3"),EXACT(H33,"JCR-Q4"),EXACT(H33,"WOS"),EXACT(H33,"Scopus")),(1),(0))</f>
        <v>0</v>
      </c>
      <c r="AM33" s="19">
        <f>IF(OR(EXACT(H33,'Data Base'!$B$21),EXACT(H33,'Data Base'!$B$22)),(1),(0))</f>
        <v>0</v>
      </c>
    </row>
    <row r="34" spans="1:83" ht="20.25" customHeight="1">
      <c r="A34" s="1416" t="s">
        <v>29</v>
      </c>
      <c r="B34" s="1417"/>
      <c r="C34" s="1417"/>
      <c r="D34" s="1418"/>
      <c r="E34" s="514" t="s">
        <v>1001</v>
      </c>
      <c r="F34" s="515"/>
      <c r="G34" s="516" t="s">
        <v>801</v>
      </c>
      <c r="H34" s="517"/>
      <c r="I34" s="516" t="s">
        <v>1002</v>
      </c>
      <c r="J34" s="518"/>
      <c r="K34" s="516" t="s">
        <v>1003</v>
      </c>
      <c r="L34" s="519"/>
      <c r="M34" s="516" t="s">
        <v>1004</v>
      </c>
      <c r="N34" s="520"/>
      <c r="O34" s="1266" t="s">
        <v>55</v>
      </c>
      <c r="P34" s="1419"/>
      <c r="Q34" s="1419"/>
      <c r="R34" s="1419"/>
      <c r="S34" s="1419"/>
      <c r="T34" s="1419"/>
      <c r="U34" s="1415"/>
      <c r="AN34" s="19">
        <f>IF(AND(AA33=1,EXACT(J34,"نفر اول")),(1),(0))</f>
        <v>0</v>
      </c>
      <c r="AO34" s="19">
        <f>IF(AN34=1,R33,0)</f>
        <v>0</v>
      </c>
      <c r="AP34" s="19">
        <f>IF(AND(AA33=1,EXACT(J34,"همكار")),(1),(0))</f>
        <v>0</v>
      </c>
      <c r="AQ34" s="19">
        <f>IF(AP34=1,R33,0)</f>
        <v>0</v>
      </c>
      <c r="AV34" s="19">
        <f>IF((AH33=1),R33,0)</f>
        <v>0</v>
      </c>
      <c r="AW34" s="19">
        <f>IF(AND(EXACT(AN34,"1"),EXACT(AH33,"1")),(1),(0))</f>
        <v>0</v>
      </c>
      <c r="AX34" s="19">
        <f>IF((AW34=1),AV34,0)</f>
        <v>0</v>
      </c>
      <c r="BB34" s="19">
        <f>IF((AI33=1),R33,0)</f>
        <v>0</v>
      </c>
      <c r="BC34" s="19">
        <f>IF(AND(EXACT(AI33,"1"),EXACT(AN34,"1")),(1),(0))</f>
        <v>0</v>
      </c>
      <c r="BD34" s="19">
        <f>IF((BC34=1),BB34,0)</f>
        <v>0</v>
      </c>
      <c r="BH34" s="19">
        <f>IF((AJ33=1),R33,0)</f>
        <v>0</v>
      </c>
      <c r="BI34" s="19">
        <f>IF(AND(EXACT(AJ33,"1"),EXACT(AN34,"1")),(1),(0))</f>
        <v>0</v>
      </c>
      <c r="BJ34" s="19">
        <f>IF((BI34=1),BH34,0)</f>
        <v>0</v>
      </c>
      <c r="BN34" s="19">
        <f>IF((AK33=1),R33,0)</f>
        <v>0</v>
      </c>
      <c r="BO34" s="19">
        <f>IF(AND(EXACT(AK33,"1"),EXACT(AN34,"1")),(1),(0))</f>
        <v>0</v>
      </c>
      <c r="BP34" s="19">
        <f>IF((BO34=1),BN34,0)</f>
        <v>0</v>
      </c>
      <c r="BT34" s="19">
        <f>IF((AL33=1),R33,0)</f>
        <v>0</v>
      </c>
      <c r="BU34" s="19">
        <f>IF(AND(EXACT(AN34,"1"),EXACT(AL33,"1")),(1),(0))</f>
        <v>0</v>
      </c>
      <c r="BV34" s="19">
        <f>IF((BU34=1),BT34,0)</f>
        <v>0</v>
      </c>
      <c r="BZ34" s="19">
        <f>IF((AM33=1),R33,0)</f>
        <v>0</v>
      </c>
      <c r="CA34" s="19">
        <f>IF(AND(EXACT(AM33,"1"),EXACT(AN34,"1")),(1),(0))</f>
        <v>0</v>
      </c>
      <c r="CB34" s="19">
        <f>IF((CA34=1),BZ34,0)</f>
        <v>0</v>
      </c>
    </row>
    <row r="35" spans="1:83" ht="20.25">
      <c r="A35" s="1420" t="s">
        <v>30</v>
      </c>
      <c r="B35" s="1421"/>
      <c r="C35" s="1421"/>
      <c r="D35" s="1422"/>
      <c r="E35" s="536" t="s">
        <v>1001</v>
      </c>
      <c r="F35" s="537"/>
      <c r="G35" s="538" t="s">
        <v>801</v>
      </c>
      <c r="H35" s="539"/>
      <c r="I35" s="538" t="s">
        <v>1002</v>
      </c>
      <c r="J35" s="525"/>
      <c r="K35" s="538" t="s">
        <v>1003</v>
      </c>
      <c r="L35" s="540"/>
      <c r="M35" s="538" t="s">
        <v>1004</v>
      </c>
      <c r="N35" s="541"/>
      <c r="O35" s="1266"/>
      <c r="P35" s="1423"/>
      <c r="Q35" s="1423"/>
      <c r="R35" s="1423"/>
      <c r="S35" s="1423"/>
      <c r="T35" s="1423"/>
      <c r="U35" s="1415"/>
      <c r="AR35" s="19">
        <f>IF(AND(AA33=1,EXACT(J35,"نفر اول")),(1),(0))</f>
        <v>0</v>
      </c>
      <c r="AS35" s="19">
        <f>IF(AR35=1,S33,0)</f>
        <v>0</v>
      </c>
      <c r="AT35" s="19">
        <f>IF(AND(AA33=1,EXACT(J35,"همكار")),(1),(0))</f>
        <v>0</v>
      </c>
      <c r="AU35" s="19">
        <f>IF(AT35=1,S33,0)</f>
        <v>0</v>
      </c>
      <c r="AY35" s="19">
        <f>IF((AH33=1),S33,0)</f>
        <v>0</v>
      </c>
      <c r="AZ35" s="19">
        <f>IF(AND(EXACT(AR35,"1"),EXACT(AH33,"1")),(1),(0))</f>
        <v>0</v>
      </c>
      <c r="BA35" s="19">
        <f>IF((AZ35=1),AY35,0)</f>
        <v>0</v>
      </c>
      <c r="BE35" s="19">
        <f>IF((AI33=1),S33,0)</f>
        <v>0</v>
      </c>
      <c r="BF35" s="19">
        <f>IF(AND(EXACT(AI33,"1"),EXACT(AR35,"1")),(1),(0))</f>
        <v>0</v>
      </c>
      <c r="BG35" s="19">
        <f>IF((BF35=1),BE35,0)</f>
        <v>0</v>
      </c>
      <c r="BK35" s="19">
        <f>IF((AJ33=1),S33,0)</f>
        <v>0</v>
      </c>
      <c r="BL35" s="19">
        <f>IF(AND(EXACT(AJ33,"1"),EXACT(AR35,"1")),(1),(0))</f>
        <v>0</v>
      </c>
      <c r="BM35" s="19">
        <f>IF((BL35=1),BK35,0)</f>
        <v>0</v>
      </c>
      <c r="BQ35" s="19">
        <f>IF((AJ33=1),S33,0)</f>
        <v>0</v>
      </c>
      <c r="BR35" s="19">
        <f>IF(AND(EXACT(AJ33,"1"),EXACT(AR35,"1")),(1),(0))</f>
        <v>0</v>
      </c>
      <c r="BS35" s="19">
        <f>IF((BL35=1),BK35,0)</f>
        <v>0</v>
      </c>
      <c r="BW35" s="19">
        <f>IF((AL33=1),S33,0)</f>
        <v>0</v>
      </c>
      <c r="BX35" s="19">
        <f>IF(AND(EXACT(AL33,"1"),EXACT(AR35,"1")),(1),(0))</f>
        <v>0</v>
      </c>
      <c r="BY35" s="19">
        <f>IF((BX35=1),BW35,0)</f>
        <v>0</v>
      </c>
      <c r="CC35" s="19">
        <f>IF((AM33=1),R33,0)</f>
        <v>0</v>
      </c>
      <c r="CD35" s="19">
        <f>IF(AND(EXACT(AM33,"1"),EXACT(AR35,"1")),(1),(0))</f>
        <v>0</v>
      </c>
      <c r="CE35" s="19">
        <f>IF((CD35=1),CC35,0)</f>
        <v>0</v>
      </c>
    </row>
    <row r="36" spans="1:83" ht="20.25">
      <c r="A36" s="12">
        <f>IF(AA36=0,0,IF(AA33=0,Z36,SUM(A33,AA36)))</f>
        <v>0</v>
      </c>
      <c r="B36" s="1157"/>
      <c r="C36" s="1157"/>
      <c r="D36" s="1157"/>
      <c r="E36" s="1182"/>
      <c r="F36" s="1424"/>
      <c r="G36" s="1424"/>
      <c r="H36" s="527"/>
      <c r="I36" s="528"/>
      <c r="J36" s="529"/>
      <c r="K36" s="530"/>
      <c r="L36" s="531"/>
      <c r="M36" s="532"/>
      <c r="N36" s="533"/>
      <c r="O36" s="532"/>
      <c r="P36" s="1182"/>
      <c r="Q36" s="1182"/>
      <c r="R36" s="534">
        <f t="shared" ref="R36" ca="1" si="28">IF(OR(EXACT(H36,""),EXACT(B36,""),EXACT(F37,""),EXACT(H37,""),EXACT(J37,""),EXACT(L37,""),EXACT(N37,""),EXACT(F36,""),EXACT(J36,""),EXACT(M36,""),EXACT(N36,""),EXACT(O36,""),EXACT(P36,"")),0,IF(OR(EXACT(P37,"مقاله پر استناد"),EXACT(P37,"مقاله داغ"),EXACT(P37,"مستخرج از برنامه تحقيقاتي ملي معطوف به رفع مشكلات كشور")),(1.5*(F37*N37*(IF(EXACT(J37,"نفر اول"),INDIRECT(CONCATENATE("'Data Base'!$d",H37)),INDIRECT(CONCATENATE("'Data Base'!$e",H37))))*((100-L37)/100))),IF(EXACT(P37,"Short Article"),(0.5*(F37*N37*(IF(EXACT(J37,"نفر اول"),INDIRECT(CONCATENATE("'Data Base'!$D",H37)),INDIRECT(CONCATENATE("'Data Base'!$E",H37))))*((100-L37)/100))),IF(EXACT(P37,"چاپ شده در نشريات بسيار پر استناد Nature و Science"),(2*(F37*N37*(IF(EXACT(J37,"نفر اول"),INDIRECT(CONCATENATE("'Data Base'!$D",H37)),INDIRECT(CONCATENATE("'Data Base'!$E",H37))))*((100-L37)/100))),IF(OR(EXACT(P37,"مستخرج از طرح پژوهشي محرمانه"),EXACT(P37,"مشترك با اساتيد دانشگاه خارج از كشور")),(1.2*(F37*N37*(IF(EXACT(J37,"نفر اول"),INDIRECT(CONCATENATE("'Data Base'!$D",H37)),INDIRECT(CONCATENATE("'Data Base'!$E",H37))))*((100-L37)/100))),(F37*N37*(IF(EXACT(J37,"نفر اول"),INDIRECT(CONCATENATE("'Data Base'!$d",H37)),INDIRECT(CONCATENATE("'Data Base'!$e",H37))))*((100-L37)/100)))))))</f>
        <v>0</v>
      </c>
      <c r="S36" s="535">
        <f t="shared" ref="S36" ca="1" si="29">IF(OR(EXACT(H36,""),EXACT(B36,""),EXACT(F38,""),EXACT(H38,""),EXACT(J38,""),EXACT(L38,""),EXACT(N38,""),EXACT(F36,""),EXACT(J36,""),EXACT(M36,""),EXACT(N36,""),EXACT(O36,""),EXACT(P36,"")),0,IF(OR(EXACT(P38,"مقاله پر استناد"),EXACT(P38,"مقاله داغ"),EXACT(P38,"مستخرج از برنامه تحقيقاتي ملي معطوف به رفع مشكلات كشور")),(1.5*(F38*N38*(IF(EXACT(J38,"نفر اول"),INDIRECT(CONCATENATE("'Data Base'!$d",H38)),INDIRECT(CONCATENATE("'Data Base'!$E",H38))))*((100-L38)/100))),IF(EXACT(P38,"Short Article"),(0.5*(F38*N38*(IF(EXACT(J38,"نفر اول"),INDIRECT(CONCATENATE("'Data Base'!$D",H38)),INDIRECT(CONCATENATE("'Data Base'!$E",H38))))*((100-L38)/100))),IF(EXACT(P38,"چاپ شده در نشريات بسيار پر استناد Nature و Science"),(2*(F38*N38*(IF(EXACT(J38,"نفر اول"),INDIRECT(CONCATENATE("'Data Base'!$D",H38)),INDIRECT(CONCATENATE("'Data Base'!$E",H38))))*((100-L38)/100))),IF(OR(EXACT(P38,"مستخرج از طرح پژوهشي محرمانه"),EXACT(P38,"مشترك با اساتيد دانشگاه خارج از كشور")),(1.2*(F38*N38*(IF(EXACT(J38,"نفر اول"),INDIRECT(CONCATENATE("'Data Base'!$D",H38)),INDIRECT(CONCATENATE("'Data Base'!$E",H38))))*((100-L38)/100))),(F38*N38*(IF(EXACT(J38,"نفر اول"),INDIRECT(CONCATENATE("'Data Base'!$D",H38)),INDIRECT(CONCATENATE("'Data Base'!$E",H38))))*((100-L38)/100)))))))</f>
        <v>0</v>
      </c>
      <c r="T36" s="147"/>
      <c r="U36" s="1414"/>
      <c r="Z36" s="19">
        <f>SUM(Z33,AA36)</f>
        <v>0</v>
      </c>
      <c r="AA36" s="19">
        <f>IF(OR(OR(B36="",F36="",H36="",J36="",P36=""),AND(M36="",O36="")),0,1)</f>
        <v>0</v>
      </c>
      <c r="AB36" s="19">
        <f t="shared" ref="AB36" ca="1" si="30">IF(AND(AA36=1,S36&gt;0),1,0)</f>
        <v>0</v>
      </c>
      <c r="AC36" s="19">
        <f t="shared" ref="AC36" ca="1" si="31">IF(AND(AA36=1,S36&lt;1),1,0)</f>
        <v>0</v>
      </c>
      <c r="AD36" s="19">
        <f ca="1">IF(AND(AA36=1,S36&gt;=1,AJ36=1),1,0)</f>
        <v>0</v>
      </c>
      <c r="AE36" s="19">
        <f ca="1">IF(AD36=1,S36,0)</f>
        <v>0</v>
      </c>
      <c r="AF36" s="19">
        <f ca="1">IF(AND(AA36=1,S36&gt;=1,AJ36=1,AR38=1),1,0)</f>
        <v>0</v>
      </c>
      <c r="AG36" s="19">
        <f ca="1">IF(AF36=1,S36,0)</f>
        <v>0</v>
      </c>
      <c r="AH36" s="19">
        <f>IF(OR(EXACT(H36,"JCR-Q1"),EXACT(H36,"JCR-Q2")),(1),(0))</f>
        <v>0</v>
      </c>
      <c r="AI36" s="19">
        <f>IF(OR(EXACT(H36,"JCR-Q1"),EXACT(H36,"JCR-Q2"),EXACT(H36,"JCR-Q3")),(1),(0))</f>
        <v>0</v>
      </c>
      <c r="AJ36" s="19">
        <f>IF(OR(EXACT(H36,"JCR-Q1"),EXACT(H36,"JCR-Q2"),EXACT(H36,"JCR-Q3"),EXACT(H36,"JCR-Q4")),(1),(0))</f>
        <v>0</v>
      </c>
      <c r="AK36" s="19">
        <f>IF(OR(EXACT(H36,"JCR-Q1"),EXACT(H36,"JCR-Q2"),EXACT(H36,"JCR-Q3"),EXACT(H36,"JCR-Q4"),EXACT(H36,"WOS")),(1),(0))</f>
        <v>0</v>
      </c>
      <c r="AL36" s="19">
        <f>IF(OR(EXACT(H36,"JCR-Q1"),EXACT(H36,"JCR-Q2"),EXACT(H36,"JCR-Q3"),EXACT(H36,"JCR-Q4"),EXACT(H36,"WOS"),EXACT(H36,"Scopus")),(1),(0))</f>
        <v>0</v>
      </c>
      <c r="AM36" s="19">
        <f>IF(OR(EXACT(H36,'Data Base'!$B$21),EXACT(H36,'Data Base'!$B$22)),(1),(0))</f>
        <v>0</v>
      </c>
    </row>
    <row r="37" spans="1:83" ht="20.25" customHeight="1">
      <c r="A37" s="1416" t="s">
        <v>29</v>
      </c>
      <c r="B37" s="1417"/>
      <c r="C37" s="1417"/>
      <c r="D37" s="1418"/>
      <c r="E37" s="514" t="s">
        <v>1001</v>
      </c>
      <c r="F37" s="515"/>
      <c r="G37" s="516" t="s">
        <v>801</v>
      </c>
      <c r="H37" s="517"/>
      <c r="I37" s="516" t="s">
        <v>1002</v>
      </c>
      <c r="J37" s="518"/>
      <c r="K37" s="516" t="s">
        <v>1003</v>
      </c>
      <c r="L37" s="519"/>
      <c r="M37" s="516" t="s">
        <v>1004</v>
      </c>
      <c r="N37" s="520"/>
      <c r="O37" s="1266" t="s">
        <v>55</v>
      </c>
      <c r="P37" s="1419"/>
      <c r="Q37" s="1419"/>
      <c r="R37" s="1419"/>
      <c r="S37" s="1419"/>
      <c r="T37" s="1419"/>
      <c r="U37" s="1415"/>
      <c r="AN37" s="19">
        <f>IF(AND(AA36=1,EXACT(J37,"نفر اول")),(1),(0))</f>
        <v>0</v>
      </c>
      <c r="AO37" s="19">
        <f>IF(AN37=1,R36,0)</f>
        <v>0</v>
      </c>
      <c r="AP37" s="19">
        <f>IF(AND(AA36=1,EXACT(J37,"همكار")),(1),(0))</f>
        <v>0</v>
      </c>
      <c r="AQ37" s="19">
        <f>IF(AP37=1,R36,0)</f>
        <v>0</v>
      </c>
      <c r="AV37" s="19">
        <f>IF((AH36=1),R36,0)</f>
        <v>0</v>
      </c>
      <c r="AW37" s="19">
        <f>IF(AND(EXACT(AN37,"1"),EXACT(AH36,"1")),(1),(0))</f>
        <v>0</v>
      </c>
      <c r="AX37" s="19">
        <f>IF((AW37=1),AV37,0)</f>
        <v>0</v>
      </c>
      <c r="BB37" s="19">
        <f>IF((AI36=1),R36,0)</f>
        <v>0</v>
      </c>
      <c r="BC37" s="19">
        <f>IF(AND(EXACT(AI36,"1"),EXACT(AN37,"1")),(1),(0))</f>
        <v>0</v>
      </c>
      <c r="BD37" s="19">
        <f>IF((BC37=1),BB37,0)</f>
        <v>0</v>
      </c>
      <c r="BH37" s="19">
        <f>IF((AJ36=1),R36,0)</f>
        <v>0</v>
      </c>
      <c r="BI37" s="19">
        <f>IF(AND(EXACT(AJ36,"1"),EXACT(AN37,"1")),(1),(0))</f>
        <v>0</v>
      </c>
      <c r="BJ37" s="19">
        <f>IF((BI37=1),BH37,0)</f>
        <v>0</v>
      </c>
      <c r="BN37" s="19">
        <f>IF((AK36=1),R36,0)</f>
        <v>0</v>
      </c>
      <c r="BO37" s="19">
        <f>IF(AND(EXACT(AK36,"1"),EXACT(AN37,"1")),(1),(0))</f>
        <v>0</v>
      </c>
      <c r="BP37" s="19">
        <f>IF((BO37=1),BN37,0)</f>
        <v>0</v>
      </c>
      <c r="BT37" s="19">
        <f>IF((AL36=1),R36,0)</f>
        <v>0</v>
      </c>
      <c r="BU37" s="19">
        <f>IF(AND(EXACT(AN37,"1"),EXACT(AL36,"1")),(1),(0))</f>
        <v>0</v>
      </c>
      <c r="BV37" s="19">
        <f>IF((BU37=1),BT37,0)</f>
        <v>0</v>
      </c>
      <c r="BZ37" s="19">
        <f>IF((AM36=1),R36,0)</f>
        <v>0</v>
      </c>
      <c r="CA37" s="19">
        <f>IF(AND(EXACT(AM36,"1"),EXACT(AN37,"1")),(1),(0))</f>
        <v>0</v>
      </c>
      <c r="CB37" s="19">
        <f>IF((CA37=1),BZ37,0)</f>
        <v>0</v>
      </c>
    </row>
    <row r="38" spans="1:83" ht="20.25">
      <c r="A38" s="1420" t="s">
        <v>30</v>
      </c>
      <c r="B38" s="1421"/>
      <c r="C38" s="1421"/>
      <c r="D38" s="1422"/>
      <c r="E38" s="536" t="s">
        <v>1001</v>
      </c>
      <c r="F38" s="537"/>
      <c r="G38" s="538" t="s">
        <v>801</v>
      </c>
      <c r="H38" s="539"/>
      <c r="I38" s="538" t="s">
        <v>1002</v>
      </c>
      <c r="J38" s="525"/>
      <c r="K38" s="538" t="s">
        <v>1003</v>
      </c>
      <c r="L38" s="540"/>
      <c r="M38" s="538" t="s">
        <v>1004</v>
      </c>
      <c r="N38" s="541"/>
      <c r="O38" s="1266"/>
      <c r="P38" s="1423"/>
      <c r="Q38" s="1423"/>
      <c r="R38" s="1423"/>
      <c r="S38" s="1423"/>
      <c r="T38" s="1423"/>
      <c r="U38" s="1415"/>
      <c r="AR38" s="19">
        <f>IF(AND(AA36=1,EXACT(J38,"نفر اول")),(1),(0))</f>
        <v>0</v>
      </c>
      <c r="AS38" s="19">
        <f>IF(AR38=1,S36,0)</f>
        <v>0</v>
      </c>
      <c r="AT38" s="19">
        <f>IF(AND(AA36=1,EXACT(J38,"همكار")),(1),(0))</f>
        <v>0</v>
      </c>
      <c r="AU38" s="19">
        <f>IF(AT38=1,S36,0)</f>
        <v>0</v>
      </c>
      <c r="AY38" s="19">
        <f>IF((AH36=1),S36,0)</f>
        <v>0</v>
      </c>
      <c r="AZ38" s="19">
        <f>IF(AND(EXACT(AR38,"1"),EXACT(AH36,"1")),(1),(0))</f>
        <v>0</v>
      </c>
      <c r="BA38" s="19">
        <f>IF((AZ38=1),AY38,0)</f>
        <v>0</v>
      </c>
      <c r="BE38" s="19">
        <f>IF((AI36=1),S36,0)</f>
        <v>0</v>
      </c>
      <c r="BF38" s="19">
        <f>IF(AND(EXACT(AI36,"1"),EXACT(AR38,"1")),(1),(0))</f>
        <v>0</v>
      </c>
      <c r="BG38" s="19">
        <f>IF((BF38=1),BE38,0)</f>
        <v>0</v>
      </c>
      <c r="BK38" s="19">
        <f>IF((AJ36=1),S36,0)</f>
        <v>0</v>
      </c>
      <c r="BL38" s="19">
        <f>IF(AND(EXACT(AJ36,"1"),EXACT(AR38,"1")),(1),(0))</f>
        <v>0</v>
      </c>
      <c r="BM38" s="19">
        <f>IF((BL38=1),BK38,0)</f>
        <v>0</v>
      </c>
      <c r="BQ38" s="19">
        <f>IF((AJ36=1),S36,0)</f>
        <v>0</v>
      </c>
      <c r="BR38" s="19">
        <f>IF(AND(EXACT(AJ36,"1"),EXACT(AR38,"1")),(1),(0))</f>
        <v>0</v>
      </c>
      <c r="BS38" s="19">
        <f>IF((BL38=1),BK38,0)</f>
        <v>0</v>
      </c>
      <c r="BW38" s="19">
        <f>IF((AL36=1),S36,0)</f>
        <v>0</v>
      </c>
      <c r="BX38" s="19">
        <f>IF(AND(EXACT(AL36,"1"),EXACT(AR38,"1")),(1),(0))</f>
        <v>0</v>
      </c>
      <c r="BY38" s="19">
        <f>IF((BX38=1),BW38,0)</f>
        <v>0</v>
      </c>
      <c r="CC38" s="19">
        <f>IF((AM36=1),R36,0)</f>
        <v>0</v>
      </c>
      <c r="CD38" s="19">
        <f>IF(AND(EXACT(AM36,"1"),EXACT(AR38,"1")),(1),(0))</f>
        <v>0</v>
      </c>
      <c r="CE38" s="19">
        <f>IF((CD38=1),CC38,0)</f>
        <v>0</v>
      </c>
    </row>
    <row r="39" spans="1:83" ht="20.25">
      <c r="A39" s="12">
        <f>IF(AA39=0,0,IF(AA36=0,Z39,SUM(A36,AA39)))</f>
        <v>0</v>
      </c>
      <c r="B39" s="1157"/>
      <c r="C39" s="1157"/>
      <c r="D39" s="1157"/>
      <c r="E39" s="1182"/>
      <c r="F39" s="1424"/>
      <c r="G39" s="1424"/>
      <c r="H39" s="527"/>
      <c r="I39" s="528"/>
      <c r="J39" s="529"/>
      <c r="K39" s="530"/>
      <c r="L39" s="531"/>
      <c r="M39" s="532"/>
      <c r="N39" s="533"/>
      <c r="O39" s="532"/>
      <c r="P39" s="1182"/>
      <c r="Q39" s="1182"/>
      <c r="R39" s="534">
        <f t="shared" ref="R39" ca="1" si="32">IF(OR(EXACT(H39,""),EXACT(B39,""),EXACT(F40,""),EXACT(H40,""),EXACT(J40,""),EXACT(L40,""),EXACT(N40,""),EXACT(F39,""),EXACT(J39,""),EXACT(M39,""),EXACT(N39,""),EXACT(O39,""),EXACT(P39,"")),0,IF(OR(EXACT(P40,"مقاله پر استناد"),EXACT(P40,"مقاله داغ"),EXACT(P40,"مستخرج از برنامه تحقيقاتي ملي معطوف به رفع مشكلات كشور")),(1.5*(F40*N40*(IF(EXACT(J40,"نفر اول"),INDIRECT(CONCATENATE("'Data Base'!$d",H40)),INDIRECT(CONCATENATE("'Data Base'!$e",H40))))*((100-L40)/100))),IF(EXACT(P40,"Short Article"),(0.5*(F40*N40*(IF(EXACT(J40,"نفر اول"),INDIRECT(CONCATENATE("'Data Base'!$D",H40)),INDIRECT(CONCATENATE("'Data Base'!$E",H40))))*((100-L40)/100))),IF(EXACT(P40,"چاپ شده در نشريات بسيار پر استناد Nature و Science"),(2*(F40*N40*(IF(EXACT(J40,"نفر اول"),INDIRECT(CONCATENATE("'Data Base'!$D",H40)),INDIRECT(CONCATENATE("'Data Base'!$E",H40))))*((100-L40)/100))),IF(OR(EXACT(P40,"مستخرج از طرح پژوهشي محرمانه"),EXACT(P40,"مشترك با اساتيد دانشگاه خارج از كشور")),(1.2*(F40*N40*(IF(EXACT(J40,"نفر اول"),INDIRECT(CONCATENATE("'Data Base'!$D",H40)),INDIRECT(CONCATENATE("'Data Base'!$E",H40))))*((100-L40)/100))),(F40*N40*(IF(EXACT(J40,"نفر اول"),INDIRECT(CONCATENATE("'Data Base'!$d",H40)),INDIRECT(CONCATENATE("'Data Base'!$e",H40))))*((100-L40)/100)))))))</f>
        <v>0</v>
      </c>
      <c r="S39" s="535">
        <f t="shared" ref="S39" ca="1" si="33">IF(OR(EXACT(H39,""),EXACT(B39,""),EXACT(F41,""),EXACT(H41,""),EXACT(J41,""),EXACT(L41,""),EXACT(N41,""),EXACT(F39,""),EXACT(J39,""),EXACT(M39,""),EXACT(N39,""),EXACT(O39,""),EXACT(P39,"")),0,IF(OR(EXACT(P41,"مقاله پر استناد"),EXACT(P41,"مقاله داغ"),EXACT(P41,"مستخرج از برنامه تحقيقاتي ملي معطوف به رفع مشكلات كشور")),(1.5*(F41*N41*(IF(EXACT(J41,"نفر اول"),INDIRECT(CONCATENATE("'Data Base'!$d",H41)),INDIRECT(CONCATENATE("'Data Base'!$E",H41))))*((100-L41)/100))),IF(EXACT(P41,"Short Article"),(0.5*(F41*N41*(IF(EXACT(J41,"نفر اول"),INDIRECT(CONCATENATE("'Data Base'!$D",H41)),INDIRECT(CONCATENATE("'Data Base'!$E",H41))))*((100-L41)/100))),IF(EXACT(P41,"چاپ شده در نشريات بسيار پر استناد Nature و Science"),(2*(F41*N41*(IF(EXACT(J41,"نفر اول"),INDIRECT(CONCATENATE("'Data Base'!$D",H41)),INDIRECT(CONCATENATE("'Data Base'!$E",H41))))*((100-L41)/100))),IF(OR(EXACT(P41,"مستخرج از طرح پژوهشي محرمانه"),EXACT(P41,"مشترك با اساتيد دانشگاه خارج از كشور")),(1.2*(F41*N41*(IF(EXACT(J41,"نفر اول"),INDIRECT(CONCATENATE("'Data Base'!$D",H41)),INDIRECT(CONCATENATE("'Data Base'!$E",H41))))*((100-L41)/100))),(F41*N41*(IF(EXACT(J41,"نفر اول"),INDIRECT(CONCATENATE("'Data Base'!$D",H41)),INDIRECT(CONCATENATE("'Data Base'!$E",H41))))*((100-L41)/100)))))))</f>
        <v>0</v>
      </c>
      <c r="T39" s="147"/>
      <c r="U39" s="1414"/>
      <c r="Z39" s="19">
        <f>SUM(Z36,AA39)</f>
        <v>0</v>
      </c>
      <c r="AA39" s="19">
        <f>IF(OR(OR(B39="",F39="",H39="",J39="",P39=""),AND(M39="",O39="")),0,1)</f>
        <v>0</v>
      </c>
      <c r="AB39" s="19">
        <f t="shared" ref="AB39" ca="1" si="34">IF(AND(AA39=1,S39&gt;0),1,0)</f>
        <v>0</v>
      </c>
      <c r="AC39" s="19">
        <f t="shared" ref="AC39" ca="1" si="35">IF(AND(AA39=1,S39&lt;1),1,0)</f>
        <v>0</v>
      </c>
      <c r="AD39" s="19">
        <f ca="1">IF(AND(AA39=1,S39&gt;=1,AJ39=1),1,0)</f>
        <v>0</v>
      </c>
      <c r="AE39" s="19">
        <f ca="1">IF(AD39=1,S39,0)</f>
        <v>0</v>
      </c>
      <c r="AF39" s="19">
        <f ca="1">IF(AND(AA39=1,S39&gt;=1,AJ39=1,AR41=1),1,0)</f>
        <v>0</v>
      </c>
      <c r="AG39" s="19">
        <f ca="1">IF(AF39=1,S39,0)</f>
        <v>0</v>
      </c>
      <c r="AH39" s="19">
        <f>IF(OR(EXACT(H39,"JCR-Q1"),EXACT(H39,"JCR-Q2")),(1),(0))</f>
        <v>0</v>
      </c>
      <c r="AI39" s="19">
        <f>IF(OR(EXACT(H39,"JCR-Q1"),EXACT(H39,"JCR-Q2"),EXACT(H39,"JCR-Q3")),(1),(0))</f>
        <v>0</v>
      </c>
      <c r="AJ39" s="19">
        <f>IF(OR(EXACT(H39,"JCR-Q1"),EXACT(H39,"JCR-Q2"),EXACT(H39,"JCR-Q3"),EXACT(H39,"JCR-Q4")),(1),(0))</f>
        <v>0</v>
      </c>
      <c r="AK39" s="19">
        <f>IF(OR(EXACT(H39,"JCR-Q1"),EXACT(H39,"JCR-Q2"),EXACT(H39,"JCR-Q3"),EXACT(H39,"JCR-Q4"),EXACT(H39,"WOS")),(1),(0))</f>
        <v>0</v>
      </c>
      <c r="AL39" s="19">
        <f>IF(OR(EXACT(H39,"JCR-Q1"),EXACT(H39,"JCR-Q2"),EXACT(H39,"JCR-Q3"),EXACT(H39,"JCR-Q4"),EXACT(H39,"WOS"),EXACT(H39,"Scopus")),(1),(0))</f>
        <v>0</v>
      </c>
      <c r="AM39" s="19">
        <f>IF(OR(EXACT(H39,'Data Base'!$B$21),EXACT(H39,'Data Base'!$B$22)),(1),(0))</f>
        <v>0</v>
      </c>
    </row>
    <row r="40" spans="1:83" ht="20.25" customHeight="1">
      <c r="A40" s="1416" t="s">
        <v>29</v>
      </c>
      <c r="B40" s="1417"/>
      <c r="C40" s="1417"/>
      <c r="D40" s="1418"/>
      <c r="E40" s="514" t="s">
        <v>1001</v>
      </c>
      <c r="F40" s="515"/>
      <c r="G40" s="516" t="s">
        <v>801</v>
      </c>
      <c r="H40" s="517"/>
      <c r="I40" s="516" t="s">
        <v>1002</v>
      </c>
      <c r="J40" s="518"/>
      <c r="K40" s="516" t="s">
        <v>1003</v>
      </c>
      <c r="L40" s="519"/>
      <c r="M40" s="516" t="s">
        <v>1004</v>
      </c>
      <c r="N40" s="520"/>
      <c r="O40" s="1266" t="s">
        <v>55</v>
      </c>
      <c r="P40" s="1419"/>
      <c r="Q40" s="1419"/>
      <c r="R40" s="1419"/>
      <c r="S40" s="1419"/>
      <c r="T40" s="1419"/>
      <c r="U40" s="1415"/>
      <c r="AN40" s="19">
        <f>IF(AND(AA39=1,EXACT(J40,"نفر اول")),(1),(0))</f>
        <v>0</v>
      </c>
      <c r="AO40" s="19">
        <f>IF(AN40=1,R39,0)</f>
        <v>0</v>
      </c>
      <c r="AP40" s="19">
        <f>IF(AND(AA39=1,EXACT(J40,"همكار")),(1),(0))</f>
        <v>0</v>
      </c>
      <c r="AQ40" s="19">
        <f>IF(AP40=1,R39,0)</f>
        <v>0</v>
      </c>
      <c r="AV40" s="19">
        <f>IF((AH39=1),R39,0)</f>
        <v>0</v>
      </c>
      <c r="AW40" s="19">
        <f>IF(AND(EXACT(AN40,"1"),EXACT(AH39,"1")),(1),(0))</f>
        <v>0</v>
      </c>
      <c r="AX40" s="19">
        <f>IF((AW40=1),AV40,0)</f>
        <v>0</v>
      </c>
      <c r="BB40" s="19">
        <f>IF((AI39=1),R39,0)</f>
        <v>0</v>
      </c>
      <c r="BC40" s="19">
        <f>IF(AND(EXACT(AI39,"1"),EXACT(AN40,"1")),(1),(0))</f>
        <v>0</v>
      </c>
      <c r="BD40" s="19">
        <f>IF((BC40=1),BB40,0)</f>
        <v>0</v>
      </c>
      <c r="BH40" s="19">
        <f>IF((AJ39=1),R39,0)</f>
        <v>0</v>
      </c>
      <c r="BI40" s="19">
        <f>IF(AND(EXACT(AJ39,"1"),EXACT(AN40,"1")),(1),(0))</f>
        <v>0</v>
      </c>
      <c r="BJ40" s="19">
        <f>IF((BI40=1),BH40,0)</f>
        <v>0</v>
      </c>
      <c r="BN40" s="19">
        <f>IF((AK39=1),R39,0)</f>
        <v>0</v>
      </c>
      <c r="BO40" s="19">
        <f>IF(AND(EXACT(AK39,"1"),EXACT(AN40,"1")),(1),(0))</f>
        <v>0</v>
      </c>
      <c r="BP40" s="19">
        <f>IF((BO40=1),BN40,0)</f>
        <v>0</v>
      </c>
      <c r="BT40" s="19">
        <f>IF((AL39=1),R39,0)</f>
        <v>0</v>
      </c>
      <c r="BU40" s="19">
        <f>IF(AND(EXACT(AN40,"1"),EXACT(AL39,"1")),(1),(0))</f>
        <v>0</v>
      </c>
      <c r="BV40" s="19">
        <f>IF((BU40=1),BT40,0)</f>
        <v>0</v>
      </c>
      <c r="BZ40" s="19">
        <f>IF((AM39=1),R39,0)</f>
        <v>0</v>
      </c>
      <c r="CA40" s="19">
        <f>IF(AND(EXACT(AM39,"1"),EXACT(AN40,"1")),(1),(0))</f>
        <v>0</v>
      </c>
      <c r="CB40" s="19">
        <f>IF((CA40=1),BZ40,0)</f>
        <v>0</v>
      </c>
    </row>
    <row r="41" spans="1:83" ht="20.25">
      <c r="A41" s="1420" t="s">
        <v>30</v>
      </c>
      <c r="B41" s="1421"/>
      <c r="C41" s="1421"/>
      <c r="D41" s="1422"/>
      <c r="E41" s="536" t="s">
        <v>1001</v>
      </c>
      <c r="F41" s="537"/>
      <c r="G41" s="538" t="s">
        <v>801</v>
      </c>
      <c r="H41" s="539"/>
      <c r="I41" s="538" t="s">
        <v>1002</v>
      </c>
      <c r="J41" s="525"/>
      <c r="K41" s="538" t="s">
        <v>1003</v>
      </c>
      <c r="L41" s="540"/>
      <c r="M41" s="538" t="s">
        <v>1004</v>
      </c>
      <c r="N41" s="541"/>
      <c r="O41" s="1266"/>
      <c r="P41" s="1423"/>
      <c r="Q41" s="1423"/>
      <c r="R41" s="1423"/>
      <c r="S41" s="1423"/>
      <c r="T41" s="1423"/>
      <c r="U41" s="1415"/>
      <c r="AR41" s="19">
        <f>IF(AND(AA39=1,EXACT(J41,"نفر اول")),(1),(0))</f>
        <v>0</v>
      </c>
      <c r="AS41" s="19">
        <f>IF(AR41=1,S39,0)</f>
        <v>0</v>
      </c>
      <c r="AT41" s="19">
        <f>IF(AND(AA39=1,EXACT(J41,"همكار")),(1),(0))</f>
        <v>0</v>
      </c>
      <c r="AU41" s="19">
        <f>IF(AT41=1,S39,0)</f>
        <v>0</v>
      </c>
      <c r="AY41" s="19">
        <f>IF((AH39=1),S39,0)</f>
        <v>0</v>
      </c>
      <c r="AZ41" s="19">
        <f>IF(AND(EXACT(AR41,"1"),EXACT(AH39,"1")),(1),(0))</f>
        <v>0</v>
      </c>
      <c r="BA41" s="19">
        <f>IF((AZ41=1),AY41,0)</f>
        <v>0</v>
      </c>
      <c r="BE41" s="19">
        <f>IF((AI39=1),S39,0)</f>
        <v>0</v>
      </c>
      <c r="BF41" s="19">
        <f>IF(AND(EXACT(AI39,"1"),EXACT(AR41,"1")),(1),(0))</f>
        <v>0</v>
      </c>
      <c r="BG41" s="19">
        <f>IF((BF41=1),BE41,0)</f>
        <v>0</v>
      </c>
      <c r="BK41" s="19">
        <f>IF((AJ39=1),S39,0)</f>
        <v>0</v>
      </c>
      <c r="BL41" s="19">
        <f>IF(AND(EXACT(AJ39,"1"),EXACT(AR41,"1")),(1),(0))</f>
        <v>0</v>
      </c>
      <c r="BM41" s="19">
        <f>IF((BL41=1),BK41,0)</f>
        <v>0</v>
      </c>
      <c r="BQ41" s="19">
        <f>IF((AJ39=1),S39,0)</f>
        <v>0</v>
      </c>
      <c r="BR41" s="19">
        <f>IF(AND(EXACT(AJ39,"1"),EXACT(AR41,"1")),(1),(0))</f>
        <v>0</v>
      </c>
      <c r="BS41" s="19">
        <f>IF((BL41=1),BK41,0)</f>
        <v>0</v>
      </c>
      <c r="BW41" s="19">
        <f>IF((AL39=1),S39,0)</f>
        <v>0</v>
      </c>
      <c r="BX41" s="19">
        <f>IF(AND(EXACT(AL39,"1"),EXACT(AR41,"1")),(1),(0))</f>
        <v>0</v>
      </c>
      <c r="BY41" s="19">
        <f>IF((BX41=1),BW41,0)</f>
        <v>0</v>
      </c>
      <c r="CC41" s="19">
        <f>IF((AM39=1),R39,0)</f>
        <v>0</v>
      </c>
      <c r="CD41" s="19">
        <f>IF(AND(EXACT(AM39,"1"),EXACT(AR41,"1")),(1),(0))</f>
        <v>0</v>
      </c>
      <c r="CE41" s="19">
        <f>IF((CD41=1),CC41,0)</f>
        <v>0</v>
      </c>
    </row>
    <row r="42" spans="1:83" ht="20.25">
      <c r="A42" s="12">
        <f>IF(AA42=0,0,IF(AA39=0,Z42,SUM(A39,AA42)))</f>
        <v>0</v>
      </c>
      <c r="B42" s="1157"/>
      <c r="C42" s="1157"/>
      <c r="D42" s="1157"/>
      <c r="E42" s="1182"/>
      <c r="F42" s="1424"/>
      <c r="G42" s="1424"/>
      <c r="H42" s="527"/>
      <c r="I42" s="528"/>
      <c r="J42" s="529"/>
      <c r="K42" s="530"/>
      <c r="L42" s="531"/>
      <c r="M42" s="532"/>
      <c r="N42" s="533"/>
      <c r="O42" s="532"/>
      <c r="P42" s="1182"/>
      <c r="Q42" s="1182"/>
      <c r="R42" s="534">
        <f t="shared" ref="R42" ca="1" si="36">IF(OR(EXACT(H42,""),EXACT(B42,""),EXACT(F43,""),EXACT(H43,""),EXACT(J43,""),EXACT(L43,""),EXACT(N43,""),EXACT(F42,""),EXACT(J42,""),EXACT(M42,""),EXACT(N42,""),EXACT(O42,""),EXACT(P42,"")),0,IF(OR(EXACT(P43,"مقاله پر استناد"),EXACT(P43,"مقاله داغ"),EXACT(P43,"مستخرج از برنامه تحقيقاتي ملي معطوف به رفع مشكلات كشور")),(1.5*(F43*N43*(IF(EXACT(J43,"نفر اول"),INDIRECT(CONCATENATE("'Data Base'!$d",H43)),INDIRECT(CONCATENATE("'Data Base'!$e",H43))))*((100-L43)/100))),IF(EXACT(P43,"Short Article"),(0.5*(F43*N43*(IF(EXACT(J43,"نفر اول"),INDIRECT(CONCATENATE("'Data Base'!$D",H43)),INDIRECT(CONCATENATE("'Data Base'!$E",H43))))*((100-L43)/100))),IF(EXACT(P43,"چاپ شده در نشريات بسيار پر استناد Nature و Science"),(2*(F43*N43*(IF(EXACT(J43,"نفر اول"),INDIRECT(CONCATENATE("'Data Base'!$D",H43)),INDIRECT(CONCATENATE("'Data Base'!$E",H43))))*((100-L43)/100))),IF(OR(EXACT(P43,"مستخرج از طرح پژوهشي محرمانه"),EXACT(P43,"مشترك با اساتيد دانشگاه خارج از كشور")),(1.2*(F43*N43*(IF(EXACT(J43,"نفر اول"),INDIRECT(CONCATENATE("'Data Base'!$D",H43)),INDIRECT(CONCATENATE("'Data Base'!$E",H43))))*((100-L43)/100))),(F43*N43*(IF(EXACT(J43,"نفر اول"),INDIRECT(CONCATENATE("'Data Base'!$d",H43)),INDIRECT(CONCATENATE("'Data Base'!$e",H43))))*((100-L43)/100)))))))</f>
        <v>0</v>
      </c>
      <c r="S42" s="535">
        <f t="shared" ref="S42" ca="1" si="37">IF(OR(EXACT(H42,""),EXACT(B42,""),EXACT(F44,""),EXACT(H44,""),EXACT(J44,""),EXACT(L44,""),EXACT(N44,""),EXACT(F42,""),EXACT(J42,""),EXACT(M42,""),EXACT(N42,""),EXACT(O42,""),EXACT(P42,"")),0,IF(OR(EXACT(P44,"مقاله پر استناد"),EXACT(P44,"مقاله داغ"),EXACT(P44,"مستخرج از برنامه تحقيقاتي ملي معطوف به رفع مشكلات كشور")),(1.5*(F44*N44*(IF(EXACT(J44,"نفر اول"),INDIRECT(CONCATENATE("'Data Base'!$d",H44)),INDIRECT(CONCATENATE("'Data Base'!$E",H44))))*((100-L44)/100))),IF(EXACT(P44,"Short Article"),(0.5*(F44*N44*(IF(EXACT(J44,"نفر اول"),INDIRECT(CONCATENATE("'Data Base'!$D",H44)),INDIRECT(CONCATENATE("'Data Base'!$E",H44))))*((100-L44)/100))),IF(EXACT(P44,"چاپ شده در نشريات بسيار پر استناد Nature و Science"),(2*(F44*N44*(IF(EXACT(J44,"نفر اول"),INDIRECT(CONCATENATE("'Data Base'!$D",H44)),INDIRECT(CONCATENATE("'Data Base'!$E",H44))))*((100-L44)/100))),IF(OR(EXACT(P44,"مستخرج از طرح پژوهشي محرمانه"),EXACT(P44,"مشترك با اساتيد دانشگاه خارج از كشور")),(1.2*(F44*N44*(IF(EXACT(J44,"نفر اول"),INDIRECT(CONCATENATE("'Data Base'!$D",H44)),INDIRECT(CONCATENATE("'Data Base'!$E",H44))))*((100-L44)/100))),(F44*N44*(IF(EXACT(J44,"نفر اول"),INDIRECT(CONCATENATE("'Data Base'!$D",H44)),INDIRECT(CONCATENATE("'Data Base'!$E",H44))))*((100-L44)/100)))))))</f>
        <v>0</v>
      </c>
      <c r="T42" s="147"/>
      <c r="U42" s="1414"/>
      <c r="Z42" s="19">
        <f>SUM(Z39,AA42)</f>
        <v>0</v>
      </c>
      <c r="AA42" s="19">
        <f>IF(OR(OR(B42="",F42="",H42="",J42="",P42=""),AND(M42="",O42="")),0,1)</f>
        <v>0</v>
      </c>
      <c r="AB42" s="19">
        <f t="shared" ref="AB42" ca="1" si="38">IF(AND(AA42=1,S42&gt;0),1,0)</f>
        <v>0</v>
      </c>
      <c r="AC42" s="19">
        <f t="shared" ref="AC42" ca="1" si="39">IF(AND(AA42=1,S42&lt;1),1,0)</f>
        <v>0</v>
      </c>
      <c r="AD42" s="19">
        <f ca="1">IF(AND(AA42=1,S42&gt;=1,AJ42=1),1,0)</f>
        <v>0</v>
      </c>
      <c r="AE42" s="19">
        <f ca="1">IF(AD42=1,S42,0)</f>
        <v>0</v>
      </c>
      <c r="AF42" s="19">
        <f ca="1">IF(AND(AA42=1,S42&gt;=1,AJ42=1,AR44=1),1,0)</f>
        <v>0</v>
      </c>
      <c r="AG42" s="19">
        <f ca="1">IF(AF42=1,S42,0)</f>
        <v>0</v>
      </c>
      <c r="AH42" s="19">
        <f>IF(OR(EXACT(H42,"JCR-Q1"),EXACT(H42,"JCR-Q2")),(1),(0))</f>
        <v>0</v>
      </c>
      <c r="AI42" s="19">
        <f>IF(OR(EXACT(H42,"JCR-Q1"),EXACT(H42,"JCR-Q2"),EXACT(H42,"JCR-Q3")),(1),(0))</f>
        <v>0</v>
      </c>
      <c r="AJ42" s="19">
        <f>IF(OR(EXACT(H42,"JCR-Q1"),EXACT(H42,"JCR-Q2"),EXACT(H42,"JCR-Q3"),EXACT(H42,"JCR-Q4")),(1),(0))</f>
        <v>0</v>
      </c>
      <c r="AK42" s="19">
        <f>IF(OR(EXACT(H42,"JCR-Q1"),EXACT(H42,"JCR-Q2"),EXACT(H42,"JCR-Q3"),EXACT(H42,"JCR-Q4"),EXACT(H42,"WOS")),(1),(0))</f>
        <v>0</v>
      </c>
      <c r="AL42" s="19">
        <f>IF(OR(EXACT(H42,"JCR-Q1"),EXACT(H42,"JCR-Q2"),EXACT(H42,"JCR-Q3"),EXACT(H42,"JCR-Q4"),EXACT(H42,"WOS"),EXACT(H42,"Scopus")),(1),(0))</f>
        <v>0</v>
      </c>
      <c r="AM42" s="19">
        <f>IF(OR(EXACT(H42,'Data Base'!$B$21),EXACT(H42,'Data Base'!$B$22)),(1),(0))</f>
        <v>0</v>
      </c>
    </row>
    <row r="43" spans="1:83" ht="20.25" customHeight="1">
      <c r="A43" s="1416" t="s">
        <v>29</v>
      </c>
      <c r="B43" s="1417"/>
      <c r="C43" s="1417"/>
      <c r="D43" s="1418"/>
      <c r="E43" s="514" t="s">
        <v>1001</v>
      </c>
      <c r="F43" s="515"/>
      <c r="G43" s="516" t="s">
        <v>801</v>
      </c>
      <c r="H43" s="517"/>
      <c r="I43" s="516" t="s">
        <v>1002</v>
      </c>
      <c r="J43" s="518"/>
      <c r="K43" s="516" t="s">
        <v>1003</v>
      </c>
      <c r="L43" s="519"/>
      <c r="M43" s="516" t="s">
        <v>1004</v>
      </c>
      <c r="N43" s="520"/>
      <c r="O43" s="1266" t="s">
        <v>55</v>
      </c>
      <c r="P43" s="1419"/>
      <c r="Q43" s="1419"/>
      <c r="R43" s="1419"/>
      <c r="S43" s="1419"/>
      <c r="T43" s="1419"/>
      <c r="U43" s="1415"/>
      <c r="AN43" s="19">
        <f>IF(AND(AA42=1,EXACT(J43,"نفر اول")),(1),(0))</f>
        <v>0</v>
      </c>
      <c r="AO43" s="19">
        <f>IF(AN43=1,R42,0)</f>
        <v>0</v>
      </c>
      <c r="AP43" s="19">
        <f>IF(AND(AA42=1,EXACT(J43,"همكار")),(1),(0))</f>
        <v>0</v>
      </c>
      <c r="AQ43" s="19">
        <f>IF(AP43=1,R42,0)</f>
        <v>0</v>
      </c>
      <c r="AV43" s="19">
        <f>IF((AH42=1),R42,0)</f>
        <v>0</v>
      </c>
      <c r="AW43" s="19">
        <f>IF(AND(EXACT(AN43,"1"),EXACT(AH42,"1")),(1),(0))</f>
        <v>0</v>
      </c>
      <c r="AX43" s="19">
        <f>IF((AW43=1),AV43,0)</f>
        <v>0</v>
      </c>
      <c r="BB43" s="19">
        <f>IF((AI42=1),R42,0)</f>
        <v>0</v>
      </c>
      <c r="BC43" s="19">
        <f>IF(AND(EXACT(AI42,"1"),EXACT(AN43,"1")),(1),(0))</f>
        <v>0</v>
      </c>
      <c r="BD43" s="19">
        <f>IF((BC43=1),BB43,0)</f>
        <v>0</v>
      </c>
      <c r="BH43" s="19">
        <f>IF((AJ42=1),R42,0)</f>
        <v>0</v>
      </c>
      <c r="BI43" s="19">
        <f>IF(AND(EXACT(AJ42,"1"),EXACT(AN43,"1")),(1),(0))</f>
        <v>0</v>
      </c>
      <c r="BJ43" s="19">
        <f>IF((BI43=1),BH43,0)</f>
        <v>0</v>
      </c>
      <c r="BN43" s="19">
        <f>IF((AK42=1),R42,0)</f>
        <v>0</v>
      </c>
      <c r="BO43" s="19">
        <f>IF(AND(EXACT(AK42,"1"),EXACT(AN43,"1")),(1),(0))</f>
        <v>0</v>
      </c>
      <c r="BP43" s="19">
        <f>IF((BO43=1),BN43,0)</f>
        <v>0</v>
      </c>
      <c r="BT43" s="19">
        <f>IF((AL42=1),R42,0)</f>
        <v>0</v>
      </c>
      <c r="BU43" s="19">
        <f>IF(AND(EXACT(AN43,"1"),EXACT(AL42,"1")),(1),(0))</f>
        <v>0</v>
      </c>
      <c r="BV43" s="19">
        <f>IF((BU43=1),BT43,0)</f>
        <v>0</v>
      </c>
      <c r="BZ43" s="19">
        <f>IF((AM42=1),R42,0)</f>
        <v>0</v>
      </c>
      <c r="CA43" s="19">
        <f>IF(AND(EXACT(AM42,"1"),EXACT(AN43,"1")),(1),(0))</f>
        <v>0</v>
      </c>
      <c r="CB43" s="19">
        <f>IF((CA43=1),BZ43,0)</f>
        <v>0</v>
      </c>
    </row>
    <row r="44" spans="1:83" ht="20.25">
      <c r="A44" s="1420" t="s">
        <v>30</v>
      </c>
      <c r="B44" s="1421"/>
      <c r="C44" s="1421"/>
      <c r="D44" s="1422"/>
      <c r="E44" s="536" t="s">
        <v>1001</v>
      </c>
      <c r="F44" s="537"/>
      <c r="G44" s="538" t="s">
        <v>801</v>
      </c>
      <c r="H44" s="539"/>
      <c r="I44" s="538" t="s">
        <v>1002</v>
      </c>
      <c r="J44" s="525"/>
      <c r="K44" s="538" t="s">
        <v>1003</v>
      </c>
      <c r="L44" s="540"/>
      <c r="M44" s="538" t="s">
        <v>1004</v>
      </c>
      <c r="N44" s="541"/>
      <c r="O44" s="1266"/>
      <c r="P44" s="1423"/>
      <c r="Q44" s="1423"/>
      <c r="R44" s="1423"/>
      <c r="S44" s="1423"/>
      <c r="T44" s="1423"/>
      <c r="U44" s="1415"/>
      <c r="AR44" s="19">
        <f>IF(AND(AA42=1,EXACT(J44,"نفر اول")),(1),(0))</f>
        <v>0</v>
      </c>
      <c r="AS44" s="19">
        <f>IF(AR44=1,S42,0)</f>
        <v>0</v>
      </c>
      <c r="AT44" s="19">
        <f>IF(AND(AA42=1,EXACT(J44,"همكار")),(1),(0))</f>
        <v>0</v>
      </c>
      <c r="AU44" s="19">
        <f>IF(AT44=1,S42,0)</f>
        <v>0</v>
      </c>
      <c r="AY44" s="19">
        <f>IF((AH42=1),S42,0)</f>
        <v>0</v>
      </c>
      <c r="AZ44" s="19">
        <f>IF(AND(EXACT(AR44,"1"),EXACT(AH42,"1")),(1),(0))</f>
        <v>0</v>
      </c>
      <c r="BA44" s="19">
        <f>IF((AZ44=1),AY44,0)</f>
        <v>0</v>
      </c>
      <c r="BE44" s="19">
        <f>IF((AI42=1),S42,0)</f>
        <v>0</v>
      </c>
      <c r="BF44" s="19">
        <f>IF(AND(EXACT(AI42,"1"),EXACT(AR44,"1")),(1),(0))</f>
        <v>0</v>
      </c>
      <c r="BG44" s="19">
        <f>IF((BF44=1),BE44,0)</f>
        <v>0</v>
      </c>
      <c r="BK44" s="19">
        <f>IF((AJ42=1),S42,0)</f>
        <v>0</v>
      </c>
      <c r="BL44" s="19">
        <f>IF(AND(EXACT(AJ42,"1"),EXACT(AR44,"1")),(1),(0))</f>
        <v>0</v>
      </c>
      <c r="BM44" s="19">
        <f>IF((BL44=1),BK44,0)</f>
        <v>0</v>
      </c>
      <c r="BQ44" s="19">
        <f>IF((AJ42=1),S42,0)</f>
        <v>0</v>
      </c>
      <c r="BR44" s="19">
        <f>IF(AND(EXACT(AJ42,"1"),EXACT(AR44,"1")),(1),(0))</f>
        <v>0</v>
      </c>
      <c r="BS44" s="19">
        <f>IF((BL44=1),BK44,0)</f>
        <v>0</v>
      </c>
      <c r="BW44" s="19">
        <f>IF((AL42=1),S42,0)</f>
        <v>0</v>
      </c>
      <c r="BX44" s="19">
        <f>IF(AND(EXACT(AL42,"1"),EXACT(AR44,"1")),(1),(0))</f>
        <v>0</v>
      </c>
      <c r="BY44" s="19">
        <f>IF((BX44=1),BW44,0)</f>
        <v>0</v>
      </c>
      <c r="CC44" s="19">
        <f>IF((AM42=1),R42,0)</f>
        <v>0</v>
      </c>
      <c r="CD44" s="19">
        <f>IF(AND(EXACT(AM42,"1"),EXACT(AR44,"1")),(1),(0))</f>
        <v>0</v>
      </c>
      <c r="CE44" s="19">
        <f>IF((CD44=1),CC44,0)</f>
        <v>0</v>
      </c>
    </row>
    <row r="45" spans="1:83" ht="20.25">
      <c r="A45" s="12">
        <f>IF(AA45=0,0,IF(AA42=0,Z45,SUM(A42,AA45)))</f>
        <v>0</v>
      </c>
      <c r="B45" s="1157"/>
      <c r="C45" s="1157"/>
      <c r="D45" s="1157"/>
      <c r="E45" s="1182"/>
      <c r="F45" s="1424"/>
      <c r="G45" s="1424"/>
      <c r="H45" s="527"/>
      <c r="I45" s="528"/>
      <c r="J45" s="529"/>
      <c r="K45" s="530"/>
      <c r="L45" s="531"/>
      <c r="M45" s="532"/>
      <c r="N45" s="533"/>
      <c r="O45" s="532"/>
      <c r="P45" s="1182"/>
      <c r="Q45" s="1182"/>
      <c r="R45" s="534">
        <f t="shared" ref="R45" ca="1" si="40">IF(OR(EXACT(H45,""),EXACT(B45,""),EXACT(F46,""),EXACT(H46,""),EXACT(J46,""),EXACT(L46,""),EXACT(N46,""),EXACT(F45,""),EXACT(J45,""),EXACT(M45,""),EXACT(N45,""),EXACT(O45,""),EXACT(P45,"")),0,IF(OR(EXACT(P46,"مقاله پر استناد"),EXACT(P46,"مقاله داغ"),EXACT(P46,"مستخرج از برنامه تحقيقاتي ملي معطوف به رفع مشكلات كشور")),(1.5*(F46*N46*(IF(EXACT(J46,"نفر اول"),INDIRECT(CONCATENATE("'Data Base'!$d",H46)),INDIRECT(CONCATENATE("'Data Base'!$e",H46))))*((100-L46)/100))),IF(EXACT(P46,"Short Article"),(0.5*(F46*N46*(IF(EXACT(J46,"نفر اول"),INDIRECT(CONCATENATE("'Data Base'!$D",H46)),INDIRECT(CONCATENATE("'Data Base'!$E",H46))))*((100-L46)/100))),IF(EXACT(P46,"چاپ شده در نشريات بسيار پر استناد Nature و Science"),(2*(F46*N46*(IF(EXACT(J46,"نفر اول"),INDIRECT(CONCATENATE("'Data Base'!$D",H46)),INDIRECT(CONCATENATE("'Data Base'!$E",H46))))*((100-L46)/100))),IF(OR(EXACT(P46,"مستخرج از طرح پژوهشي محرمانه"),EXACT(P46,"مشترك با اساتيد دانشگاه خارج از كشور")),(1.2*(F46*N46*(IF(EXACT(J46,"نفر اول"),INDIRECT(CONCATENATE("'Data Base'!$D",H46)),INDIRECT(CONCATENATE("'Data Base'!$E",H46))))*((100-L46)/100))),(F46*N46*(IF(EXACT(J46,"نفر اول"),INDIRECT(CONCATENATE("'Data Base'!$d",H46)),INDIRECT(CONCATENATE("'Data Base'!$e",H46))))*((100-L46)/100)))))))</f>
        <v>0</v>
      </c>
      <c r="S45" s="535">
        <f t="shared" ref="S45" ca="1" si="41">IF(OR(EXACT(H45,""),EXACT(B45,""),EXACT(F47,""),EXACT(H47,""),EXACT(J47,""),EXACT(L47,""),EXACT(N47,""),EXACT(F45,""),EXACT(J45,""),EXACT(M45,""),EXACT(N45,""),EXACT(O45,""),EXACT(P45,"")),0,IF(OR(EXACT(P47,"مقاله پر استناد"),EXACT(P47,"مقاله داغ"),EXACT(P47,"مستخرج از برنامه تحقيقاتي ملي معطوف به رفع مشكلات كشور")),(1.5*(F47*N47*(IF(EXACT(J47,"نفر اول"),INDIRECT(CONCATENATE("'Data Base'!$d",H47)),INDIRECT(CONCATENATE("'Data Base'!$E",H47))))*((100-L47)/100))),IF(EXACT(P47,"Short Article"),(0.5*(F47*N47*(IF(EXACT(J47,"نفر اول"),INDIRECT(CONCATENATE("'Data Base'!$D",H47)),INDIRECT(CONCATENATE("'Data Base'!$E",H47))))*((100-L47)/100))),IF(EXACT(P47,"چاپ شده در نشريات بسيار پر استناد Nature و Science"),(2*(F47*N47*(IF(EXACT(J47,"نفر اول"),INDIRECT(CONCATENATE("'Data Base'!$D",H47)),INDIRECT(CONCATENATE("'Data Base'!$E",H47))))*((100-L47)/100))),IF(OR(EXACT(P47,"مستخرج از طرح پژوهشي محرمانه"),EXACT(P47,"مشترك با اساتيد دانشگاه خارج از كشور")),(1.2*(F47*N47*(IF(EXACT(J47,"نفر اول"),INDIRECT(CONCATENATE("'Data Base'!$D",H47)),INDIRECT(CONCATENATE("'Data Base'!$E",H47))))*((100-L47)/100))),(F47*N47*(IF(EXACT(J47,"نفر اول"),INDIRECT(CONCATENATE("'Data Base'!$D",H47)),INDIRECT(CONCATENATE("'Data Base'!$E",H47))))*((100-L47)/100)))))))</f>
        <v>0</v>
      </c>
      <c r="T45" s="147"/>
      <c r="U45" s="1414"/>
      <c r="Z45" s="19">
        <f>SUM(Z42,AA45)</f>
        <v>0</v>
      </c>
      <c r="AA45" s="19">
        <f>IF(OR(OR(B45="",F45="",H45="",J45="",P45=""),AND(M45="",O45="")),0,1)</f>
        <v>0</v>
      </c>
      <c r="AB45" s="19">
        <f t="shared" ref="AB45" ca="1" si="42">IF(AND(AA45=1,S45&gt;0),1,0)</f>
        <v>0</v>
      </c>
      <c r="AC45" s="19">
        <f t="shared" ref="AC45" ca="1" si="43">IF(AND(AA45=1,S45&lt;1),1,0)</f>
        <v>0</v>
      </c>
      <c r="AD45" s="19">
        <f ca="1">IF(AND(AA45=1,S45&gt;=1,AJ45=1),1,0)</f>
        <v>0</v>
      </c>
      <c r="AE45" s="19">
        <f ca="1">IF(AD45=1,S45,0)</f>
        <v>0</v>
      </c>
      <c r="AF45" s="19">
        <f ca="1">IF(AND(AA45=1,S45&gt;=1,AJ45=1,AR47=1),1,0)</f>
        <v>0</v>
      </c>
      <c r="AG45" s="19">
        <f ca="1">IF(AF45=1,S45,0)</f>
        <v>0</v>
      </c>
      <c r="AH45" s="19">
        <f>IF(OR(EXACT(H45,"JCR-Q1"),EXACT(H45,"JCR-Q2")),(1),(0))</f>
        <v>0</v>
      </c>
      <c r="AI45" s="19">
        <f>IF(OR(EXACT(H45,"JCR-Q1"),EXACT(H45,"JCR-Q2"),EXACT(H45,"JCR-Q3")),(1),(0))</f>
        <v>0</v>
      </c>
      <c r="AJ45" s="19">
        <f>IF(OR(EXACT(H45,"JCR-Q1"),EXACT(H45,"JCR-Q2"),EXACT(H45,"JCR-Q3"),EXACT(H45,"JCR-Q4")),(1),(0))</f>
        <v>0</v>
      </c>
      <c r="AK45" s="19">
        <f>IF(OR(EXACT(H45,"JCR-Q1"),EXACT(H45,"JCR-Q2"),EXACT(H45,"JCR-Q3"),EXACT(H45,"JCR-Q4"),EXACT(H45,"WOS")),(1),(0))</f>
        <v>0</v>
      </c>
      <c r="AL45" s="19">
        <f>IF(OR(EXACT(H45,"JCR-Q1"),EXACT(H45,"JCR-Q2"),EXACT(H45,"JCR-Q3"),EXACT(H45,"JCR-Q4"),EXACT(H45,"WOS"),EXACT(H45,"Scopus")),(1),(0))</f>
        <v>0</v>
      </c>
      <c r="AM45" s="19">
        <f>IF(OR(EXACT(H45,'Data Base'!$B$21),EXACT(H45,'Data Base'!$B$22)),(1),(0))</f>
        <v>0</v>
      </c>
    </row>
    <row r="46" spans="1:83" ht="20.25" customHeight="1">
      <c r="A46" s="1416" t="s">
        <v>29</v>
      </c>
      <c r="B46" s="1417"/>
      <c r="C46" s="1417"/>
      <c r="D46" s="1418"/>
      <c r="E46" s="514" t="s">
        <v>1001</v>
      </c>
      <c r="F46" s="515"/>
      <c r="G46" s="516" t="s">
        <v>801</v>
      </c>
      <c r="H46" s="517"/>
      <c r="I46" s="516" t="s">
        <v>1002</v>
      </c>
      <c r="J46" s="518"/>
      <c r="K46" s="516" t="s">
        <v>1003</v>
      </c>
      <c r="L46" s="519"/>
      <c r="M46" s="516" t="s">
        <v>1004</v>
      </c>
      <c r="N46" s="520"/>
      <c r="O46" s="1266" t="s">
        <v>55</v>
      </c>
      <c r="P46" s="1419"/>
      <c r="Q46" s="1419"/>
      <c r="R46" s="1419"/>
      <c r="S46" s="1419"/>
      <c r="T46" s="1419"/>
      <c r="U46" s="1415"/>
      <c r="AN46" s="19">
        <f>IF(AND(AA45=1,EXACT(J46,"نفر اول")),(1),(0))</f>
        <v>0</v>
      </c>
      <c r="AO46" s="19">
        <f>IF(AN46=1,R45,0)</f>
        <v>0</v>
      </c>
      <c r="AP46" s="19">
        <f>IF(AND(AA45=1,EXACT(J46,"همكار")),(1),(0))</f>
        <v>0</v>
      </c>
      <c r="AQ46" s="19">
        <f>IF(AP46=1,R45,0)</f>
        <v>0</v>
      </c>
      <c r="AV46" s="19">
        <f>IF((AH45=1),R45,0)</f>
        <v>0</v>
      </c>
      <c r="AW46" s="19">
        <f>IF(AND(EXACT(AN46,"1"),EXACT(AH45,"1")),(1),(0))</f>
        <v>0</v>
      </c>
      <c r="AX46" s="19">
        <f>IF((AW46=1),AV46,0)</f>
        <v>0</v>
      </c>
      <c r="BB46" s="19">
        <f>IF((AI45=1),R45,0)</f>
        <v>0</v>
      </c>
      <c r="BC46" s="19">
        <f>IF(AND(EXACT(AI45,"1"),EXACT(AN46,"1")),(1),(0))</f>
        <v>0</v>
      </c>
      <c r="BD46" s="19">
        <f>IF((BC46=1),BB46,0)</f>
        <v>0</v>
      </c>
      <c r="BH46" s="19">
        <f>IF((AJ45=1),R45,0)</f>
        <v>0</v>
      </c>
      <c r="BI46" s="19">
        <f>IF(AND(EXACT(AJ45,"1"),EXACT(AN46,"1")),(1),(0))</f>
        <v>0</v>
      </c>
      <c r="BJ46" s="19">
        <f>IF((BI46=1),BH46,0)</f>
        <v>0</v>
      </c>
      <c r="BN46" s="19">
        <f>IF((AK45=1),R45,0)</f>
        <v>0</v>
      </c>
      <c r="BO46" s="19">
        <f>IF(AND(EXACT(AK45,"1"),EXACT(AN46,"1")),(1),(0))</f>
        <v>0</v>
      </c>
      <c r="BP46" s="19">
        <f>IF((BO46=1),BN46,0)</f>
        <v>0</v>
      </c>
      <c r="BT46" s="19">
        <f>IF((AL45=1),R45,0)</f>
        <v>0</v>
      </c>
      <c r="BU46" s="19">
        <f>IF(AND(EXACT(AN46,"1"),EXACT(AL45,"1")),(1),(0))</f>
        <v>0</v>
      </c>
      <c r="BV46" s="19">
        <f>IF((BU46=1),BT46,0)</f>
        <v>0</v>
      </c>
      <c r="BZ46" s="19">
        <f>IF((AM45=1),R45,0)</f>
        <v>0</v>
      </c>
      <c r="CA46" s="19">
        <f>IF(AND(EXACT(AM45,"1"),EXACT(AN46,"1")),(1),(0))</f>
        <v>0</v>
      </c>
      <c r="CB46" s="19">
        <f>IF((CA46=1),BZ46,0)</f>
        <v>0</v>
      </c>
    </row>
    <row r="47" spans="1:83" ht="20.25">
      <c r="A47" s="1420" t="s">
        <v>30</v>
      </c>
      <c r="B47" s="1421"/>
      <c r="C47" s="1421"/>
      <c r="D47" s="1422"/>
      <c r="E47" s="536" t="s">
        <v>1001</v>
      </c>
      <c r="F47" s="537"/>
      <c r="G47" s="538" t="s">
        <v>801</v>
      </c>
      <c r="H47" s="539"/>
      <c r="I47" s="538" t="s">
        <v>1002</v>
      </c>
      <c r="J47" s="525"/>
      <c r="K47" s="538" t="s">
        <v>1003</v>
      </c>
      <c r="L47" s="540"/>
      <c r="M47" s="538" t="s">
        <v>1004</v>
      </c>
      <c r="N47" s="541"/>
      <c r="O47" s="1266"/>
      <c r="P47" s="1423"/>
      <c r="Q47" s="1423"/>
      <c r="R47" s="1423"/>
      <c r="S47" s="1423"/>
      <c r="T47" s="1423"/>
      <c r="U47" s="1415"/>
      <c r="AR47" s="19">
        <f>IF(AND(AA45=1,EXACT(J47,"نفر اول")),(1),(0))</f>
        <v>0</v>
      </c>
      <c r="AS47" s="19">
        <f>IF(AR47=1,S45,0)</f>
        <v>0</v>
      </c>
      <c r="AT47" s="19">
        <f>IF(AND(AA45=1,EXACT(J47,"همكار")),(1),(0))</f>
        <v>0</v>
      </c>
      <c r="AU47" s="19">
        <f>IF(AT47=1,S45,0)</f>
        <v>0</v>
      </c>
      <c r="AY47" s="19">
        <f>IF((AH45=1),S45,0)</f>
        <v>0</v>
      </c>
      <c r="AZ47" s="19">
        <f>IF(AND(EXACT(AR47,"1"),EXACT(AH45,"1")),(1),(0))</f>
        <v>0</v>
      </c>
      <c r="BA47" s="19">
        <f>IF((AZ47=1),AY47,0)</f>
        <v>0</v>
      </c>
      <c r="BE47" s="19">
        <f>IF((AI45=1),S45,0)</f>
        <v>0</v>
      </c>
      <c r="BF47" s="19">
        <f>IF(AND(EXACT(AI45,"1"),EXACT(AR47,"1")),(1),(0))</f>
        <v>0</v>
      </c>
      <c r="BG47" s="19">
        <f>IF((BF47=1),BE47,0)</f>
        <v>0</v>
      </c>
      <c r="BK47" s="19">
        <f>IF((AJ45=1),S45,0)</f>
        <v>0</v>
      </c>
      <c r="BL47" s="19">
        <f>IF(AND(EXACT(AJ45,"1"),EXACT(AR47,"1")),(1),(0))</f>
        <v>0</v>
      </c>
      <c r="BM47" s="19">
        <f>IF((BL47=1),BK47,0)</f>
        <v>0</v>
      </c>
      <c r="BQ47" s="19">
        <f>IF((AJ45=1),S45,0)</f>
        <v>0</v>
      </c>
      <c r="BR47" s="19">
        <f>IF(AND(EXACT(AJ45,"1"),EXACT(AR47,"1")),(1),(0))</f>
        <v>0</v>
      </c>
      <c r="BS47" s="19">
        <f>IF((BL47=1),BK47,0)</f>
        <v>0</v>
      </c>
      <c r="BW47" s="19">
        <f>IF((AL45=1),S45,0)</f>
        <v>0</v>
      </c>
      <c r="BX47" s="19">
        <f>IF(AND(EXACT(AL45,"1"),EXACT(AR47,"1")),(1),(0))</f>
        <v>0</v>
      </c>
      <c r="BY47" s="19">
        <f>IF((BX47=1),BW47,0)</f>
        <v>0</v>
      </c>
      <c r="CC47" s="19">
        <f>IF((AM45=1),R45,0)</f>
        <v>0</v>
      </c>
      <c r="CD47" s="19">
        <f>IF(AND(EXACT(AM45,"1"),EXACT(AR47,"1")),(1),(0))</f>
        <v>0</v>
      </c>
      <c r="CE47" s="19">
        <f>IF((CD47=1),CC47,0)</f>
        <v>0</v>
      </c>
    </row>
    <row r="48" spans="1:83" ht="20.25">
      <c r="A48" s="12">
        <f>IF(AA48=0,0,IF(AA45=0,Z48,SUM(A45,AA48)))</f>
        <v>0</v>
      </c>
      <c r="B48" s="1157"/>
      <c r="C48" s="1157"/>
      <c r="D48" s="1157"/>
      <c r="E48" s="1182"/>
      <c r="F48" s="1424"/>
      <c r="G48" s="1424"/>
      <c r="H48" s="527"/>
      <c r="I48" s="528"/>
      <c r="J48" s="529"/>
      <c r="K48" s="530"/>
      <c r="L48" s="531"/>
      <c r="M48" s="532"/>
      <c r="N48" s="533"/>
      <c r="O48" s="532"/>
      <c r="P48" s="1182"/>
      <c r="Q48" s="1182"/>
      <c r="R48" s="534">
        <f t="shared" ref="R48" ca="1" si="44">IF(OR(EXACT(H48,""),EXACT(B48,""),EXACT(F49,""),EXACT(H49,""),EXACT(J49,""),EXACT(L49,""),EXACT(N49,""),EXACT(F48,""),EXACT(J48,""),EXACT(M48,""),EXACT(N48,""),EXACT(O48,""),EXACT(P48,"")),0,IF(OR(EXACT(P49,"مقاله پر استناد"),EXACT(P49,"مقاله داغ"),EXACT(P49,"مستخرج از برنامه تحقيقاتي ملي معطوف به رفع مشكلات كشور")),(1.5*(F49*N49*(IF(EXACT(J49,"نفر اول"),INDIRECT(CONCATENATE("'Data Base'!$d",H49)),INDIRECT(CONCATENATE("'Data Base'!$e",H49))))*((100-L49)/100))),IF(EXACT(P49,"Short Article"),(0.5*(F49*N49*(IF(EXACT(J49,"نفر اول"),INDIRECT(CONCATENATE("'Data Base'!$D",H49)),INDIRECT(CONCATENATE("'Data Base'!$E",H49))))*((100-L49)/100))),IF(EXACT(P49,"چاپ شده در نشريات بسيار پر استناد Nature و Science"),(2*(F49*N49*(IF(EXACT(J49,"نفر اول"),INDIRECT(CONCATENATE("'Data Base'!$D",H49)),INDIRECT(CONCATENATE("'Data Base'!$E",H49))))*((100-L49)/100))),IF(OR(EXACT(P49,"مستخرج از طرح پژوهشي محرمانه"),EXACT(P49,"مشترك با اساتيد دانشگاه خارج از كشور")),(1.2*(F49*N49*(IF(EXACT(J49,"نفر اول"),INDIRECT(CONCATENATE("'Data Base'!$D",H49)),INDIRECT(CONCATENATE("'Data Base'!$E",H49))))*((100-L49)/100))),(F49*N49*(IF(EXACT(J49,"نفر اول"),INDIRECT(CONCATENATE("'Data Base'!$d",H49)),INDIRECT(CONCATENATE("'Data Base'!$e",H49))))*((100-L49)/100)))))))</f>
        <v>0</v>
      </c>
      <c r="S48" s="535">
        <f t="shared" ref="S48" ca="1" si="45">IF(OR(EXACT(H48,""),EXACT(B48,""),EXACT(F50,""),EXACT(H50,""),EXACT(J50,""),EXACT(L50,""),EXACT(N50,""),EXACT(F48,""),EXACT(J48,""),EXACT(M48,""),EXACT(N48,""),EXACT(O48,""),EXACT(P48,"")),0,IF(OR(EXACT(P50,"مقاله پر استناد"),EXACT(P50,"مقاله داغ"),EXACT(P50,"مستخرج از برنامه تحقيقاتي ملي معطوف به رفع مشكلات كشور")),(1.5*(F50*N50*(IF(EXACT(J50,"نفر اول"),INDIRECT(CONCATENATE("'Data Base'!$d",H50)),INDIRECT(CONCATENATE("'Data Base'!$E",H50))))*((100-L50)/100))),IF(EXACT(P50,"Short Article"),(0.5*(F50*N50*(IF(EXACT(J50,"نفر اول"),INDIRECT(CONCATENATE("'Data Base'!$D",H50)),INDIRECT(CONCATENATE("'Data Base'!$E",H50))))*((100-L50)/100))),IF(EXACT(P50,"چاپ شده در نشريات بسيار پر استناد Nature و Science"),(2*(F50*N50*(IF(EXACT(J50,"نفر اول"),INDIRECT(CONCATENATE("'Data Base'!$D",H50)),INDIRECT(CONCATENATE("'Data Base'!$E",H50))))*((100-L50)/100))),IF(OR(EXACT(P50,"مستخرج از طرح پژوهشي محرمانه"),EXACT(P50,"مشترك با اساتيد دانشگاه خارج از كشور")),(1.2*(F50*N50*(IF(EXACT(J50,"نفر اول"),INDIRECT(CONCATENATE("'Data Base'!$D",H50)),INDIRECT(CONCATENATE("'Data Base'!$E",H50))))*((100-L50)/100))),(F50*N50*(IF(EXACT(J50,"نفر اول"),INDIRECT(CONCATENATE("'Data Base'!$D",H50)),INDIRECT(CONCATENATE("'Data Base'!$E",H50))))*((100-L50)/100)))))))</f>
        <v>0</v>
      </c>
      <c r="T48" s="147"/>
      <c r="U48" s="1414"/>
      <c r="Z48" s="19">
        <f>SUM(Z45,AA48)</f>
        <v>0</v>
      </c>
      <c r="AA48" s="19">
        <f>IF(OR(OR(B48="",F48="",H48="",J48="",P48=""),AND(M48="",O48="")),0,1)</f>
        <v>0</v>
      </c>
      <c r="AB48" s="19">
        <f t="shared" ref="AB48" ca="1" si="46">IF(AND(AA48=1,S48&gt;0),1,0)</f>
        <v>0</v>
      </c>
      <c r="AC48" s="19">
        <f t="shared" ref="AC48" ca="1" si="47">IF(AND(AA48=1,S48&lt;1),1,0)</f>
        <v>0</v>
      </c>
      <c r="AD48" s="19">
        <f ca="1">IF(AND(AA48=1,S48&gt;=1,AJ48=1),1,0)</f>
        <v>0</v>
      </c>
      <c r="AE48" s="19">
        <f ca="1">IF(AD48=1,S48,0)</f>
        <v>0</v>
      </c>
      <c r="AF48" s="19">
        <f ca="1">IF(AND(AA48=1,S48&gt;=1,AJ48=1,AR50=1),1,0)</f>
        <v>0</v>
      </c>
      <c r="AG48" s="19">
        <f ca="1">IF(AF48=1,S48,0)</f>
        <v>0</v>
      </c>
      <c r="AH48" s="19">
        <f>IF(OR(EXACT(H48,"JCR-Q1"),EXACT(H48,"JCR-Q2")),(1),(0))</f>
        <v>0</v>
      </c>
      <c r="AI48" s="19">
        <f>IF(OR(EXACT(H48,"JCR-Q1"),EXACT(H48,"JCR-Q2"),EXACT(H48,"JCR-Q3")),(1),(0))</f>
        <v>0</v>
      </c>
      <c r="AJ48" s="19">
        <f>IF(OR(EXACT(H48,"JCR-Q1"),EXACT(H48,"JCR-Q2"),EXACT(H48,"JCR-Q3"),EXACT(H48,"JCR-Q4")),(1),(0))</f>
        <v>0</v>
      </c>
      <c r="AK48" s="19">
        <f>IF(OR(EXACT(H48,"JCR-Q1"),EXACT(H48,"JCR-Q2"),EXACT(H48,"JCR-Q3"),EXACT(H48,"JCR-Q4"),EXACT(H48,"WOS")),(1),(0))</f>
        <v>0</v>
      </c>
      <c r="AL48" s="19">
        <f>IF(OR(EXACT(H48,"JCR-Q1"),EXACT(H48,"JCR-Q2"),EXACT(H48,"JCR-Q3"),EXACT(H48,"JCR-Q4"),EXACT(H48,"WOS"),EXACT(H48,"Scopus")),(1),(0))</f>
        <v>0</v>
      </c>
      <c r="AM48" s="19">
        <f>IF(OR(EXACT(H48,'Data Base'!$B$21),EXACT(H48,'Data Base'!$B$22)),(1),(0))</f>
        <v>0</v>
      </c>
    </row>
    <row r="49" spans="1:83" ht="20.25" customHeight="1">
      <c r="A49" s="1416" t="s">
        <v>29</v>
      </c>
      <c r="B49" s="1417"/>
      <c r="C49" s="1417"/>
      <c r="D49" s="1418"/>
      <c r="E49" s="514" t="s">
        <v>1001</v>
      </c>
      <c r="F49" s="515"/>
      <c r="G49" s="516" t="s">
        <v>801</v>
      </c>
      <c r="H49" s="517"/>
      <c r="I49" s="516" t="s">
        <v>1002</v>
      </c>
      <c r="J49" s="518"/>
      <c r="K49" s="516" t="s">
        <v>1003</v>
      </c>
      <c r="L49" s="519"/>
      <c r="M49" s="516" t="s">
        <v>1004</v>
      </c>
      <c r="N49" s="520"/>
      <c r="O49" s="1266" t="s">
        <v>55</v>
      </c>
      <c r="P49" s="1419"/>
      <c r="Q49" s="1419"/>
      <c r="R49" s="1419"/>
      <c r="S49" s="1419"/>
      <c r="T49" s="1419"/>
      <c r="U49" s="1415"/>
      <c r="AN49" s="19">
        <f>IF(AND(AA48=1,EXACT(J49,"نفر اول")),(1),(0))</f>
        <v>0</v>
      </c>
      <c r="AO49" s="19">
        <f>IF(AN49=1,R48,0)</f>
        <v>0</v>
      </c>
      <c r="AP49" s="19">
        <f>IF(AND(AA48=1,EXACT(J49,"همكار")),(1),(0))</f>
        <v>0</v>
      </c>
      <c r="AQ49" s="19">
        <f>IF(AP49=1,R48,0)</f>
        <v>0</v>
      </c>
      <c r="AV49" s="19">
        <f>IF((AH48=1),R48,0)</f>
        <v>0</v>
      </c>
      <c r="AW49" s="19">
        <f>IF(AND(EXACT(AN49,"1"),EXACT(AH48,"1")),(1),(0))</f>
        <v>0</v>
      </c>
      <c r="AX49" s="19">
        <f>IF((AW49=1),AV49,0)</f>
        <v>0</v>
      </c>
      <c r="BB49" s="19">
        <f>IF((AI48=1),R48,0)</f>
        <v>0</v>
      </c>
      <c r="BC49" s="19">
        <f>IF(AND(EXACT(AI48,"1"),EXACT(AN49,"1")),(1),(0))</f>
        <v>0</v>
      </c>
      <c r="BD49" s="19">
        <f>IF((BC49=1),BB49,0)</f>
        <v>0</v>
      </c>
      <c r="BH49" s="19">
        <f>IF((AJ48=1),R48,0)</f>
        <v>0</v>
      </c>
      <c r="BI49" s="19">
        <f>IF(AND(EXACT(AJ48,"1"),EXACT(AN49,"1")),(1),(0))</f>
        <v>0</v>
      </c>
      <c r="BJ49" s="19">
        <f>IF((BI49=1),BH49,0)</f>
        <v>0</v>
      </c>
      <c r="BN49" s="19">
        <f>IF((AK48=1),R48,0)</f>
        <v>0</v>
      </c>
      <c r="BO49" s="19">
        <f>IF(AND(EXACT(AK48,"1"),EXACT(AN49,"1")),(1),(0))</f>
        <v>0</v>
      </c>
      <c r="BP49" s="19">
        <f>IF((BO49=1),BN49,0)</f>
        <v>0</v>
      </c>
      <c r="BT49" s="19">
        <f>IF((AL48=1),R48,0)</f>
        <v>0</v>
      </c>
      <c r="BU49" s="19">
        <f>IF(AND(EXACT(AN49,"1"),EXACT(AL48,"1")),(1),(0))</f>
        <v>0</v>
      </c>
      <c r="BV49" s="19">
        <f>IF((BU49=1),BT49,0)</f>
        <v>0</v>
      </c>
      <c r="BZ49" s="19">
        <f>IF((AM48=1),R48,0)</f>
        <v>0</v>
      </c>
      <c r="CA49" s="19">
        <f>IF(AND(EXACT(AM48,"1"),EXACT(AN49,"1")),(1),(0))</f>
        <v>0</v>
      </c>
      <c r="CB49" s="19">
        <f>IF((CA49=1),BZ49,0)</f>
        <v>0</v>
      </c>
    </row>
    <row r="50" spans="1:83" ht="20.25">
      <c r="A50" s="1420" t="s">
        <v>30</v>
      </c>
      <c r="B50" s="1421"/>
      <c r="C50" s="1421"/>
      <c r="D50" s="1422"/>
      <c r="E50" s="536" t="s">
        <v>1001</v>
      </c>
      <c r="F50" s="537"/>
      <c r="G50" s="538" t="s">
        <v>801</v>
      </c>
      <c r="H50" s="539"/>
      <c r="I50" s="538" t="s">
        <v>1002</v>
      </c>
      <c r="J50" s="525"/>
      <c r="K50" s="538" t="s">
        <v>1003</v>
      </c>
      <c r="L50" s="540"/>
      <c r="M50" s="538" t="s">
        <v>1004</v>
      </c>
      <c r="N50" s="541"/>
      <c r="O50" s="1266"/>
      <c r="P50" s="1423"/>
      <c r="Q50" s="1423"/>
      <c r="R50" s="1423"/>
      <c r="S50" s="1423"/>
      <c r="T50" s="1423"/>
      <c r="U50" s="1415"/>
      <c r="AR50" s="19">
        <f>IF(AND(AA48=1,EXACT(J50,"نفر اول")),(1),(0))</f>
        <v>0</v>
      </c>
      <c r="AS50" s="19">
        <f>IF(AR50=1,S48,0)</f>
        <v>0</v>
      </c>
      <c r="AT50" s="19">
        <f>IF(AND(AA48=1,EXACT(J50,"همكار")),(1),(0))</f>
        <v>0</v>
      </c>
      <c r="AU50" s="19">
        <f>IF(AT50=1,S48,0)</f>
        <v>0</v>
      </c>
      <c r="AY50" s="19">
        <f>IF((AH48=1),S48,0)</f>
        <v>0</v>
      </c>
      <c r="AZ50" s="19">
        <f>IF(AND(EXACT(AR50,"1"),EXACT(AH48,"1")),(1),(0))</f>
        <v>0</v>
      </c>
      <c r="BA50" s="19">
        <f>IF((AZ50=1),AY50,0)</f>
        <v>0</v>
      </c>
      <c r="BE50" s="19">
        <f>IF((AI48=1),S48,0)</f>
        <v>0</v>
      </c>
      <c r="BF50" s="19">
        <f>IF(AND(EXACT(AI48,"1"),EXACT(AR50,"1")),(1),(0))</f>
        <v>0</v>
      </c>
      <c r="BG50" s="19">
        <f>IF((BF50=1),BE50,0)</f>
        <v>0</v>
      </c>
      <c r="BK50" s="19">
        <f>IF((AJ48=1),S48,0)</f>
        <v>0</v>
      </c>
      <c r="BL50" s="19">
        <f>IF(AND(EXACT(AJ48,"1"),EXACT(AR50,"1")),(1),(0))</f>
        <v>0</v>
      </c>
      <c r="BM50" s="19">
        <f>IF((BL50=1),BK50,0)</f>
        <v>0</v>
      </c>
      <c r="BQ50" s="19">
        <f>IF((AJ48=1),S48,0)</f>
        <v>0</v>
      </c>
      <c r="BR50" s="19">
        <f>IF(AND(EXACT(AJ48,"1"),EXACT(AR50,"1")),(1),(0))</f>
        <v>0</v>
      </c>
      <c r="BS50" s="19">
        <f>IF((BL50=1),BK50,0)</f>
        <v>0</v>
      </c>
      <c r="BW50" s="19">
        <f>IF((AL48=1),S48,0)</f>
        <v>0</v>
      </c>
      <c r="BX50" s="19">
        <f>IF(AND(EXACT(AL48,"1"),EXACT(AR50,"1")),(1),(0))</f>
        <v>0</v>
      </c>
      <c r="BY50" s="19">
        <f>IF((BX50=1),BW50,0)</f>
        <v>0</v>
      </c>
      <c r="CC50" s="19">
        <f>IF((AM48=1),R48,0)</f>
        <v>0</v>
      </c>
      <c r="CD50" s="19">
        <f>IF(AND(EXACT(AM48,"1"),EXACT(AR50,"1")),(1),(0))</f>
        <v>0</v>
      </c>
      <c r="CE50" s="19">
        <f>IF((CD50=1),CC50,0)</f>
        <v>0</v>
      </c>
    </row>
    <row r="51" spans="1:83" ht="20.25">
      <c r="A51" s="12">
        <f>IF(AA51=0,0,IF(AA48=0,Z51,SUM(A48,AA51)))</f>
        <v>0</v>
      </c>
      <c r="B51" s="1157"/>
      <c r="C51" s="1157"/>
      <c r="D51" s="1157"/>
      <c r="E51" s="1182"/>
      <c r="F51" s="1424"/>
      <c r="G51" s="1424"/>
      <c r="H51" s="527"/>
      <c r="I51" s="528"/>
      <c r="J51" s="529"/>
      <c r="K51" s="530"/>
      <c r="L51" s="531"/>
      <c r="M51" s="532"/>
      <c r="N51" s="533"/>
      <c r="O51" s="532"/>
      <c r="P51" s="1182"/>
      <c r="Q51" s="1182"/>
      <c r="R51" s="534">
        <f t="shared" ref="R51" ca="1" si="48">IF(OR(EXACT(H51,""),EXACT(B51,""),EXACT(F52,""),EXACT(H52,""),EXACT(J52,""),EXACT(L52,""),EXACT(N52,""),EXACT(F51,""),EXACT(J51,""),EXACT(M51,""),EXACT(N51,""),EXACT(O51,""),EXACT(P51,"")),0,IF(OR(EXACT(P52,"مقاله پر استناد"),EXACT(P52,"مقاله داغ"),EXACT(P52,"مستخرج از برنامه تحقيقاتي ملي معطوف به رفع مشكلات كشور")),(1.5*(F52*N52*(IF(EXACT(J52,"نفر اول"),INDIRECT(CONCATENATE("'Data Base'!$d",H52)),INDIRECT(CONCATENATE("'Data Base'!$e",H52))))*((100-L52)/100))),IF(EXACT(P52,"Short Article"),(0.5*(F52*N52*(IF(EXACT(J52,"نفر اول"),INDIRECT(CONCATENATE("'Data Base'!$D",H52)),INDIRECT(CONCATENATE("'Data Base'!$E",H52))))*((100-L52)/100))),IF(EXACT(P52,"چاپ شده در نشريات بسيار پر استناد Nature و Science"),(2*(F52*N52*(IF(EXACT(J52,"نفر اول"),INDIRECT(CONCATENATE("'Data Base'!$D",H52)),INDIRECT(CONCATENATE("'Data Base'!$E",H52))))*((100-L52)/100))),IF(OR(EXACT(P52,"مستخرج از طرح پژوهشي محرمانه"),EXACT(P52,"مشترك با اساتيد دانشگاه خارج از كشور")),(1.2*(F52*N52*(IF(EXACT(J52,"نفر اول"),INDIRECT(CONCATENATE("'Data Base'!$D",H52)),INDIRECT(CONCATENATE("'Data Base'!$E",H52))))*((100-L52)/100))),(F52*N52*(IF(EXACT(J52,"نفر اول"),INDIRECT(CONCATENATE("'Data Base'!$d",H52)),INDIRECT(CONCATENATE("'Data Base'!$e",H52))))*((100-L52)/100)))))))</f>
        <v>0</v>
      </c>
      <c r="S51" s="535">
        <f t="shared" ref="S51" ca="1" si="49">IF(OR(EXACT(H51,""),EXACT(B51,""),EXACT(F53,""),EXACT(H53,""),EXACT(J53,""),EXACT(L53,""),EXACT(N53,""),EXACT(F51,""),EXACT(J51,""),EXACT(M51,""),EXACT(N51,""),EXACT(O51,""),EXACT(P51,"")),0,IF(OR(EXACT(P53,"مقاله پر استناد"),EXACT(P53,"مقاله داغ"),EXACT(P53,"مستخرج از برنامه تحقيقاتي ملي معطوف به رفع مشكلات كشور")),(1.5*(F53*N53*(IF(EXACT(J53,"نفر اول"),INDIRECT(CONCATENATE("'Data Base'!$d",H53)),INDIRECT(CONCATENATE("'Data Base'!$E",H53))))*((100-L53)/100))),IF(EXACT(P53,"Short Article"),(0.5*(F53*N53*(IF(EXACT(J53,"نفر اول"),INDIRECT(CONCATENATE("'Data Base'!$D",H53)),INDIRECT(CONCATENATE("'Data Base'!$E",H53))))*((100-L53)/100))),IF(EXACT(P53,"چاپ شده در نشريات بسيار پر استناد Nature و Science"),(2*(F53*N53*(IF(EXACT(J53,"نفر اول"),INDIRECT(CONCATENATE("'Data Base'!$D",H53)),INDIRECT(CONCATENATE("'Data Base'!$E",H53))))*((100-L53)/100))),IF(OR(EXACT(P53,"مستخرج از طرح پژوهشي محرمانه"),EXACT(P53,"مشترك با اساتيد دانشگاه خارج از كشور")),(1.2*(F53*N53*(IF(EXACT(J53,"نفر اول"),INDIRECT(CONCATENATE("'Data Base'!$D",H53)),INDIRECT(CONCATENATE("'Data Base'!$E",H53))))*((100-L53)/100))),(F53*N53*(IF(EXACT(J53,"نفر اول"),INDIRECT(CONCATENATE("'Data Base'!$D",H53)),INDIRECT(CONCATENATE("'Data Base'!$E",H53))))*((100-L53)/100)))))))</f>
        <v>0</v>
      </c>
      <c r="T51" s="147"/>
      <c r="U51" s="1414"/>
      <c r="Z51" s="19">
        <f>SUM(Z48,AA51)</f>
        <v>0</v>
      </c>
      <c r="AA51" s="19">
        <f>IF(OR(OR(B51="",F51="",H51="",J51="",P51=""),AND(M51="",O51="")),0,1)</f>
        <v>0</v>
      </c>
      <c r="AB51" s="19">
        <f t="shared" ref="AB51" ca="1" si="50">IF(AND(AA51=1,S51&gt;0),1,0)</f>
        <v>0</v>
      </c>
      <c r="AC51" s="19">
        <f t="shared" ref="AC51" ca="1" si="51">IF(AND(AA51=1,S51&lt;1),1,0)</f>
        <v>0</v>
      </c>
      <c r="AD51" s="19">
        <f ca="1">IF(AND(AA51=1,S51&gt;=1,AJ51=1),1,0)</f>
        <v>0</v>
      </c>
      <c r="AE51" s="19">
        <f ca="1">IF(AD51=1,S51,0)</f>
        <v>0</v>
      </c>
      <c r="AF51" s="19">
        <f ca="1">IF(AND(AA51=1,S51&gt;=1,AJ51=1,AR53=1),1,0)</f>
        <v>0</v>
      </c>
      <c r="AG51" s="19">
        <f ca="1">IF(AF51=1,S51,0)</f>
        <v>0</v>
      </c>
      <c r="AH51" s="19">
        <f>IF(OR(EXACT(H51,"JCR-Q1"),EXACT(H51,"JCR-Q2")),(1),(0))</f>
        <v>0</v>
      </c>
      <c r="AI51" s="19">
        <f>IF(OR(EXACT(H51,"JCR-Q1"),EXACT(H51,"JCR-Q2"),EXACT(H51,"JCR-Q3")),(1),(0))</f>
        <v>0</v>
      </c>
      <c r="AJ51" s="19">
        <f>IF(OR(EXACT(H51,"JCR-Q1"),EXACT(H51,"JCR-Q2"),EXACT(H51,"JCR-Q3"),EXACT(H51,"JCR-Q4")),(1),(0))</f>
        <v>0</v>
      </c>
      <c r="AK51" s="19">
        <f>IF(OR(EXACT(H51,"JCR-Q1"),EXACT(H51,"JCR-Q2"),EXACT(H51,"JCR-Q3"),EXACT(H51,"JCR-Q4"),EXACT(H51,"WOS")),(1),(0))</f>
        <v>0</v>
      </c>
      <c r="AL51" s="19">
        <f>IF(OR(EXACT(H51,"JCR-Q1"),EXACT(H51,"JCR-Q2"),EXACT(H51,"JCR-Q3"),EXACT(H51,"JCR-Q4"),EXACT(H51,"WOS"),EXACT(H51,"Scopus")),(1),(0))</f>
        <v>0</v>
      </c>
      <c r="AM51" s="19">
        <f>IF(OR(EXACT(H51,'Data Base'!$B$21),EXACT(H51,'Data Base'!$B$22)),(1),(0))</f>
        <v>0</v>
      </c>
    </row>
    <row r="52" spans="1:83" ht="20.25" customHeight="1">
      <c r="A52" s="1416" t="s">
        <v>29</v>
      </c>
      <c r="B52" s="1417"/>
      <c r="C52" s="1417"/>
      <c r="D52" s="1418"/>
      <c r="E52" s="514" t="s">
        <v>1001</v>
      </c>
      <c r="F52" s="515"/>
      <c r="G52" s="516" t="s">
        <v>801</v>
      </c>
      <c r="H52" s="517"/>
      <c r="I52" s="516" t="s">
        <v>1002</v>
      </c>
      <c r="J52" s="518"/>
      <c r="K52" s="516" t="s">
        <v>1003</v>
      </c>
      <c r="L52" s="519"/>
      <c r="M52" s="516" t="s">
        <v>1004</v>
      </c>
      <c r="N52" s="520"/>
      <c r="O52" s="1266" t="s">
        <v>55</v>
      </c>
      <c r="P52" s="1419"/>
      <c r="Q52" s="1419"/>
      <c r="R52" s="1419"/>
      <c r="S52" s="1419"/>
      <c r="T52" s="1419"/>
      <c r="U52" s="1415"/>
      <c r="AN52" s="19">
        <f>IF(AND(AA51=1,EXACT(J52,"نفر اول")),(1),(0))</f>
        <v>0</v>
      </c>
      <c r="AO52" s="19">
        <f>IF(AN52=1,R51,0)</f>
        <v>0</v>
      </c>
      <c r="AP52" s="19">
        <f>IF(AND(AA51=1,EXACT(J52,"همكار")),(1),(0))</f>
        <v>0</v>
      </c>
      <c r="AQ52" s="19">
        <f>IF(AP52=1,R51,0)</f>
        <v>0</v>
      </c>
      <c r="AV52" s="19">
        <f>IF((AH51=1),R51,0)</f>
        <v>0</v>
      </c>
      <c r="AW52" s="19">
        <f>IF(AND(EXACT(AN52,"1"),EXACT(AH51,"1")),(1),(0))</f>
        <v>0</v>
      </c>
      <c r="AX52" s="19">
        <f>IF((AW52=1),AV52,0)</f>
        <v>0</v>
      </c>
      <c r="BB52" s="19">
        <f>IF((AI51=1),R51,0)</f>
        <v>0</v>
      </c>
      <c r="BC52" s="19">
        <f>IF(AND(EXACT(AI51,"1"),EXACT(AN52,"1")),(1),(0))</f>
        <v>0</v>
      </c>
      <c r="BD52" s="19">
        <f>IF((BC52=1),BB52,0)</f>
        <v>0</v>
      </c>
      <c r="BH52" s="19">
        <f>IF((AJ51=1),R51,0)</f>
        <v>0</v>
      </c>
      <c r="BI52" s="19">
        <f>IF(AND(EXACT(AJ51,"1"),EXACT(AN52,"1")),(1),(0))</f>
        <v>0</v>
      </c>
      <c r="BJ52" s="19">
        <f>IF((BI52=1),BH52,0)</f>
        <v>0</v>
      </c>
      <c r="BN52" s="19">
        <f>IF((AK51=1),R51,0)</f>
        <v>0</v>
      </c>
      <c r="BO52" s="19">
        <f>IF(AND(EXACT(AK51,"1"),EXACT(AN52,"1")),(1),(0))</f>
        <v>0</v>
      </c>
      <c r="BP52" s="19">
        <f>IF((BO52=1),BN52,0)</f>
        <v>0</v>
      </c>
      <c r="BT52" s="19">
        <f>IF((AL51=1),R51,0)</f>
        <v>0</v>
      </c>
      <c r="BU52" s="19">
        <f>IF(AND(EXACT(AN52,"1"),EXACT(AL51,"1")),(1),(0))</f>
        <v>0</v>
      </c>
      <c r="BV52" s="19">
        <f>IF((BU52=1),BT52,0)</f>
        <v>0</v>
      </c>
      <c r="BZ52" s="19">
        <f>IF((AM51=1),R51,0)</f>
        <v>0</v>
      </c>
      <c r="CA52" s="19">
        <f>IF(AND(EXACT(AM51,"1"),EXACT(AN52,"1")),(1),(0))</f>
        <v>0</v>
      </c>
      <c r="CB52" s="19">
        <f>IF((CA52=1),BZ52,0)</f>
        <v>0</v>
      </c>
    </row>
    <row r="53" spans="1:83" ht="20.25">
      <c r="A53" s="1420" t="s">
        <v>30</v>
      </c>
      <c r="B53" s="1421"/>
      <c r="C53" s="1421"/>
      <c r="D53" s="1422"/>
      <c r="E53" s="536" t="s">
        <v>1001</v>
      </c>
      <c r="F53" s="537"/>
      <c r="G53" s="538" t="s">
        <v>801</v>
      </c>
      <c r="H53" s="539"/>
      <c r="I53" s="538" t="s">
        <v>1002</v>
      </c>
      <c r="J53" s="525"/>
      <c r="K53" s="538" t="s">
        <v>1003</v>
      </c>
      <c r="L53" s="540"/>
      <c r="M53" s="538" t="s">
        <v>1004</v>
      </c>
      <c r="N53" s="541"/>
      <c r="O53" s="1266"/>
      <c r="P53" s="1423"/>
      <c r="Q53" s="1423"/>
      <c r="R53" s="1423"/>
      <c r="S53" s="1423"/>
      <c r="T53" s="1423"/>
      <c r="U53" s="1415"/>
      <c r="AR53" s="19">
        <f>IF(AND(AA51=1,EXACT(J53,"نفر اول")),(1),(0))</f>
        <v>0</v>
      </c>
      <c r="AS53" s="19">
        <f>IF(AR53=1,S51,0)</f>
        <v>0</v>
      </c>
      <c r="AT53" s="19">
        <f>IF(AND(AA51=1,EXACT(J53,"همكار")),(1),(0))</f>
        <v>0</v>
      </c>
      <c r="AU53" s="19">
        <f>IF(AT53=1,S51,0)</f>
        <v>0</v>
      </c>
      <c r="AY53" s="19">
        <f>IF((AH51=1),S51,0)</f>
        <v>0</v>
      </c>
      <c r="AZ53" s="19">
        <f>IF(AND(EXACT(AR53,"1"),EXACT(AH51,"1")),(1),(0))</f>
        <v>0</v>
      </c>
      <c r="BA53" s="19">
        <f>IF((AZ53=1),AY53,0)</f>
        <v>0</v>
      </c>
      <c r="BE53" s="19">
        <f>IF((AI51=1),S51,0)</f>
        <v>0</v>
      </c>
      <c r="BF53" s="19">
        <f>IF(AND(EXACT(AI51,"1"),EXACT(AR53,"1")),(1),(0))</f>
        <v>0</v>
      </c>
      <c r="BG53" s="19">
        <f>IF((BF53=1),BE53,0)</f>
        <v>0</v>
      </c>
      <c r="BK53" s="19">
        <f>IF((AJ51=1),S51,0)</f>
        <v>0</v>
      </c>
      <c r="BL53" s="19">
        <f>IF(AND(EXACT(AJ51,"1"),EXACT(AR53,"1")),(1),(0))</f>
        <v>0</v>
      </c>
      <c r="BM53" s="19">
        <f>IF((BL53=1),BK53,0)</f>
        <v>0</v>
      </c>
      <c r="BQ53" s="19">
        <f>IF((AJ51=1),S51,0)</f>
        <v>0</v>
      </c>
      <c r="BR53" s="19">
        <f>IF(AND(EXACT(AJ51,"1"),EXACT(AR53,"1")),(1),(0))</f>
        <v>0</v>
      </c>
      <c r="BS53" s="19">
        <f>IF((BL53=1),BK53,0)</f>
        <v>0</v>
      </c>
      <c r="BW53" s="19">
        <f>IF((AL51=1),S51,0)</f>
        <v>0</v>
      </c>
      <c r="BX53" s="19">
        <f>IF(AND(EXACT(AL51,"1"),EXACT(AR53,"1")),(1),(0))</f>
        <v>0</v>
      </c>
      <c r="BY53" s="19">
        <f>IF((BX53=1),BW53,0)</f>
        <v>0</v>
      </c>
      <c r="CC53" s="19">
        <f>IF((AM51=1),R51,0)</f>
        <v>0</v>
      </c>
      <c r="CD53" s="19">
        <f>IF(AND(EXACT(AM51,"1"),EXACT(AR53,"1")),(1),(0))</f>
        <v>0</v>
      </c>
      <c r="CE53" s="19">
        <f>IF((CD53=1),CC53,0)</f>
        <v>0</v>
      </c>
    </row>
    <row r="54" spans="1:83" ht="20.25">
      <c r="A54" s="12">
        <f>IF(AA54=0,0,IF(AA51=0,Z54,SUM(A51,AA54)))</f>
        <v>0</v>
      </c>
      <c r="B54" s="1157"/>
      <c r="C54" s="1157"/>
      <c r="D54" s="1157"/>
      <c r="E54" s="1182"/>
      <c r="F54" s="1424"/>
      <c r="G54" s="1424"/>
      <c r="H54" s="527"/>
      <c r="I54" s="528"/>
      <c r="J54" s="529"/>
      <c r="K54" s="530"/>
      <c r="L54" s="531"/>
      <c r="M54" s="532"/>
      <c r="N54" s="533"/>
      <c r="O54" s="532"/>
      <c r="P54" s="1182"/>
      <c r="Q54" s="1182"/>
      <c r="R54" s="534">
        <f t="shared" ref="R54" ca="1" si="52">IF(OR(EXACT(H54,""),EXACT(B54,""),EXACT(F55,""),EXACT(H55,""),EXACT(J55,""),EXACT(L55,""),EXACT(N55,""),EXACT(F54,""),EXACT(J54,""),EXACT(M54,""),EXACT(N54,""),EXACT(O54,""),EXACT(P54,"")),0,IF(OR(EXACT(P55,"مقاله پر استناد"),EXACT(P55,"مقاله داغ"),EXACT(P55,"مستخرج از برنامه تحقيقاتي ملي معطوف به رفع مشكلات كشور")),(1.5*(F55*N55*(IF(EXACT(J55,"نفر اول"),INDIRECT(CONCATENATE("'Data Base'!$d",H55)),INDIRECT(CONCATENATE("'Data Base'!$e",H55))))*((100-L55)/100))),IF(EXACT(P55,"Short Article"),(0.5*(F55*N55*(IF(EXACT(J55,"نفر اول"),INDIRECT(CONCATENATE("'Data Base'!$D",H55)),INDIRECT(CONCATENATE("'Data Base'!$E",H55))))*((100-L55)/100))),IF(EXACT(P55,"چاپ شده در نشريات بسيار پر استناد Nature و Science"),(2*(F55*N55*(IF(EXACT(J55,"نفر اول"),INDIRECT(CONCATENATE("'Data Base'!$D",H55)),INDIRECT(CONCATENATE("'Data Base'!$E",H55))))*((100-L55)/100))),IF(OR(EXACT(P55,"مستخرج از طرح پژوهشي محرمانه"),EXACT(P55,"مشترك با اساتيد دانشگاه خارج از كشور")),(1.2*(F55*N55*(IF(EXACT(J55,"نفر اول"),INDIRECT(CONCATENATE("'Data Base'!$D",H55)),INDIRECT(CONCATENATE("'Data Base'!$E",H55))))*((100-L55)/100))),(F55*N55*(IF(EXACT(J55,"نفر اول"),INDIRECT(CONCATENATE("'Data Base'!$d",H55)),INDIRECT(CONCATENATE("'Data Base'!$e",H55))))*((100-L55)/100)))))))</f>
        <v>0</v>
      </c>
      <c r="S54" s="535">
        <f t="shared" ref="S54" ca="1" si="53">IF(OR(EXACT(H54,""),EXACT(B54,""),EXACT(F56,""),EXACT(H56,""),EXACT(J56,""),EXACT(L56,""),EXACT(N56,""),EXACT(F54,""),EXACT(J54,""),EXACT(M54,""),EXACT(N54,""),EXACT(O54,""),EXACT(P54,"")),0,IF(OR(EXACT(P56,"مقاله پر استناد"),EXACT(P56,"مقاله داغ"),EXACT(P56,"مستخرج از برنامه تحقيقاتي ملي معطوف به رفع مشكلات كشور")),(1.5*(F56*N56*(IF(EXACT(J56,"نفر اول"),INDIRECT(CONCATENATE("'Data Base'!$d",H56)),INDIRECT(CONCATENATE("'Data Base'!$E",H56))))*((100-L56)/100))),IF(EXACT(P56,"Short Article"),(0.5*(F56*N56*(IF(EXACT(J56,"نفر اول"),INDIRECT(CONCATENATE("'Data Base'!$D",H56)),INDIRECT(CONCATENATE("'Data Base'!$E",H56))))*((100-L56)/100))),IF(EXACT(P56,"چاپ شده در نشريات بسيار پر استناد Nature و Science"),(2*(F56*N56*(IF(EXACT(J56,"نفر اول"),INDIRECT(CONCATENATE("'Data Base'!$D",H56)),INDIRECT(CONCATENATE("'Data Base'!$E",H56))))*((100-L56)/100))),IF(OR(EXACT(P56,"مستخرج از طرح پژوهشي محرمانه"),EXACT(P56,"مشترك با اساتيد دانشگاه خارج از كشور")),(1.2*(F56*N56*(IF(EXACT(J56,"نفر اول"),INDIRECT(CONCATENATE("'Data Base'!$D",H56)),INDIRECT(CONCATENATE("'Data Base'!$E",H56))))*((100-L56)/100))),(F56*N56*(IF(EXACT(J56,"نفر اول"),INDIRECT(CONCATENATE("'Data Base'!$D",H56)),INDIRECT(CONCATENATE("'Data Base'!$E",H56))))*((100-L56)/100)))))))</f>
        <v>0</v>
      </c>
      <c r="T54" s="147"/>
      <c r="U54" s="1414"/>
      <c r="Z54" s="19">
        <f>SUM(Z51,AA54)</f>
        <v>0</v>
      </c>
      <c r="AA54" s="19">
        <f>IF(OR(OR(B54="",F54="",H54="",J54="",P54=""),AND(M54="",O54="")),0,1)</f>
        <v>0</v>
      </c>
      <c r="AB54" s="19">
        <f t="shared" ref="AB54" ca="1" si="54">IF(AND(AA54=1,S54&gt;0),1,0)</f>
        <v>0</v>
      </c>
      <c r="AC54" s="19">
        <f t="shared" ref="AC54" ca="1" si="55">IF(AND(AA54=1,S54&lt;1),1,0)</f>
        <v>0</v>
      </c>
      <c r="AD54" s="19">
        <f ca="1">IF(AND(AA54=1,S54&gt;=1,AJ54=1),1,0)</f>
        <v>0</v>
      </c>
      <c r="AE54" s="19">
        <f ca="1">IF(AD54=1,S54,0)</f>
        <v>0</v>
      </c>
      <c r="AF54" s="19">
        <f ca="1">IF(AND(AA54=1,S54&gt;=1,AJ54=1,AR56=1),1,0)</f>
        <v>0</v>
      </c>
      <c r="AG54" s="19">
        <f ca="1">IF(AF54=1,S54,0)</f>
        <v>0</v>
      </c>
      <c r="AH54" s="19">
        <f>IF(OR(EXACT(H54,"JCR-Q1"),EXACT(H54,"JCR-Q2")),(1),(0))</f>
        <v>0</v>
      </c>
      <c r="AI54" s="19">
        <f>IF(OR(EXACT(H54,"JCR-Q1"),EXACT(H54,"JCR-Q2"),EXACT(H54,"JCR-Q3")),(1),(0))</f>
        <v>0</v>
      </c>
      <c r="AJ54" s="19">
        <f>IF(OR(EXACT(H54,"JCR-Q1"),EXACT(H54,"JCR-Q2"),EXACT(H54,"JCR-Q3"),EXACT(H54,"JCR-Q4")),(1),(0))</f>
        <v>0</v>
      </c>
      <c r="AK54" s="19">
        <f>IF(OR(EXACT(H54,"JCR-Q1"),EXACT(H54,"JCR-Q2"),EXACT(H54,"JCR-Q3"),EXACT(H54,"JCR-Q4"),EXACT(H54,"WOS")),(1),(0))</f>
        <v>0</v>
      </c>
      <c r="AL54" s="19">
        <f>IF(OR(EXACT(H54,"JCR-Q1"),EXACT(H54,"JCR-Q2"),EXACT(H54,"JCR-Q3"),EXACT(H54,"JCR-Q4"),EXACT(H54,"WOS"),EXACT(H54,"Scopus")),(1),(0))</f>
        <v>0</v>
      </c>
      <c r="AM54" s="19">
        <f>IF(OR(EXACT(H54,'Data Base'!$B$21),EXACT(H54,'Data Base'!$B$22)),(1),(0))</f>
        <v>0</v>
      </c>
    </row>
    <row r="55" spans="1:83" ht="20.25" customHeight="1">
      <c r="A55" s="1416" t="s">
        <v>29</v>
      </c>
      <c r="B55" s="1417"/>
      <c r="C55" s="1417"/>
      <c r="D55" s="1418"/>
      <c r="E55" s="514" t="s">
        <v>1001</v>
      </c>
      <c r="F55" s="515"/>
      <c r="G55" s="516" t="s">
        <v>801</v>
      </c>
      <c r="H55" s="517"/>
      <c r="I55" s="516" t="s">
        <v>1002</v>
      </c>
      <c r="J55" s="518"/>
      <c r="K55" s="516" t="s">
        <v>1003</v>
      </c>
      <c r="L55" s="519"/>
      <c r="M55" s="516" t="s">
        <v>1004</v>
      </c>
      <c r="N55" s="520"/>
      <c r="O55" s="1266" t="s">
        <v>55</v>
      </c>
      <c r="P55" s="1419"/>
      <c r="Q55" s="1419"/>
      <c r="R55" s="1419"/>
      <c r="S55" s="1419"/>
      <c r="T55" s="1419"/>
      <c r="U55" s="1415"/>
      <c r="AN55" s="19">
        <f>IF(AND(AA54=1,EXACT(J55,"نفر اول")),(1),(0))</f>
        <v>0</v>
      </c>
      <c r="AO55" s="19">
        <f>IF(AN55=1,R54,0)</f>
        <v>0</v>
      </c>
      <c r="AP55" s="19">
        <f>IF(AND(AA54=1,EXACT(J55,"همكار")),(1),(0))</f>
        <v>0</v>
      </c>
      <c r="AQ55" s="19">
        <f>IF(AP55=1,R54,0)</f>
        <v>0</v>
      </c>
      <c r="AV55" s="19">
        <f>IF((AH54=1),R54,0)</f>
        <v>0</v>
      </c>
      <c r="AW55" s="19">
        <f>IF(AND(EXACT(AN55,"1"),EXACT(AH54,"1")),(1),(0))</f>
        <v>0</v>
      </c>
      <c r="AX55" s="19">
        <f>IF((AW55=1),AV55,0)</f>
        <v>0</v>
      </c>
      <c r="BB55" s="19">
        <f>IF((AI54=1),R54,0)</f>
        <v>0</v>
      </c>
      <c r="BC55" s="19">
        <f>IF(AND(EXACT(AI54,"1"),EXACT(AN55,"1")),(1),(0))</f>
        <v>0</v>
      </c>
      <c r="BD55" s="19">
        <f>IF((BC55=1),BB55,0)</f>
        <v>0</v>
      </c>
      <c r="BH55" s="19">
        <f>IF((AJ54=1),R54,0)</f>
        <v>0</v>
      </c>
      <c r="BI55" s="19">
        <f>IF(AND(EXACT(AJ54,"1"),EXACT(AN55,"1")),(1),(0))</f>
        <v>0</v>
      </c>
      <c r="BJ55" s="19">
        <f>IF((BI55=1),BH55,0)</f>
        <v>0</v>
      </c>
      <c r="BN55" s="19">
        <f>IF((AK54=1),R54,0)</f>
        <v>0</v>
      </c>
      <c r="BO55" s="19">
        <f>IF(AND(EXACT(AK54,"1"),EXACT(AN55,"1")),(1),(0))</f>
        <v>0</v>
      </c>
      <c r="BP55" s="19">
        <f>IF((BO55=1),BN55,0)</f>
        <v>0</v>
      </c>
      <c r="BT55" s="19">
        <f>IF((AL54=1),R54,0)</f>
        <v>0</v>
      </c>
      <c r="BU55" s="19">
        <f>IF(AND(EXACT(AN55,"1"),EXACT(AL54,"1")),(1),(0))</f>
        <v>0</v>
      </c>
      <c r="BV55" s="19">
        <f>IF((BU55=1),BT55,0)</f>
        <v>0</v>
      </c>
      <c r="BZ55" s="19">
        <f>IF((AM54=1),R54,0)</f>
        <v>0</v>
      </c>
      <c r="CA55" s="19">
        <f>IF(AND(EXACT(AM54,"1"),EXACT(AN55,"1")),(1),(0))</f>
        <v>0</v>
      </c>
      <c r="CB55" s="19">
        <f>IF((CA55=1),BZ55,0)</f>
        <v>0</v>
      </c>
    </row>
    <row r="56" spans="1:83" ht="20.25">
      <c r="A56" s="1420" t="s">
        <v>30</v>
      </c>
      <c r="B56" s="1421"/>
      <c r="C56" s="1421"/>
      <c r="D56" s="1422"/>
      <c r="E56" s="536" t="s">
        <v>1001</v>
      </c>
      <c r="F56" s="537"/>
      <c r="G56" s="538" t="s">
        <v>801</v>
      </c>
      <c r="H56" s="539"/>
      <c r="I56" s="538" t="s">
        <v>1002</v>
      </c>
      <c r="J56" s="525"/>
      <c r="K56" s="538" t="s">
        <v>1003</v>
      </c>
      <c r="L56" s="540"/>
      <c r="M56" s="538" t="s">
        <v>1004</v>
      </c>
      <c r="N56" s="541"/>
      <c r="O56" s="1266"/>
      <c r="P56" s="1423"/>
      <c r="Q56" s="1423"/>
      <c r="R56" s="1423"/>
      <c r="S56" s="1423"/>
      <c r="T56" s="1423"/>
      <c r="U56" s="1415"/>
      <c r="AR56" s="19">
        <f>IF(AND(AA54=1,EXACT(J56,"نفر اول")),(1),(0))</f>
        <v>0</v>
      </c>
      <c r="AS56" s="19">
        <f>IF(AR56=1,S54,0)</f>
        <v>0</v>
      </c>
      <c r="AT56" s="19">
        <f>IF(AND(AA54=1,EXACT(J56,"همكار")),(1),(0))</f>
        <v>0</v>
      </c>
      <c r="AU56" s="19">
        <f>IF(AT56=1,S54,0)</f>
        <v>0</v>
      </c>
      <c r="AY56" s="19">
        <f>IF((AH54=1),S54,0)</f>
        <v>0</v>
      </c>
      <c r="AZ56" s="19">
        <f>IF(AND(EXACT(AR56,"1"),EXACT(AH54,"1")),(1),(0))</f>
        <v>0</v>
      </c>
      <c r="BA56" s="19">
        <f>IF((AZ56=1),AY56,0)</f>
        <v>0</v>
      </c>
      <c r="BE56" s="19">
        <f>IF((AI54=1),S54,0)</f>
        <v>0</v>
      </c>
      <c r="BF56" s="19">
        <f>IF(AND(EXACT(AI54,"1"),EXACT(AR56,"1")),(1),(0))</f>
        <v>0</v>
      </c>
      <c r="BG56" s="19">
        <f>IF((BF56=1),BE56,0)</f>
        <v>0</v>
      </c>
      <c r="BK56" s="19">
        <f>IF((AJ54=1),S54,0)</f>
        <v>0</v>
      </c>
      <c r="BL56" s="19">
        <f>IF(AND(EXACT(AJ54,"1"),EXACT(AR56,"1")),(1),(0))</f>
        <v>0</v>
      </c>
      <c r="BM56" s="19">
        <f>IF((BL56=1),BK56,0)</f>
        <v>0</v>
      </c>
      <c r="BQ56" s="19">
        <f>IF((AJ54=1),S54,0)</f>
        <v>0</v>
      </c>
      <c r="BR56" s="19">
        <f>IF(AND(EXACT(AJ54,"1"),EXACT(AR56,"1")),(1),(0))</f>
        <v>0</v>
      </c>
      <c r="BS56" s="19">
        <f>IF((BL56=1),BK56,0)</f>
        <v>0</v>
      </c>
      <c r="BW56" s="19">
        <f>IF((AL54=1),S54,0)</f>
        <v>0</v>
      </c>
      <c r="BX56" s="19">
        <f>IF(AND(EXACT(AL54,"1"),EXACT(AR56,"1")),(1),(0))</f>
        <v>0</v>
      </c>
      <c r="BY56" s="19">
        <f>IF((BX56=1),BW56,0)</f>
        <v>0</v>
      </c>
      <c r="CC56" s="19">
        <f>IF((AM54=1),R54,0)</f>
        <v>0</v>
      </c>
      <c r="CD56" s="19">
        <f>IF(AND(EXACT(AM54,"1"),EXACT(AR56,"1")),(1),(0))</f>
        <v>0</v>
      </c>
      <c r="CE56" s="19">
        <f>IF((CD56=1),CC56,0)</f>
        <v>0</v>
      </c>
    </row>
    <row r="57" spans="1:83" ht="20.25">
      <c r="A57" s="12">
        <f>IF(AA57=0,0,IF(AA54=0,Z57,SUM(A54,AA57)))</f>
        <v>0</v>
      </c>
      <c r="B57" s="1157"/>
      <c r="C57" s="1157"/>
      <c r="D57" s="1157"/>
      <c r="E57" s="1182"/>
      <c r="F57" s="1424"/>
      <c r="G57" s="1424"/>
      <c r="H57" s="527"/>
      <c r="I57" s="528"/>
      <c r="J57" s="529"/>
      <c r="K57" s="530"/>
      <c r="L57" s="531"/>
      <c r="M57" s="532"/>
      <c r="N57" s="533"/>
      <c r="O57" s="532"/>
      <c r="P57" s="1182"/>
      <c r="Q57" s="1182"/>
      <c r="R57" s="534">
        <f t="shared" ref="R57" ca="1" si="56">IF(OR(EXACT(H57,""),EXACT(B57,""),EXACT(F58,""),EXACT(H58,""),EXACT(J58,""),EXACT(L58,""),EXACT(N58,""),EXACT(F57,""),EXACT(J57,""),EXACT(M57,""),EXACT(N57,""),EXACT(O57,""),EXACT(P57,"")),0,IF(OR(EXACT(P58,"مقاله پر استناد"),EXACT(P58,"مقاله داغ"),EXACT(P58,"مستخرج از برنامه تحقيقاتي ملي معطوف به رفع مشكلات كشور")),(1.5*(F58*N58*(IF(EXACT(J58,"نفر اول"),INDIRECT(CONCATENATE("'Data Base'!$d",H58)),INDIRECT(CONCATENATE("'Data Base'!$e",H58))))*((100-L58)/100))),IF(EXACT(P58,"Short Article"),(0.5*(F58*N58*(IF(EXACT(J58,"نفر اول"),INDIRECT(CONCATENATE("'Data Base'!$D",H58)),INDIRECT(CONCATENATE("'Data Base'!$E",H58))))*((100-L58)/100))),IF(EXACT(P58,"چاپ شده در نشريات بسيار پر استناد Nature و Science"),(2*(F58*N58*(IF(EXACT(J58,"نفر اول"),INDIRECT(CONCATENATE("'Data Base'!$D",H58)),INDIRECT(CONCATENATE("'Data Base'!$E",H58))))*((100-L58)/100))),IF(OR(EXACT(P58,"مستخرج از طرح پژوهشي محرمانه"),EXACT(P58,"مشترك با اساتيد دانشگاه خارج از كشور")),(1.2*(F58*N58*(IF(EXACT(J58,"نفر اول"),INDIRECT(CONCATENATE("'Data Base'!$D",H58)),INDIRECT(CONCATENATE("'Data Base'!$E",H58))))*((100-L58)/100))),(F58*N58*(IF(EXACT(J58,"نفر اول"),INDIRECT(CONCATENATE("'Data Base'!$d",H58)),INDIRECT(CONCATENATE("'Data Base'!$e",H58))))*((100-L58)/100)))))))</f>
        <v>0</v>
      </c>
      <c r="S57" s="535">
        <f t="shared" ref="S57" ca="1" si="57">IF(OR(EXACT(H57,""),EXACT(B57,""),EXACT(F59,""),EXACT(H59,""),EXACT(J59,""),EXACT(L59,""),EXACT(N59,""),EXACT(F57,""),EXACT(J57,""),EXACT(M57,""),EXACT(N57,""),EXACT(O57,""),EXACT(P57,"")),0,IF(OR(EXACT(P59,"مقاله پر استناد"),EXACT(P59,"مقاله داغ"),EXACT(P59,"مستخرج از برنامه تحقيقاتي ملي معطوف به رفع مشكلات كشور")),(1.5*(F59*N59*(IF(EXACT(J59,"نفر اول"),INDIRECT(CONCATENATE("'Data Base'!$d",H59)),INDIRECT(CONCATENATE("'Data Base'!$E",H59))))*((100-L59)/100))),IF(EXACT(P59,"Short Article"),(0.5*(F59*N59*(IF(EXACT(J59,"نفر اول"),INDIRECT(CONCATENATE("'Data Base'!$D",H59)),INDIRECT(CONCATENATE("'Data Base'!$E",H59))))*((100-L59)/100))),IF(EXACT(P59,"چاپ شده در نشريات بسيار پر استناد Nature و Science"),(2*(F59*N59*(IF(EXACT(J59,"نفر اول"),INDIRECT(CONCATENATE("'Data Base'!$D",H59)),INDIRECT(CONCATENATE("'Data Base'!$E",H59))))*((100-L59)/100))),IF(OR(EXACT(P59,"مستخرج از طرح پژوهشي محرمانه"),EXACT(P59,"مشترك با اساتيد دانشگاه خارج از كشور")),(1.2*(F59*N59*(IF(EXACT(J59,"نفر اول"),INDIRECT(CONCATENATE("'Data Base'!$D",H59)),INDIRECT(CONCATENATE("'Data Base'!$E",H59))))*((100-L59)/100))),(F59*N59*(IF(EXACT(J59,"نفر اول"),INDIRECT(CONCATENATE("'Data Base'!$D",H59)),INDIRECT(CONCATENATE("'Data Base'!$E",H59))))*((100-L59)/100)))))))</f>
        <v>0</v>
      </c>
      <c r="T57" s="147"/>
      <c r="U57" s="1414"/>
      <c r="Z57" s="19">
        <f>SUM(Z54,AA57)</f>
        <v>0</v>
      </c>
      <c r="AA57" s="19">
        <f>IF(OR(OR(B57="",F57="",H57="",J57="",P57=""),AND(M57="",O57="")),0,1)</f>
        <v>0</v>
      </c>
      <c r="AB57" s="19">
        <f t="shared" ref="AB57" ca="1" si="58">IF(AND(AA57=1,S57&gt;0),1,0)</f>
        <v>0</v>
      </c>
      <c r="AC57" s="19">
        <f t="shared" ref="AC57" ca="1" si="59">IF(AND(AA57=1,S57&lt;1),1,0)</f>
        <v>0</v>
      </c>
      <c r="AD57" s="19">
        <f ca="1">IF(AND(AA57=1,S57&gt;=1,AJ57=1),1,0)</f>
        <v>0</v>
      </c>
      <c r="AE57" s="19">
        <f ca="1">IF(AD57=1,S57,0)</f>
        <v>0</v>
      </c>
      <c r="AF57" s="19">
        <f ca="1">IF(AND(AA57=1,S57&gt;=1,AJ57=1,AR59=1),1,0)</f>
        <v>0</v>
      </c>
      <c r="AG57" s="19">
        <f ca="1">IF(AF57=1,S57,0)</f>
        <v>0</v>
      </c>
      <c r="AH57" s="19">
        <f>IF(OR(EXACT(H57,"JCR-Q1"),EXACT(H57,"JCR-Q2")),(1),(0))</f>
        <v>0</v>
      </c>
      <c r="AI57" s="19">
        <f>IF(OR(EXACT(H57,"JCR-Q1"),EXACT(H57,"JCR-Q2"),EXACT(H57,"JCR-Q3")),(1),(0))</f>
        <v>0</v>
      </c>
      <c r="AJ57" s="19">
        <f>IF(OR(EXACT(H57,"JCR-Q1"),EXACT(H57,"JCR-Q2"),EXACT(H57,"JCR-Q3"),EXACT(H57,"JCR-Q4")),(1),(0))</f>
        <v>0</v>
      </c>
      <c r="AK57" s="19">
        <f>IF(OR(EXACT(H57,"JCR-Q1"),EXACT(H57,"JCR-Q2"),EXACT(H57,"JCR-Q3"),EXACT(H57,"JCR-Q4"),EXACT(H57,"WOS")),(1),(0))</f>
        <v>0</v>
      </c>
      <c r="AL57" s="19">
        <f>IF(OR(EXACT(H57,"JCR-Q1"),EXACT(H57,"JCR-Q2"),EXACT(H57,"JCR-Q3"),EXACT(H57,"JCR-Q4"),EXACT(H57,"WOS"),EXACT(H57,"Scopus")),(1),(0))</f>
        <v>0</v>
      </c>
      <c r="AM57" s="19">
        <f>IF(OR(EXACT(H57,'Data Base'!$B$21),EXACT(H57,'Data Base'!$B$22)),(1),(0))</f>
        <v>0</v>
      </c>
    </row>
    <row r="58" spans="1:83" ht="20.25" customHeight="1">
      <c r="A58" s="1416" t="s">
        <v>29</v>
      </c>
      <c r="B58" s="1417"/>
      <c r="C58" s="1417"/>
      <c r="D58" s="1418"/>
      <c r="E58" s="514" t="s">
        <v>1001</v>
      </c>
      <c r="F58" s="515"/>
      <c r="G58" s="516" t="s">
        <v>801</v>
      </c>
      <c r="H58" s="517"/>
      <c r="I58" s="516" t="s">
        <v>1002</v>
      </c>
      <c r="J58" s="518"/>
      <c r="K58" s="516" t="s">
        <v>1003</v>
      </c>
      <c r="L58" s="519"/>
      <c r="M58" s="516" t="s">
        <v>1004</v>
      </c>
      <c r="N58" s="520"/>
      <c r="O58" s="1266" t="s">
        <v>55</v>
      </c>
      <c r="P58" s="1419"/>
      <c r="Q58" s="1419"/>
      <c r="R58" s="1419"/>
      <c r="S58" s="1419"/>
      <c r="T58" s="1419"/>
      <c r="U58" s="1415"/>
      <c r="AN58" s="19">
        <f>IF(AND(AA57=1,EXACT(J58,"نفر اول")),(1),(0))</f>
        <v>0</v>
      </c>
      <c r="AO58" s="19">
        <f>IF(AN58=1,R57,0)</f>
        <v>0</v>
      </c>
      <c r="AP58" s="19">
        <f>IF(AND(AA57=1,EXACT(J58,"همكار")),(1),(0))</f>
        <v>0</v>
      </c>
      <c r="AQ58" s="19">
        <f>IF(AP58=1,R57,0)</f>
        <v>0</v>
      </c>
      <c r="AV58" s="19">
        <f>IF((AH57=1),R57,0)</f>
        <v>0</v>
      </c>
      <c r="AW58" s="19">
        <f>IF(AND(EXACT(AN58,"1"),EXACT(AH57,"1")),(1),(0))</f>
        <v>0</v>
      </c>
      <c r="AX58" s="19">
        <f>IF((AW58=1),AV58,0)</f>
        <v>0</v>
      </c>
      <c r="BB58" s="19">
        <f>IF((AI57=1),R57,0)</f>
        <v>0</v>
      </c>
      <c r="BC58" s="19">
        <f>IF(AND(EXACT(AI57,"1"),EXACT(AN58,"1")),(1),(0))</f>
        <v>0</v>
      </c>
      <c r="BD58" s="19">
        <f>IF((BC58=1),BB58,0)</f>
        <v>0</v>
      </c>
      <c r="BH58" s="19">
        <f>IF((AJ57=1),R57,0)</f>
        <v>0</v>
      </c>
      <c r="BI58" s="19">
        <f>IF(AND(EXACT(AJ57,"1"),EXACT(AN58,"1")),(1),(0))</f>
        <v>0</v>
      </c>
      <c r="BJ58" s="19">
        <f>IF((BI58=1),BH58,0)</f>
        <v>0</v>
      </c>
      <c r="BN58" s="19">
        <f>IF((AK57=1),R57,0)</f>
        <v>0</v>
      </c>
      <c r="BO58" s="19">
        <f>IF(AND(EXACT(AK57,"1"),EXACT(AN58,"1")),(1),(0))</f>
        <v>0</v>
      </c>
      <c r="BP58" s="19">
        <f>IF((BO58=1),BN58,0)</f>
        <v>0</v>
      </c>
      <c r="BT58" s="19">
        <f>IF((AL57=1),R57,0)</f>
        <v>0</v>
      </c>
      <c r="BU58" s="19">
        <f>IF(AND(EXACT(AN58,"1"),EXACT(AL57,"1")),(1),(0))</f>
        <v>0</v>
      </c>
      <c r="BV58" s="19">
        <f>IF((BU58=1),BT58,0)</f>
        <v>0</v>
      </c>
      <c r="BZ58" s="19">
        <f>IF((AM57=1),R57,0)</f>
        <v>0</v>
      </c>
      <c r="CA58" s="19">
        <f>IF(AND(EXACT(AM57,"1"),EXACT(AN58,"1")),(1),(0))</f>
        <v>0</v>
      </c>
      <c r="CB58" s="19">
        <f>IF((CA58=1),BZ58,0)</f>
        <v>0</v>
      </c>
    </row>
    <row r="59" spans="1:83" ht="20.25">
      <c r="A59" s="1420" t="s">
        <v>30</v>
      </c>
      <c r="B59" s="1421"/>
      <c r="C59" s="1421"/>
      <c r="D59" s="1422"/>
      <c r="E59" s="536" t="s">
        <v>1001</v>
      </c>
      <c r="F59" s="537"/>
      <c r="G59" s="538" t="s">
        <v>801</v>
      </c>
      <c r="H59" s="539"/>
      <c r="I59" s="538" t="s">
        <v>1002</v>
      </c>
      <c r="J59" s="525"/>
      <c r="K59" s="538" t="s">
        <v>1003</v>
      </c>
      <c r="L59" s="540"/>
      <c r="M59" s="538" t="s">
        <v>1004</v>
      </c>
      <c r="N59" s="541"/>
      <c r="O59" s="1266"/>
      <c r="P59" s="1423"/>
      <c r="Q59" s="1423"/>
      <c r="R59" s="1423"/>
      <c r="S59" s="1423"/>
      <c r="T59" s="1423"/>
      <c r="U59" s="1415"/>
      <c r="AR59" s="19">
        <f>IF(AND(AA57=1,EXACT(J59,"نفر اول")),(1),(0))</f>
        <v>0</v>
      </c>
      <c r="AS59" s="19">
        <f>IF(AR59=1,S57,0)</f>
        <v>0</v>
      </c>
      <c r="AT59" s="19">
        <f>IF(AND(AA57=1,EXACT(J59,"همكار")),(1),(0))</f>
        <v>0</v>
      </c>
      <c r="AU59" s="19">
        <f>IF(AT59=1,S57,0)</f>
        <v>0</v>
      </c>
      <c r="AY59" s="19">
        <f>IF((AH57=1),S57,0)</f>
        <v>0</v>
      </c>
      <c r="AZ59" s="19">
        <f>IF(AND(EXACT(AR59,"1"),EXACT(AH57,"1")),(1),(0))</f>
        <v>0</v>
      </c>
      <c r="BA59" s="19">
        <f>IF((AZ59=1),AY59,0)</f>
        <v>0</v>
      </c>
      <c r="BE59" s="19">
        <f>IF((AI57=1),S57,0)</f>
        <v>0</v>
      </c>
      <c r="BF59" s="19">
        <f>IF(AND(EXACT(AI57,"1"),EXACT(AR59,"1")),(1),(0))</f>
        <v>0</v>
      </c>
      <c r="BG59" s="19">
        <f>IF((BF59=1),BE59,0)</f>
        <v>0</v>
      </c>
      <c r="BK59" s="19">
        <f>IF((AJ57=1),S57,0)</f>
        <v>0</v>
      </c>
      <c r="BL59" s="19">
        <f>IF(AND(EXACT(AJ57,"1"),EXACT(AR59,"1")),(1),(0))</f>
        <v>0</v>
      </c>
      <c r="BM59" s="19">
        <f>IF((BL59=1),BK59,0)</f>
        <v>0</v>
      </c>
      <c r="BQ59" s="19">
        <f>IF((AJ57=1),S57,0)</f>
        <v>0</v>
      </c>
      <c r="BR59" s="19">
        <f>IF(AND(EXACT(AJ57,"1"),EXACT(AR59,"1")),(1),(0))</f>
        <v>0</v>
      </c>
      <c r="BS59" s="19">
        <f>IF((BL59=1),BK59,0)</f>
        <v>0</v>
      </c>
      <c r="BW59" s="19">
        <f>IF((AL57=1),S57,0)</f>
        <v>0</v>
      </c>
      <c r="BX59" s="19">
        <f>IF(AND(EXACT(AL57,"1"),EXACT(AR59,"1")),(1),(0))</f>
        <v>0</v>
      </c>
      <c r="BY59" s="19">
        <f>IF((BX59=1),BW59,0)</f>
        <v>0</v>
      </c>
      <c r="CC59" s="19">
        <f>IF((AM57=1),R57,0)</f>
        <v>0</v>
      </c>
      <c r="CD59" s="19">
        <f>IF(AND(EXACT(AM57,"1"),EXACT(AR59,"1")),(1),(0))</f>
        <v>0</v>
      </c>
      <c r="CE59" s="19">
        <f>IF((CD59=1),CC59,0)</f>
        <v>0</v>
      </c>
    </row>
    <row r="60" spans="1:83" ht="20.25">
      <c r="A60" s="12">
        <f>IF(AA60=0,0,IF(AA57=0,Z60,SUM(A57,AA60)))</f>
        <v>0</v>
      </c>
      <c r="B60" s="1157"/>
      <c r="C60" s="1157"/>
      <c r="D60" s="1157"/>
      <c r="E60" s="1182"/>
      <c r="F60" s="1424"/>
      <c r="G60" s="1424"/>
      <c r="H60" s="527"/>
      <c r="I60" s="528"/>
      <c r="J60" s="529"/>
      <c r="K60" s="530"/>
      <c r="L60" s="531"/>
      <c r="M60" s="532"/>
      <c r="N60" s="533"/>
      <c r="O60" s="532"/>
      <c r="P60" s="1182"/>
      <c r="Q60" s="1182"/>
      <c r="R60" s="534">
        <f t="shared" ref="R60" ca="1" si="60">IF(OR(EXACT(H60,""),EXACT(B60,""),EXACT(F61,""),EXACT(H61,""),EXACT(J61,""),EXACT(L61,""),EXACT(N61,""),EXACT(F60,""),EXACT(J60,""),EXACT(M60,""),EXACT(N60,""),EXACT(O60,""),EXACT(P60,"")),0,IF(OR(EXACT(P61,"مقاله پر استناد"),EXACT(P61,"مقاله داغ"),EXACT(P61,"مستخرج از برنامه تحقيقاتي ملي معطوف به رفع مشكلات كشور")),(1.5*(F61*N61*(IF(EXACT(J61,"نفر اول"),INDIRECT(CONCATENATE("'Data Base'!$d",H61)),INDIRECT(CONCATENATE("'Data Base'!$e",H61))))*((100-L61)/100))),IF(EXACT(P61,"Short Article"),(0.5*(F61*N61*(IF(EXACT(J61,"نفر اول"),INDIRECT(CONCATENATE("'Data Base'!$D",H61)),INDIRECT(CONCATENATE("'Data Base'!$E",H61))))*((100-L61)/100))),IF(EXACT(P61,"چاپ شده در نشريات بسيار پر استناد Nature و Science"),(2*(F61*N61*(IF(EXACT(J61,"نفر اول"),INDIRECT(CONCATENATE("'Data Base'!$D",H61)),INDIRECT(CONCATENATE("'Data Base'!$E",H61))))*((100-L61)/100))),IF(OR(EXACT(P61,"مستخرج از طرح پژوهشي محرمانه"),EXACT(P61,"مشترك با اساتيد دانشگاه خارج از كشور")),(1.2*(F61*N61*(IF(EXACT(J61,"نفر اول"),INDIRECT(CONCATENATE("'Data Base'!$D",H61)),INDIRECT(CONCATENATE("'Data Base'!$E",H61))))*((100-L61)/100))),(F61*N61*(IF(EXACT(J61,"نفر اول"),INDIRECT(CONCATENATE("'Data Base'!$d",H61)),INDIRECT(CONCATENATE("'Data Base'!$e",H61))))*((100-L61)/100)))))))</f>
        <v>0</v>
      </c>
      <c r="S60" s="535">
        <f t="shared" ref="S60" ca="1" si="61">IF(OR(EXACT(H60,""),EXACT(B60,""),EXACT(F62,""),EXACT(H62,""),EXACT(J62,""),EXACT(L62,""),EXACT(N62,""),EXACT(F60,""),EXACT(J60,""),EXACT(M60,""),EXACT(N60,""),EXACT(O60,""),EXACT(P60,"")),0,IF(OR(EXACT(P62,"مقاله پر استناد"),EXACT(P62,"مقاله داغ"),EXACT(P62,"مستخرج از برنامه تحقيقاتي ملي معطوف به رفع مشكلات كشور")),(1.5*(F62*N62*(IF(EXACT(J62,"نفر اول"),INDIRECT(CONCATENATE("'Data Base'!$d",H62)),INDIRECT(CONCATENATE("'Data Base'!$E",H62))))*((100-L62)/100))),IF(EXACT(P62,"Short Article"),(0.5*(F62*N62*(IF(EXACT(J62,"نفر اول"),INDIRECT(CONCATENATE("'Data Base'!$D",H62)),INDIRECT(CONCATENATE("'Data Base'!$E",H62))))*((100-L62)/100))),IF(EXACT(P62,"چاپ شده در نشريات بسيار پر استناد Nature و Science"),(2*(F62*N62*(IF(EXACT(J62,"نفر اول"),INDIRECT(CONCATENATE("'Data Base'!$D",H62)),INDIRECT(CONCATENATE("'Data Base'!$E",H62))))*((100-L62)/100))),IF(OR(EXACT(P62,"مستخرج از طرح پژوهشي محرمانه"),EXACT(P62,"مشترك با اساتيد دانشگاه خارج از كشور")),(1.2*(F62*N62*(IF(EXACT(J62,"نفر اول"),INDIRECT(CONCATENATE("'Data Base'!$D",H62)),INDIRECT(CONCATENATE("'Data Base'!$E",H62))))*((100-L62)/100))),(F62*N62*(IF(EXACT(J62,"نفر اول"),INDIRECT(CONCATENATE("'Data Base'!$D",H62)),INDIRECT(CONCATENATE("'Data Base'!$E",H62))))*((100-L62)/100)))))))</f>
        <v>0</v>
      </c>
      <c r="T60" s="147"/>
      <c r="U60" s="1414"/>
      <c r="Z60" s="19">
        <f>SUM(Z57,AA60)</f>
        <v>0</v>
      </c>
      <c r="AA60" s="19">
        <f>IF(OR(OR(B60="",F60="",H60="",J60="",P60=""),AND(M60="",O60="")),0,1)</f>
        <v>0</v>
      </c>
      <c r="AB60" s="19">
        <f t="shared" ref="AB60" ca="1" si="62">IF(AND(AA60=1,S60&gt;0),1,0)</f>
        <v>0</v>
      </c>
      <c r="AC60" s="19">
        <f t="shared" ref="AC60" ca="1" si="63">IF(AND(AA60=1,S60&lt;1),1,0)</f>
        <v>0</v>
      </c>
      <c r="AD60" s="19">
        <f ca="1">IF(AND(AA60=1,S60&gt;=1,AJ60=1),1,0)</f>
        <v>0</v>
      </c>
      <c r="AE60" s="19">
        <f ca="1">IF(AD60=1,S60,0)</f>
        <v>0</v>
      </c>
      <c r="AF60" s="19">
        <f ca="1">IF(AND(AA60=1,S60&gt;=1,AJ60=1,AR62=1),1,0)</f>
        <v>0</v>
      </c>
      <c r="AG60" s="19">
        <f ca="1">IF(AF60=1,S60,0)</f>
        <v>0</v>
      </c>
      <c r="AH60" s="19">
        <f>IF(OR(EXACT(H60,"JCR-Q1"),EXACT(H60,"JCR-Q2")),(1),(0))</f>
        <v>0</v>
      </c>
      <c r="AI60" s="19">
        <f>IF(OR(EXACT(H60,"JCR-Q1"),EXACT(H60,"JCR-Q2"),EXACT(H60,"JCR-Q3")),(1),(0))</f>
        <v>0</v>
      </c>
      <c r="AJ60" s="19">
        <f>IF(OR(EXACT(H60,"JCR-Q1"),EXACT(H60,"JCR-Q2"),EXACT(H60,"JCR-Q3"),EXACT(H60,"JCR-Q4")),(1),(0))</f>
        <v>0</v>
      </c>
      <c r="AK60" s="19">
        <f>IF(OR(EXACT(H60,"JCR-Q1"),EXACT(H60,"JCR-Q2"),EXACT(H60,"JCR-Q3"),EXACT(H60,"JCR-Q4"),EXACT(H60,"WOS")),(1),(0))</f>
        <v>0</v>
      </c>
      <c r="AL60" s="19">
        <f>IF(OR(EXACT(H60,"JCR-Q1"),EXACT(H60,"JCR-Q2"),EXACT(H60,"JCR-Q3"),EXACT(H60,"JCR-Q4"),EXACT(H60,"WOS"),EXACT(H60,"Scopus")),(1),(0))</f>
        <v>0</v>
      </c>
      <c r="AM60" s="19">
        <f>IF(OR(EXACT(H60,'Data Base'!$B$21),EXACT(H60,'Data Base'!$B$22)),(1),(0))</f>
        <v>0</v>
      </c>
    </row>
    <row r="61" spans="1:83" ht="20.25" customHeight="1">
      <c r="A61" s="1416" t="s">
        <v>29</v>
      </c>
      <c r="B61" s="1417"/>
      <c r="C61" s="1417"/>
      <c r="D61" s="1418"/>
      <c r="E61" s="514" t="s">
        <v>1001</v>
      </c>
      <c r="F61" s="515"/>
      <c r="G61" s="516" t="s">
        <v>801</v>
      </c>
      <c r="H61" s="517"/>
      <c r="I61" s="516" t="s">
        <v>1002</v>
      </c>
      <c r="J61" s="518"/>
      <c r="K61" s="516" t="s">
        <v>1003</v>
      </c>
      <c r="L61" s="519"/>
      <c r="M61" s="516" t="s">
        <v>1004</v>
      </c>
      <c r="N61" s="520"/>
      <c r="O61" s="1266" t="s">
        <v>55</v>
      </c>
      <c r="P61" s="1419"/>
      <c r="Q61" s="1419"/>
      <c r="R61" s="1419"/>
      <c r="S61" s="1419"/>
      <c r="T61" s="1419"/>
      <c r="U61" s="1415"/>
      <c r="AN61" s="19">
        <f>IF(AND(AA60=1,EXACT(J61,"نفر اول")),(1),(0))</f>
        <v>0</v>
      </c>
      <c r="AO61" s="19">
        <f>IF(AN61=1,R60,0)</f>
        <v>0</v>
      </c>
      <c r="AP61" s="19">
        <f>IF(AND(AA60=1,EXACT(J61,"همكار")),(1),(0))</f>
        <v>0</v>
      </c>
      <c r="AQ61" s="19">
        <f>IF(AP61=1,R60,0)</f>
        <v>0</v>
      </c>
      <c r="AV61" s="19">
        <f>IF((AH60=1),R60,0)</f>
        <v>0</v>
      </c>
      <c r="AW61" s="19">
        <f>IF(AND(EXACT(AN61,"1"),EXACT(AH60,"1")),(1),(0))</f>
        <v>0</v>
      </c>
      <c r="AX61" s="19">
        <f>IF((AW61=1),AV61,0)</f>
        <v>0</v>
      </c>
      <c r="BB61" s="19">
        <f>IF((AI60=1),R60,0)</f>
        <v>0</v>
      </c>
      <c r="BC61" s="19">
        <f>IF(AND(EXACT(AI60,"1"),EXACT(AN61,"1")),(1),(0))</f>
        <v>0</v>
      </c>
      <c r="BD61" s="19">
        <f>IF((BC61=1),BB61,0)</f>
        <v>0</v>
      </c>
      <c r="BH61" s="19">
        <f>IF((AJ60=1),R60,0)</f>
        <v>0</v>
      </c>
      <c r="BI61" s="19">
        <f>IF(AND(EXACT(AJ60,"1"),EXACT(AN61,"1")),(1),(0))</f>
        <v>0</v>
      </c>
      <c r="BJ61" s="19">
        <f>IF((BI61=1),BH61,0)</f>
        <v>0</v>
      </c>
      <c r="BN61" s="19">
        <f>IF((AK60=1),R60,0)</f>
        <v>0</v>
      </c>
      <c r="BO61" s="19">
        <f>IF(AND(EXACT(AK60,"1"),EXACT(AN61,"1")),(1),(0))</f>
        <v>0</v>
      </c>
      <c r="BP61" s="19">
        <f>IF((BO61=1),BN61,0)</f>
        <v>0</v>
      </c>
      <c r="BT61" s="19">
        <f>IF((AL60=1),R60,0)</f>
        <v>0</v>
      </c>
      <c r="BU61" s="19">
        <f>IF(AND(EXACT(AN61,"1"),EXACT(AL60,"1")),(1),(0))</f>
        <v>0</v>
      </c>
      <c r="BV61" s="19">
        <f>IF((BU61=1),BT61,0)</f>
        <v>0</v>
      </c>
      <c r="BZ61" s="19">
        <f>IF((AM60=1),R60,0)</f>
        <v>0</v>
      </c>
      <c r="CA61" s="19">
        <f>IF(AND(EXACT(AM60,"1"),EXACT(AN61,"1")),(1),(0))</f>
        <v>0</v>
      </c>
      <c r="CB61" s="19">
        <f>IF((CA61=1),BZ61,0)</f>
        <v>0</v>
      </c>
    </row>
    <row r="62" spans="1:83" ht="20.25">
      <c r="A62" s="1420" t="s">
        <v>30</v>
      </c>
      <c r="B62" s="1421"/>
      <c r="C62" s="1421"/>
      <c r="D62" s="1422"/>
      <c r="E62" s="536" t="s">
        <v>1001</v>
      </c>
      <c r="F62" s="537"/>
      <c r="G62" s="538" t="s">
        <v>801</v>
      </c>
      <c r="H62" s="539"/>
      <c r="I62" s="538" t="s">
        <v>1002</v>
      </c>
      <c r="J62" s="525"/>
      <c r="K62" s="538" t="s">
        <v>1003</v>
      </c>
      <c r="L62" s="540"/>
      <c r="M62" s="538" t="s">
        <v>1004</v>
      </c>
      <c r="N62" s="541"/>
      <c r="O62" s="1266"/>
      <c r="P62" s="1423"/>
      <c r="Q62" s="1423"/>
      <c r="R62" s="1423"/>
      <c r="S62" s="1423"/>
      <c r="T62" s="1423"/>
      <c r="U62" s="1415"/>
      <c r="AR62" s="19">
        <f>IF(AND(AA60=1,EXACT(J62,"نفر اول")),(1),(0))</f>
        <v>0</v>
      </c>
      <c r="AS62" s="19">
        <f>IF(AR62=1,S60,0)</f>
        <v>0</v>
      </c>
      <c r="AT62" s="19">
        <f>IF(AND(AA60=1,EXACT(J62,"همكار")),(1),(0))</f>
        <v>0</v>
      </c>
      <c r="AU62" s="19">
        <f>IF(AT62=1,S60,0)</f>
        <v>0</v>
      </c>
      <c r="AY62" s="19">
        <f>IF((AH60=1),S60,0)</f>
        <v>0</v>
      </c>
      <c r="AZ62" s="19">
        <f>IF(AND(EXACT(AR62,"1"),EXACT(AH60,"1")),(1),(0))</f>
        <v>0</v>
      </c>
      <c r="BA62" s="19">
        <f>IF((AZ62=1),AY62,0)</f>
        <v>0</v>
      </c>
      <c r="BE62" s="19">
        <f>IF((AI60=1),S60,0)</f>
        <v>0</v>
      </c>
      <c r="BF62" s="19">
        <f>IF(AND(EXACT(AI60,"1"),EXACT(AR62,"1")),(1),(0))</f>
        <v>0</v>
      </c>
      <c r="BG62" s="19">
        <f>IF((BF62=1),BE62,0)</f>
        <v>0</v>
      </c>
      <c r="BK62" s="19">
        <f>IF((AJ60=1),S60,0)</f>
        <v>0</v>
      </c>
      <c r="BL62" s="19">
        <f>IF(AND(EXACT(AJ60,"1"),EXACT(AR62,"1")),(1),(0))</f>
        <v>0</v>
      </c>
      <c r="BM62" s="19">
        <f>IF((BL62=1),BK62,0)</f>
        <v>0</v>
      </c>
      <c r="BQ62" s="19">
        <f>IF((AJ60=1),S60,0)</f>
        <v>0</v>
      </c>
      <c r="BR62" s="19">
        <f>IF(AND(EXACT(AJ60,"1"),EXACT(AR62,"1")),(1),(0))</f>
        <v>0</v>
      </c>
      <c r="BS62" s="19">
        <f>IF((BL62=1),BK62,0)</f>
        <v>0</v>
      </c>
      <c r="BW62" s="19">
        <f>IF((AL60=1),S60,0)</f>
        <v>0</v>
      </c>
      <c r="BX62" s="19">
        <f>IF(AND(EXACT(AL60,"1"),EXACT(AR62,"1")),(1),(0))</f>
        <v>0</v>
      </c>
      <c r="BY62" s="19">
        <f>IF((BX62=1),BW62,0)</f>
        <v>0</v>
      </c>
      <c r="CC62" s="19">
        <f>IF((AM60=1),R60,0)</f>
        <v>0</v>
      </c>
      <c r="CD62" s="19">
        <f>IF(AND(EXACT(AM60,"1"),EXACT(AR62,"1")),(1),(0))</f>
        <v>0</v>
      </c>
      <c r="CE62" s="19">
        <f>IF((CD62=1),CC62,0)</f>
        <v>0</v>
      </c>
    </row>
    <row r="63" spans="1:83" ht="20.25">
      <c r="A63" s="12">
        <f>IF(AA63=0,0,IF(AA60=0,Z63,SUM(A60,AA63)))</f>
        <v>0</v>
      </c>
      <c r="B63" s="1157"/>
      <c r="C63" s="1157"/>
      <c r="D63" s="1157"/>
      <c r="E63" s="1182"/>
      <c r="F63" s="1424"/>
      <c r="G63" s="1424"/>
      <c r="H63" s="527"/>
      <c r="I63" s="528"/>
      <c r="J63" s="529"/>
      <c r="K63" s="530"/>
      <c r="L63" s="531"/>
      <c r="M63" s="532"/>
      <c r="N63" s="533"/>
      <c r="O63" s="532"/>
      <c r="P63" s="1182"/>
      <c r="Q63" s="1182"/>
      <c r="R63" s="534">
        <f t="shared" ref="R63" ca="1" si="64">IF(OR(EXACT(H63,""),EXACT(B63,""),EXACT(F64,""),EXACT(H64,""),EXACT(J64,""),EXACT(L64,""),EXACT(N64,""),EXACT(F63,""),EXACT(J63,""),EXACT(M63,""),EXACT(N63,""),EXACT(O63,""),EXACT(P63,"")),0,IF(OR(EXACT(P64,"مقاله پر استناد"),EXACT(P64,"مقاله داغ"),EXACT(P64,"مستخرج از برنامه تحقيقاتي ملي معطوف به رفع مشكلات كشور")),(1.5*(F64*N64*(IF(EXACT(J64,"نفر اول"),INDIRECT(CONCATENATE("'Data Base'!$d",H64)),INDIRECT(CONCATENATE("'Data Base'!$e",H64))))*((100-L64)/100))),IF(EXACT(P64,"Short Article"),(0.5*(F64*N64*(IF(EXACT(J64,"نفر اول"),INDIRECT(CONCATENATE("'Data Base'!$D",H64)),INDIRECT(CONCATENATE("'Data Base'!$E",H64))))*((100-L64)/100))),IF(EXACT(P64,"چاپ شده در نشريات بسيار پر استناد Nature و Science"),(2*(F64*N64*(IF(EXACT(J64,"نفر اول"),INDIRECT(CONCATENATE("'Data Base'!$D",H64)),INDIRECT(CONCATENATE("'Data Base'!$E",H64))))*((100-L64)/100))),IF(OR(EXACT(P64,"مستخرج از طرح پژوهشي محرمانه"),EXACT(P64,"مشترك با اساتيد دانشگاه خارج از كشور")),(1.2*(F64*N64*(IF(EXACT(J64,"نفر اول"),INDIRECT(CONCATENATE("'Data Base'!$D",H64)),INDIRECT(CONCATENATE("'Data Base'!$E",H64))))*((100-L64)/100))),(F64*N64*(IF(EXACT(J64,"نفر اول"),INDIRECT(CONCATENATE("'Data Base'!$d",H64)),INDIRECT(CONCATENATE("'Data Base'!$e",H64))))*((100-L64)/100)))))))</f>
        <v>0</v>
      </c>
      <c r="S63" s="535">
        <f t="shared" ref="S63" ca="1" si="65">IF(OR(EXACT(H63,""),EXACT(B63,""),EXACT(F65,""),EXACT(H65,""),EXACT(J65,""),EXACT(L65,""),EXACT(N65,""),EXACT(F63,""),EXACT(J63,""),EXACT(M63,""),EXACT(N63,""),EXACT(O63,""),EXACT(P63,"")),0,IF(OR(EXACT(P65,"مقاله پر استناد"),EXACT(P65,"مقاله داغ"),EXACT(P65,"مستخرج از برنامه تحقيقاتي ملي معطوف به رفع مشكلات كشور")),(1.5*(F65*N65*(IF(EXACT(J65,"نفر اول"),INDIRECT(CONCATENATE("'Data Base'!$d",H65)),INDIRECT(CONCATENATE("'Data Base'!$E",H65))))*((100-L65)/100))),IF(EXACT(P65,"Short Article"),(0.5*(F65*N65*(IF(EXACT(J65,"نفر اول"),INDIRECT(CONCATENATE("'Data Base'!$D",H65)),INDIRECT(CONCATENATE("'Data Base'!$E",H65))))*((100-L65)/100))),IF(EXACT(P65,"چاپ شده در نشريات بسيار پر استناد Nature و Science"),(2*(F65*N65*(IF(EXACT(J65,"نفر اول"),INDIRECT(CONCATENATE("'Data Base'!$D",H65)),INDIRECT(CONCATENATE("'Data Base'!$E",H65))))*((100-L65)/100))),IF(OR(EXACT(P65,"مستخرج از طرح پژوهشي محرمانه"),EXACT(P65,"مشترك با اساتيد دانشگاه خارج از كشور")),(1.2*(F65*N65*(IF(EXACT(J65,"نفر اول"),INDIRECT(CONCATENATE("'Data Base'!$D",H65)),INDIRECT(CONCATENATE("'Data Base'!$E",H65))))*((100-L65)/100))),(F65*N65*(IF(EXACT(J65,"نفر اول"),INDIRECT(CONCATENATE("'Data Base'!$D",H65)),INDIRECT(CONCATENATE("'Data Base'!$E",H65))))*((100-L65)/100)))))))</f>
        <v>0</v>
      </c>
      <c r="T63" s="147"/>
      <c r="U63" s="1414"/>
      <c r="Z63" s="19">
        <f>SUM(Z60,AA63)</f>
        <v>0</v>
      </c>
      <c r="AA63" s="19">
        <f>IF(OR(OR(B63="",F63="",H63="",J63="",P63=""),AND(M63="",O63="")),0,1)</f>
        <v>0</v>
      </c>
      <c r="AB63" s="19">
        <f t="shared" ref="AB63" ca="1" si="66">IF(AND(AA63=1,S63&gt;0),1,0)</f>
        <v>0</v>
      </c>
      <c r="AC63" s="19">
        <f t="shared" ref="AC63" ca="1" si="67">IF(AND(AA63=1,S63&lt;1),1,0)</f>
        <v>0</v>
      </c>
      <c r="AD63" s="19">
        <f ca="1">IF(AND(AA63=1,S63&gt;=1,AJ63=1),1,0)</f>
        <v>0</v>
      </c>
      <c r="AE63" s="19">
        <f ca="1">IF(AD63=1,S63,0)</f>
        <v>0</v>
      </c>
      <c r="AF63" s="19">
        <f ca="1">IF(AND(AA63=1,S63&gt;=1,AJ63=1,AR65=1),1,0)</f>
        <v>0</v>
      </c>
      <c r="AG63" s="19">
        <f ca="1">IF(AF63=1,S63,0)</f>
        <v>0</v>
      </c>
      <c r="AH63" s="19">
        <f>IF(OR(EXACT(H63,"JCR-Q1"),EXACT(H63,"JCR-Q2")),(1),(0))</f>
        <v>0</v>
      </c>
      <c r="AI63" s="19">
        <f>IF(OR(EXACT(H63,"JCR-Q1"),EXACT(H63,"JCR-Q2"),EXACT(H63,"JCR-Q3")),(1),(0))</f>
        <v>0</v>
      </c>
      <c r="AJ63" s="19">
        <f>IF(OR(EXACT(H63,"JCR-Q1"),EXACT(H63,"JCR-Q2"),EXACT(H63,"JCR-Q3"),EXACT(H63,"JCR-Q4")),(1),(0))</f>
        <v>0</v>
      </c>
      <c r="AK63" s="19">
        <f>IF(OR(EXACT(H63,"JCR-Q1"),EXACT(H63,"JCR-Q2"),EXACT(H63,"JCR-Q3"),EXACT(H63,"JCR-Q4"),EXACT(H63,"WOS")),(1),(0))</f>
        <v>0</v>
      </c>
      <c r="AL63" s="19">
        <f>IF(OR(EXACT(H63,"JCR-Q1"),EXACT(H63,"JCR-Q2"),EXACT(H63,"JCR-Q3"),EXACT(H63,"JCR-Q4"),EXACT(H63,"WOS"),EXACT(H63,"Scopus")),(1),(0))</f>
        <v>0</v>
      </c>
      <c r="AM63" s="19">
        <f>IF(OR(EXACT(H63,'Data Base'!$B$21),EXACT(H63,'Data Base'!$B$22)),(1),(0))</f>
        <v>0</v>
      </c>
    </row>
    <row r="64" spans="1:83" ht="20.25" customHeight="1">
      <c r="A64" s="1416" t="s">
        <v>29</v>
      </c>
      <c r="B64" s="1417"/>
      <c r="C64" s="1417"/>
      <c r="D64" s="1418"/>
      <c r="E64" s="514" t="s">
        <v>1001</v>
      </c>
      <c r="F64" s="515"/>
      <c r="G64" s="516" t="s">
        <v>801</v>
      </c>
      <c r="H64" s="517"/>
      <c r="I64" s="516" t="s">
        <v>1002</v>
      </c>
      <c r="J64" s="518"/>
      <c r="K64" s="516" t="s">
        <v>1003</v>
      </c>
      <c r="L64" s="519"/>
      <c r="M64" s="516" t="s">
        <v>1004</v>
      </c>
      <c r="N64" s="520"/>
      <c r="O64" s="1266" t="s">
        <v>55</v>
      </c>
      <c r="P64" s="1419"/>
      <c r="Q64" s="1419"/>
      <c r="R64" s="1419"/>
      <c r="S64" s="1419"/>
      <c r="T64" s="1419"/>
      <c r="U64" s="1415"/>
      <c r="AN64" s="19">
        <f>IF(AND(AA63=1,EXACT(J64,"نفر اول")),(1),(0))</f>
        <v>0</v>
      </c>
      <c r="AO64" s="19">
        <f>IF(AN64=1,R63,0)</f>
        <v>0</v>
      </c>
      <c r="AP64" s="19">
        <f>IF(AND(AA63=1,EXACT(J64,"همكار")),(1),(0))</f>
        <v>0</v>
      </c>
      <c r="AQ64" s="19">
        <f>IF(AP64=1,R63,0)</f>
        <v>0</v>
      </c>
      <c r="AV64" s="19">
        <f>IF((AH63=1),R63,0)</f>
        <v>0</v>
      </c>
      <c r="AW64" s="19">
        <f>IF(AND(EXACT(AN64,"1"),EXACT(AH63,"1")),(1),(0))</f>
        <v>0</v>
      </c>
      <c r="AX64" s="19">
        <f>IF((AW64=1),AV64,0)</f>
        <v>0</v>
      </c>
      <c r="BB64" s="19">
        <f>IF((AI63=1),R63,0)</f>
        <v>0</v>
      </c>
      <c r="BC64" s="19">
        <f>IF(AND(EXACT(AI63,"1"),EXACT(AN64,"1")),(1),(0))</f>
        <v>0</v>
      </c>
      <c r="BD64" s="19">
        <f>IF((BC64=1),BB64,0)</f>
        <v>0</v>
      </c>
      <c r="BH64" s="19">
        <f>IF((AJ63=1),R63,0)</f>
        <v>0</v>
      </c>
      <c r="BI64" s="19">
        <f>IF(AND(EXACT(AJ63,"1"),EXACT(AN64,"1")),(1),(0))</f>
        <v>0</v>
      </c>
      <c r="BJ64" s="19">
        <f>IF((BI64=1),BH64,0)</f>
        <v>0</v>
      </c>
      <c r="BN64" s="19">
        <f>IF((AK63=1),R63,0)</f>
        <v>0</v>
      </c>
      <c r="BO64" s="19">
        <f>IF(AND(EXACT(AK63,"1"),EXACT(AN64,"1")),(1),(0))</f>
        <v>0</v>
      </c>
      <c r="BP64" s="19">
        <f>IF((BO64=1),BN64,0)</f>
        <v>0</v>
      </c>
      <c r="BT64" s="19">
        <f>IF((AL63=1),R63,0)</f>
        <v>0</v>
      </c>
      <c r="BU64" s="19">
        <f>IF(AND(EXACT(AN64,"1"),EXACT(AL63,"1")),(1),(0))</f>
        <v>0</v>
      </c>
      <c r="BV64" s="19">
        <f>IF((BU64=1),BT64,0)</f>
        <v>0</v>
      </c>
      <c r="BZ64" s="19">
        <f>IF((AM63=1),R63,0)</f>
        <v>0</v>
      </c>
      <c r="CA64" s="19">
        <f>IF(AND(EXACT(AM63,"1"),EXACT(AN64,"1")),(1),(0))</f>
        <v>0</v>
      </c>
      <c r="CB64" s="19">
        <f>IF((CA64=1),BZ64,0)</f>
        <v>0</v>
      </c>
    </row>
    <row r="65" spans="1:83" ht="20.25">
      <c r="A65" s="1420" t="s">
        <v>30</v>
      </c>
      <c r="B65" s="1421"/>
      <c r="C65" s="1421"/>
      <c r="D65" s="1422"/>
      <c r="E65" s="536" t="s">
        <v>1001</v>
      </c>
      <c r="F65" s="537"/>
      <c r="G65" s="538" t="s">
        <v>801</v>
      </c>
      <c r="H65" s="539"/>
      <c r="I65" s="538" t="s">
        <v>1002</v>
      </c>
      <c r="J65" s="525"/>
      <c r="K65" s="538" t="s">
        <v>1003</v>
      </c>
      <c r="L65" s="540"/>
      <c r="M65" s="538" t="s">
        <v>1004</v>
      </c>
      <c r="N65" s="541"/>
      <c r="O65" s="1266"/>
      <c r="P65" s="1423"/>
      <c r="Q65" s="1423"/>
      <c r="R65" s="1423"/>
      <c r="S65" s="1423"/>
      <c r="T65" s="1423"/>
      <c r="U65" s="1415"/>
      <c r="AR65" s="19">
        <f>IF(AND(AA63=1,EXACT(J65,"نفر اول")),(1),(0))</f>
        <v>0</v>
      </c>
      <c r="AS65" s="19">
        <f>IF(AR65=1,S63,0)</f>
        <v>0</v>
      </c>
      <c r="AT65" s="19">
        <f>IF(AND(AA63=1,EXACT(J65,"همكار")),(1),(0))</f>
        <v>0</v>
      </c>
      <c r="AU65" s="19">
        <f>IF(AT65=1,S63,0)</f>
        <v>0</v>
      </c>
      <c r="AY65" s="19">
        <f>IF((AH63=1),S63,0)</f>
        <v>0</v>
      </c>
      <c r="AZ65" s="19">
        <f>IF(AND(EXACT(AR65,"1"),EXACT(AH63,"1")),(1),(0))</f>
        <v>0</v>
      </c>
      <c r="BA65" s="19">
        <f>IF((AZ65=1),AY65,0)</f>
        <v>0</v>
      </c>
      <c r="BE65" s="19">
        <f>IF((AI63=1),S63,0)</f>
        <v>0</v>
      </c>
      <c r="BF65" s="19">
        <f>IF(AND(EXACT(AI63,"1"),EXACT(AR65,"1")),(1),(0))</f>
        <v>0</v>
      </c>
      <c r="BG65" s="19">
        <f>IF((BF65=1),BE65,0)</f>
        <v>0</v>
      </c>
      <c r="BK65" s="19">
        <f>IF((AJ63=1),S63,0)</f>
        <v>0</v>
      </c>
      <c r="BL65" s="19">
        <f>IF(AND(EXACT(AJ63,"1"),EXACT(AR65,"1")),(1),(0))</f>
        <v>0</v>
      </c>
      <c r="BM65" s="19">
        <f>IF((BL65=1),BK65,0)</f>
        <v>0</v>
      </c>
      <c r="BQ65" s="19">
        <f>IF((AJ63=1),S63,0)</f>
        <v>0</v>
      </c>
      <c r="BR65" s="19">
        <f>IF(AND(EXACT(AJ63,"1"),EXACT(AR65,"1")),(1),(0))</f>
        <v>0</v>
      </c>
      <c r="BS65" s="19">
        <f>IF((BL65=1),BK65,0)</f>
        <v>0</v>
      </c>
      <c r="BW65" s="19">
        <f>IF((AL63=1),S63,0)</f>
        <v>0</v>
      </c>
      <c r="BX65" s="19">
        <f>IF(AND(EXACT(AL63,"1"),EXACT(AR65,"1")),(1),(0))</f>
        <v>0</v>
      </c>
      <c r="BY65" s="19">
        <f>IF((BX65=1),BW65,0)</f>
        <v>0</v>
      </c>
      <c r="CC65" s="19">
        <f>IF((AM63=1),R63,0)</f>
        <v>0</v>
      </c>
      <c r="CD65" s="19">
        <f>IF(AND(EXACT(AM63,"1"),EXACT(AR65,"1")),(1),(0))</f>
        <v>0</v>
      </c>
      <c r="CE65" s="19">
        <f>IF((CD65=1),CC65,0)</f>
        <v>0</v>
      </c>
    </row>
    <row r="66" spans="1:83" ht="20.25">
      <c r="A66" s="12">
        <f>IF(AA66=0,0,IF(AA63=0,Z66,SUM(A63,AA66)))</f>
        <v>0</v>
      </c>
      <c r="B66" s="1157"/>
      <c r="C66" s="1157"/>
      <c r="D66" s="1157"/>
      <c r="E66" s="1182"/>
      <c r="F66" s="1424"/>
      <c r="G66" s="1424"/>
      <c r="H66" s="527"/>
      <c r="I66" s="528"/>
      <c r="J66" s="529"/>
      <c r="K66" s="530"/>
      <c r="L66" s="531"/>
      <c r="M66" s="532"/>
      <c r="N66" s="533"/>
      <c r="O66" s="532"/>
      <c r="P66" s="1182"/>
      <c r="Q66" s="1182"/>
      <c r="R66" s="534">
        <f t="shared" ref="R66" ca="1" si="68">IF(OR(EXACT(H66,""),EXACT(B66,""),EXACT(F67,""),EXACT(H67,""),EXACT(J67,""),EXACT(L67,""),EXACT(N67,""),EXACT(F66,""),EXACT(J66,""),EXACT(M66,""),EXACT(N66,""),EXACT(O66,""),EXACT(P66,"")),0,IF(OR(EXACT(P67,"مقاله پر استناد"),EXACT(P67,"مقاله داغ"),EXACT(P67,"مستخرج از برنامه تحقيقاتي ملي معطوف به رفع مشكلات كشور")),(1.5*(F67*N67*(IF(EXACT(J67,"نفر اول"),INDIRECT(CONCATENATE("'Data Base'!$d",H67)),INDIRECT(CONCATENATE("'Data Base'!$e",H67))))*((100-L67)/100))),IF(EXACT(P67,"Short Article"),(0.5*(F67*N67*(IF(EXACT(J67,"نفر اول"),INDIRECT(CONCATENATE("'Data Base'!$D",H67)),INDIRECT(CONCATENATE("'Data Base'!$E",H67))))*((100-L67)/100))),IF(EXACT(P67,"چاپ شده در نشريات بسيار پر استناد Nature و Science"),(2*(F67*N67*(IF(EXACT(J67,"نفر اول"),INDIRECT(CONCATENATE("'Data Base'!$D",H67)),INDIRECT(CONCATENATE("'Data Base'!$E",H67))))*((100-L67)/100))),IF(OR(EXACT(P67,"مستخرج از طرح پژوهشي محرمانه"),EXACT(P67,"مشترك با اساتيد دانشگاه خارج از كشور")),(1.2*(F67*N67*(IF(EXACT(J67,"نفر اول"),INDIRECT(CONCATENATE("'Data Base'!$D",H67)),INDIRECT(CONCATENATE("'Data Base'!$E",H67))))*((100-L67)/100))),(F67*N67*(IF(EXACT(J67,"نفر اول"),INDIRECT(CONCATENATE("'Data Base'!$d",H67)),INDIRECT(CONCATENATE("'Data Base'!$e",H67))))*((100-L67)/100)))))))</f>
        <v>0</v>
      </c>
      <c r="S66" s="535">
        <f t="shared" ref="S66" ca="1" si="69">IF(OR(EXACT(H66,""),EXACT(B66,""),EXACT(F68,""),EXACT(H68,""),EXACT(J68,""),EXACT(L68,""),EXACT(N68,""),EXACT(F66,""),EXACT(J66,""),EXACT(M66,""),EXACT(N66,""),EXACT(O66,""),EXACT(P66,"")),0,IF(OR(EXACT(P68,"مقاله پر استناد"),EXACT(P68,"مقاله داغ"),EXACT(P68,"مستخرج از برنامه تحقيقاتي ملي معطوف به رفع مشكلات كشور")),(1.5*(F68*N68*(IF(EXACT(J68,"نفر اول"),INDIRECT(CONCATENATE("'Data Base'!$d",H68)),INDIRECT(CONCATENATE("'Data Base'!$E",H68))))*((100-L68)/100))),IF(EXACT(P68,"Short Article"),(0.5*(F68*N68*(IF(EXACT(J68,"نفر اول"),INDIRECT(CONCATENATE("'Data Base'!$D",H68)),INDIRECT(CONCATENATE("'Data Base'!$E",H68))))*((100-L68)/100))),IF(EXACT(P68,"چاپ شده در نشريات بسيار پر استناد Nature و Science"),(2*(F68*N68*(IF(EXACT(J68,"نفر اول"),INDIRECT(CONCATENATE("'Data Base'!$D",H68)),INDIRECT(CONCATENATE("'Data Base'!$E",H68))))*((100-L68)/100))),IF(OR(EXACT(P68,"مستخرج از طرح پژوهشي محرمانه"),EXACT(P68,"مشترك با اساتيد دانشگاه خارج از كشور")),(1.2*(F68*N68*(IF(EXACT(J68,"نفر اول"),INDIRECT(CONCATENATE("'Data Base'!$D",H68)),INDIRECT(CONCATENATE("'Data Base'!$E",H68))))*((100-L68)/100))),(F68*N68*(IF(EXACT(J68,"نفر اول"),INDIRECT(CONCATENATE("'Data Base'!$D",H68)),INDIRECT(CONCATENATE("'Data Base'!$E",H68))))*((100-L68)/100)))))))</f>
        <v>0</v>
      </c>
      <c r="T66" s="147"/>
      <c r="U66" s="1414"/>
      <c r="Z66" s="19">
        <f>SUM(Z63,AA66)</f>
        <v>0</v>
      </c>
      <c r="AA66" s="19">
        <f>IF(OR(OR(B66="",F66="",H66="",J66="",P66=""),AND(M66="",O66="")),0,1)</f>
        <v>0</v>
      </c>
      <c r="AB66" s="19">
        <f t="shared" ref="AB66" ca="1" si="70">IF(AND(AA66=1,S66&gt;0),1,0)</f>
        <v>0</v>
      </c>
      <c r="AC66" s="19">
        <f t="shared" ref="AC66" ca="1" si="71">IF(AND(AA66=1,S66&lt;1),1,0)</f>
        <v>0</v>
      </c>
      <c r="AD66" s="19">
        <f ca="1">IF(AND(AA66=1,S66&gt;=1,AJ66=1),1,0)</f>
        <v>0</v>
      </c>
      <c r="AE66" s="19">
        <f ca="1">IF(AD66=1,S66,0)</f>
        <v>0</v>
      </c>
      <c r="AF66" s="19">
        <f ca="1">IF(AND(AA66=1,S66&gt;=1,AJ66=1,AR68=1),1,0)</f>
        <v>0</v>
      </c>
      <c r="AG66" s="19">
        <f ca="1">IF(AF66=1,S66,0)</f>
        <v>0</v>
      </c>
      <c r="AH66" s="19">
        <f>IF(OR(EXACT(H66,"JCR-Q1"),EXACT(H66,"JCR-Q2")),(1),(0))</f>
        <v>0</v>
      </c>
      <c r="AI66" s="19">
        <f>IF(OR(EXACT(H66,"JCR-Q1"),EXACT(H66,"JCR-Q2"),EXACT(H66,"JCR-Q3")),(1),(0))</f>
        <v>0</v>
      </c>
      <c r="AJ66" s="19">
        <f>IF(OR(EXACT(H66,"JCR-Q1"),EXACT(H66,"JCR-Q2"),EXACT(H66,"JCR-Q3"),EXACT(H66,"JCR-Q4")),(1),(0))</f>
        <v>0</v>
      </c>
      <c r="AK66" s="19">
        <f>IF(OR(EXACT(H66,"JCR-Q1"),EXACT(H66,"JCR-Q2"),EXACT(H66,"JCR-Q3"),EXACT(H66,"JCR-Q4"),EXACT(H66,"WOS")),(1),(0))</f>
        <v>0</v>
      </c>
      <c r="AL66" s="19">
        <f>IF(OR(EXACT(H66,"JCR-Q1"),EXACT(H66,"JCR-Q2"),EXACT(H66,"JCR-Q3"),EXACT(H66,"JCR-Q4"),EXACT(H66,"WOS"),EXACT(H66,"Scopus")),(1),(0))</f>
        <v>0</v>
      </c>
      <c r="AM66" s="19">
        <f>IF(OR(EXACT(H66,'Data Base'!$B$21),EXACT(H66,'Data Base'!$B$22)),(1),(0))</f>
        <v>0</v>
      </c>
    </row>
    <row r="67" spans="1:83" ht="20.25" customHeight="1">
      <c r="A67" s="1416" t="s">
        <v>29</v>
      </c>
      <c r="B67" s="1417"/>
      <c r="C67" s="1417"/>
      <c r="D67" s="1418"/>
      <c r="E67" s="514" t="s">
        <v>1001</v>
      </c>
      <c r="F67" s="515"/>
      <c r="G67" s="516" t="s">
        <v>801</v>
      </c>
      <c r="H67" s="517"/>
      <c r="I67" s="516" t="s">
        <v>1002</v>
      </c>
      <c r="J67" s="518"/>
      <c r="K67" s="516" t="s">
        <v>1003</v>
      </c>
      <c r="L67" s="519"/>
      <c r="M67" s="516" t="s">
        <v>1004</v>
      </c>
      <c r="N67" s="520"/>
      <c r="O67" s="1266" t="s">
        <v>55</v>
      </c>
      <c r="P67" s="1419"/>
      <c r="Q67" s="1419"/>
      <c r="R67" s="1419"/>
      <c r="S67" s="1419"/>
      <c r="T67" s="1419"/>
      <c r="U67" s="1415"/>
      <c r="AN67" s="19">
        <f>IF(AND(AA66=1,EXACT(J67,"نفر اول")),(1),(0))</f>
        <v>0</v>
      </c>
      <c r="AO67" s="19">
        <f>IF(AN67=1,R66,0)</f>
        <v>0</v>
      </c>
      <c r="AP67" s="19">
        <f>IF(AND(AA66=1,EXACT(J67,"همكار")),(1),(0))</f>
        <v>0</v>
      </c>
      <c r="AQ67" s="19">
        <f>IF(AP67=1,R66,0)</f>
        <v>0</v>
      </c>
      <c r="AV67" s="19">
        <f>IF((AH66=1),R66,0)</f>
        <v>0</v>
      </c>
      <c r="AW67" s="19">
        <f>IF(AND(EXACT(AN67,"1"),EXACT(AH66,"1")),(1),(0))</f>
        <v>0</v>
      </c>
      <c r="AX67" s="19">
        <f>IF((AW67=1),AV67,0)</f>
        <v>0</v>
      </c>
      <c r="BB67" s="19">
        <f>IF((AI66=1),R66,0)</f>
        <v>0</v>
      </c>
      <c r="BC67" s="19">
        <f>IF(AND(EXACT(AI66,"1"),EXACT(AN67,"1")),(1),(0))</f>
        <v>0</v>
      </c>
      <c r="BD67" s="19">
        <f>IF((BC67=1),BB67,0)</f>
        <v>0</v>
      </c>
      <c r="BH67" s="19">
        <f>IF((AJ66=1),R66,0)</f>
        <v>0</v>
      </c>
      <c r="BI67" s="19">
        <f>IF(AND(EXACT(AJ66,"1"),EXACT(AN67,"1")),(1),(0))</f>
        <v>0</v>
      </c>
      <c r="BJ67" s="19">
        <f>IF((BI67=1),BH67,0)</f>
        <v>0</v>
      </c>
      <c r="BN67" s="19">
        <f>IF((AK66=1),R66,0)</f>
        <v>0</v>
      </c>
      <c r="BO67" s="19">
        <f>IF(AND(EXACT(AK66,"1"),EXACT(AN67,"1")),(1),(0))</f>
        <v>0</v>
      </c>
      <c r="BP67" s="19">
        <f>IF((BO67=1),BN67,0)</f>
        <v>0</v>
      </c>
      <c r="BT67" s="19">
        <f>IF((AL66=1),R66,0)</f>
        <v>0</v>
      </c>
      <c r="BU67" s="19">
        <f>IF(AND(EXACT(AN67,"1"),EXACT(AL66,"1")),(1),(0))</f>
        <v>0</v>
      </c>
      <c r="BV67" s="19">
        <f>IF((BU67=1),BT67,0)</f>
        <v>0</v>
      </c>
      <c r="BZ67" s="19">
        <f>IF((AM66=1),R66,0)</f>
        <v>0</v>
      </c>
      <c r="CA67" s="19">
        <f>IF(AND(EXACT(AM66,"1"),EXACT(AN67,"1")),(1),(0))</f>
        <v>0</v>
      </c>
      <c r="CB67" s="19">
        <f>IF((CA67=1),BZ67,0)</f>
        <v>0</v>
      </c>
    </row>
    <row r="68" spans="1:83" ht="20.25">
      <c r="A68" s="1420" t="s">
        <v>30</v>
      </c>
      <c r="B68" s="1421"/>
      <c r="C68" s="1421"/>
      <c r="D68" s="1422"/>
      <c r="E68" s="536" t="s">
        <v>1001</v>
      </c>
      <c r="F68" s="537"/>
      <c r="G68" s="538" t="s">
        <v>801</v>
      </c>
      <c r="H68" s="539"/>
      <c r="I68" s="538" t="s">
        <v>1002</v>
      </c>
      <c r="J68" s="525"/>
      <c r="K68" s="538" t="s">
        <v>1003</v>
      </c>
      <c r="L68" s="540"/>
      <c r="M68" s="538" t="s">
        <v>1004</v>
      </c>
      <c r="N68" s="541"/>
      <c r="O68" s="1266"/>
      <c r="P68" s="1423"/>
      <c r="Q68" s="1423"/>
      <c r="R68" s="1423"/>
      <c r="S68" s="1423"/>
      <c r="T68" s="1423"/>
      <c r="U68" s="1415"/>
      <c r="AR68" s="19">
        <f>IF(AND(AA66=1,EXACT(J68,"نفر اول")),(1),(0))</f>
        <v>0</v>
      </c>
      <c r="AS68" s="19">
        <f>IF(AR68=1,S66,0)</f>
        <v>0</v>
      </c>
      <c r="AT68" s="19">
        <f>IF(AND(AA66=1,EXACT(J68,"همكار")),(1),(0))</f>
        <v>0</v>
      </c>
      <c r="AU68" s="19">
        <f>IF(AT68=1,S66,0)</f>
        <v>0</v>
      </c>
      <c r="AY68" s="19">
        <f>IF((AH66=1),S66,0)</f>
        <v>0</v>
      </c>
      <c r="AZ68" s="19">
        <f>IF(AND(EXACT(AR68,"1"),EXACT(AH66,"1")),(1),(0))</f>
        <v>0</v>
      </c>
      <c r="BA68" s="19">
        <f>IF((AZ68=1),AY68,0)</f>
        <v>0</v>
      </c>
      <c r="BE68" s="19">
        <f>IF((AI66=1),S66,0)</f>
        <v>0</v>
      </c>
      <c r="BF68" s="19">
        <f>IF(AND(EXACT(AI66,"1"),EXACT(AR68,"1")),(1),(0))</f>
        <v>0</v>
      </c>
      <c r="BG68" s="19">
        <f>IF((BF68=1),BE68,0)</f>
        <v>0</v>
      </c>
      <c r="BK68" s="19">
        <f>IF((AJ66=1),S66,0)</f>
        <v>0</v>
      </c>
      <c r="BL68" s="19">
        <f>IF(AND(EXACT(AJ66,"1"),EXACT(AR68,"1")),(1),(0))</f>
        <v>0</v>
      </c>
      <c r="BM68" s="19">
        <f>IF((BL68=1),BK68,0)</f>
        <v>0</v>
      </c>
      <c r="BQ68" s="19">
        <f>IF((AJ66=1),S66,0)</f>
        <v>0</v>
      </c>
      <c r="BR68" s="19">
        <f>IF(AND(EXACT(AJ66,"1"),EXACT(AR68,"1")),(1),(0))</f>
        <v>0</v>
      </c>
      <c r="BS68" s="19">
        <f>IF((BL68=1),BK68,0)</f>
        <v>0</v>
      </c>
      <c r="BW68" s="19">
        <f>IF((AL66=1),S66,0)</f>
        <v>0</v>
      </c>
      <c r="BX68" s="19">
        <f>IF(AND(EXACT(AL66,"1"),EXACT(AR68,"1")),(1),(0))</f>
        <v>0</v>
      </c>
      <c r="BY68" s="19">
        <f>IF((BX68=1),BW68,0)</f>
        <v>0</v>
      </c>
      <c r="CC68" s="19">
        <f>IF((AM66=1),R66,0)</f>
        <v>0</v>
      </c>
      <c r="CD68" s="19">
        <f>IF(AND(EXACT(AM66,"1"),EXACT(AR68,"1")),(1),(0))</f>
        <v>0</v>
      </c>
      <c r="CE68" s="19">
        <f>IF((CD68=1),CC68,0)</f>
        <v>0</v>
      </c>
    </row>
    <row r="69" spans="1:83" ht="20.25">
      <c r="A69" s="12">
        <f>IF(AA69=0,0,IF(AA66=0,Z69,SUM(A66,AA69)))</f>
        <v>0</v>
      </c>
      <c r="B69" s="1157"/>
      <c r="C69" s="1157"/>
      <c r="D69" s="1157"/>
      <c r="E69" s="1182"/>
      <c r="F69" s="1424"/>
      <c r="G69" s="1424"/>
      <c r="H69" s="527"/>
      <c r="I69" s="528"/>
      <c r="J69" s="529"/>
      <c r="K69" s="530"/>
      <c r="L69" s="531"/>
      <c r="M69" s="532"/>
      <c r="N69" s="533"/>
      <c r="O69" s="532"/>
      <c r="P69" s="1182"/>
      <c r="Q69" s="1182"/>
      <c r="R69" s="534">
        <f t="shared" ref="R69" ca="1" si="72">IF(OR(EXACT(H69,""),EXACT(B69,""),EXACT(F70,""),EXACT(H70,""),EXACT(J70,""),EXACT(L70,""),EXACT(N70,""),EXACT(F69,""),EXACT(J69,""),EXACT(M69,""),EXACT(N69,""),EXACT(O69,""),EXACT(P69,"")),0,IF(OR(EXACT(P70,"مقاله پر استناد"),EXACT(P70,"مقاله داغ"),EXACT(P70,"مستخرج از برنامه تحقيقاتي ملي معطوف به رفع مشكلات كشور")),(1.5*(F70*N70*(IF(EXACT(J70,"نفر اول"),INDIRECT(CONCATENATE("'Data Base'!$d",H70)),INDIRECT(CONCATENATE("'Data Base'!$e",H70))))*((100-L70)/100))),IF(EXACT(P70,"Short Article"),(0.5*(F70*N70*(IF(EXACT(J70,"نفر اول"),INDIRECT(CONCATENATE("'Data Base'!$D",H70)),INDIRECT(CONCATENATE("'Data Base'!$E",H70))))*((100-L70)/100))),IF(EXACT(P70,"چاپ شده در نشريات بسيار پر استناد Nature و Science"),(2*(F70*N70*(IF(EXACT(J70,"نفر اول"),INDIRECT(CONCATENATE("'Data Base'!$D",H70)),INDIRECT(CONCATENATE("'Data Base'!$E",H70))))*((100-L70)/100))),IF(OR(EXACT(P70,"مستخرج از طرح پژوهشي محرمانه"),EXACT(P70,"مشترك با اساتيد دانشگاه خارج از كشور")),(1.2*(F70*N70*(IF(EXACT(J70,"نفر اول"),INDIRECT(CONCATENATE("'Data Base'!$D",H70)),INDIRECT(CONCATENATE("'Data Base'!$E",H70))))*((100-L70)/100))),(F70*N70*(IF(EXACT(J70,"نفر اول"),INDIRECT(CONCATENATE("'Data Base'!$d",H70)),INDIRECT(CONCATENATE("'Data Base'!$e",H70))))*((100-L70)/100)))))))</f>
        <v>0</v>
      </c>
      <c r="S69" s="535">
        <f t="shared" ref="S69" ca="1" si="73">IF(OR(EXACT(H69,""),EXACT(B69,""),EXACT(F71,""),EXACT(H71,""),EXACT(J71,""),EXACT(L71,""),EXACT(N71,""),EXACT(F69,""),EXACT(J69,""),EXACT(M69,""),EXACT(N69,""),EXACT(O69,""),EXACT(P69,"")),0,IF(OR(EXACT(P71,"مقاله پر استناد"),EXACT(P71,"مقاله داغ"),EXACT(P71,"مستخرج از برنامه تحقيقاتي ملي معطوف به رفع مشكلات كشور")),(1.5*(F71*N71*(IF(EXACT(J71,"نفر اول"),INDIRECT(CONCATENATE("'Data Base'!$d",H71)),INDIRECT(CONCATENATE("'Data Base'!$E",H71))))*((100-L71)/100))),IF(EXACT(P71,"Short Article"),(0.5*(F71*N71*(IF(EXACT(J71,"نفر اول"),INDIRECT(CONCATENATE("'Data Base'!$D",H71)),INDIRECT(CONCATENATE("'Data Base'!$E",H71))))*((100-L71)/100))),IF(EXACT(P71,"چاپ شده در نشريات بسيار پر استناد Nature و Science"),(2*(F71*N71*(IF(EXACT(J71,"نفر اول"),INDIRECT(CONCATENATE("'Data Base'!$D",H71)),INDIRECT(CONCATENATE("'Data Base'!$E",H71))))*((100-L71)/100))),IF(OR(EXACT(P71,"مستخرج از طرح پژوهشي محرمانه"),EXACT(P71,"مشترك با اساتيد دانشگاه خارج از كشور")),(1.2*(F71*N71*(IF(EXACT(J71,"نفر اول"),INDIRECT(CONCATENATE("'Data Base'!$D",H71)),INDIRECT(CONCATENATE("'Data Base'!$E",H71))))*((100-L71)/100))),(F71*N71*(IF(EXACT(J71,"نفر اول"),INDIRECT(CONCATENATE("'Data Base'!$D",H71)),INDIRECT(CONCATENATE("'Data Base'!$E",H71))))*((100-L71)/100)))))))</f>
        <v>0</v>
      </c>
      <c r="T69" s="147"/>
      <c r="U69" s="1414"/>
      <c r="Z69" s="19">
        <f>SUM(Z66,AA69)</f>
        <v>0</v>
      </c>
      <c r="AA69" s="19">
        <f>IF(OR(OR(B69="",F69="",H69="",J69="",P69=""),AND(M69="",O69="")),0,1)</f>
        <v>0</v>
      </c>
      <c r="AB69" s="19">
        <f t="shared" ref="AB69" ca="1" si="74">IF(AND(AA69=1,S69&gt;0),1,0)</f>
        <v>0</v>
      </c>
      <c r="AC69" s="19">
        <f t="shared" ref="AC69" ca="1" si="75">IF(AND(AA69=1,S69&lt;1),1,0)</f>
        <v>0</v>
      </c>
      <c r="AD69" s="19">
        <f ca="1">IF(AND(AA69=1,S69&gt;=1,AJ69=1),1,0)</f>
        <v>0</v>
      </c>
      <c r="AE69" s="19">
        <f ca="1">IF(AD69=1,S69,0)</f>
        <v>0</v>
      </c>
      <c r="AF69" s="19">
        <f ca="1">IF(AND(AA69=1,S69&gt;=1,AJ69=1,AR71=1),1,0)</f>
        <v>0</v>
      </c>
      <c r="AG69" s="19">
        <f ca="1">IF(AF69=1,S69,0)</f>
        <v>0</v>
      </c>
      <c r="AH69" s="19">
        <f>IF(OR(EXACT(H69,"JCR-Q1"),EXACT(H69,"JCR-Q2")),(1),(0))</f>
        <v>0</v>
      </c>
      <c r="AI69" s="19">
        <f>IF(OR(EXACT(H69,"JCR-Q1"),EXACT(H69,"JCR-Q2"),EXACT(H69,"JCR-Q3")),(1),(0))</f>
        <v>0</v>
      </c>
      <c r="AJ69" s="19">
        <f>IF(OR(EXACT(H69,"JCR-Q1"),EXACT(H69,"JCR-Q2"),EXACT(H69,"JCR-Q3"),EXACT(H69,"JCR-Q4")),(1),(0))</f>
        <v>0</v>
      </c>
      <c r="AK69" s="19">
        <f>IF(OR(EXACT(H69,"JCR-Q1"),EXACT(H69,"JCR-Q2"),EXACT(H69,"JCR-Q3"),EXACT(H69,"JCR-Q4"),EXACT(H69,"WOS")),(1),(0))</f>
        <v>0</v>
      </c>
      <c r="AL69" s="19">
        <f>IF(OR(EXACT(H69,"JCR-Q1"),EXACT(H69,"JCR-Q2"),EXACT(H69,"JCR-Q3"),EXACT(H69,"JCR-Q4"),EXACT(H69,"WOS"),EXACT(H69,"Scopus")),(1),(0))</f>
        <v>0</v>
      </c>
      <c r="AM69" s="19">
        <f>IF(OR(EXACT(H69,'Data Base'!$B$21),EXACT(H69,'Data Base'!$B$22)),(1),(0))</f>
        <v>0</v>
      </c>
    </row>
    <row r="70" spans="1:83" ht="20.25" customHeight="1">
      <c r="A70" s="1416" t="s">
        <v>29</v>
      </c>
      <c r="B70" s="1417"/>
      <c r="C70" s="1417"/>
      <c r="D70" s="1418"/>
      <c r="E70" s="514" t="s">
        <v>1001</v>
      </c>
      <c r="F70" s="515"/>
      <c r="G70" s="516" t="s">
        <v>801</v>
      </c>
      <c r="H70" s="517"/>
      <c r="I70" s="516" t="s">
        <v>1002</v>
      </c>
      <c r="J70" s="518"/>
      <c r="K70" s="516" t="s">
        <v>1003</v>
      </c>
      <c r="L70" s="519"/>
      <c r="M70" s="516" t="s">
        <v>1004</v>
      </c>
      <c r="N70" s="520"/>
      <c r="O70" s="1266" t="s">
        <v>55</v>
      </c>
      <c r="P70" s="1419"/>
      <c r="Q70" s="1419"/>
      <c r="R70" s="1419"/>
      <c r="S70" s="1419"/>
      <c r="T70" s="1419"/>
      <c r="U70" s="1415"/>
      <c r="AN70" s="19">
        <f>IF(AND(AA69=1,EXACT(J70,"نفر اول")),(1),(0))</f>
        <v>0</v>
      </c>
      <c r="AO70" s="19">
        <f>IF(AN70=1,R69,0)</f>
        <v>0</v>
      </c>
      <c r="AP70" s="19">
        <f>IF(AND(AA69=1,EXACT(J70,"همكار")),(1),(0))</f>
        <v>0</v>
      </c>
      <c r="AQ70" s="19">
        <f>IF(AP70=1,R69,0)</f>
        <v>0</v>
      </c>
      <c r="AV70" s="19">
        <f>IF((AH69=1),R69,0)</f>
        <v>0</v>
      </c>
      <c r="AW70" s="19">
        <f>IF(AND(EXACT(AN70,"1"),EXACT(AH69,"1")),(1),(0))</f>
        <v>0</v>
      </c>
      <c r="AX70" s="19">
        <f>IF((AW70=1),AV70,0)</f>
        <v>0</v>
      </c>
      <c r="BB70" s="19">
        <f>IF((AI69=1),R69,0)</f>
        <v>0</v>
      </c>
      <c r="BC70" s="19">
        <f>IF(AND(EXACT(AI69,"1"),EXACT(AN70,"1")),(1),(0))</f>
        <v>0</v>
      </c>
      <c r="BD70" s="19">
        <f>IF((BC70=1),BB70,0)</f>
        <v>0</v>
      </c>
      <c r="BH70" s="19">
        <f>IF((AJ69=1),R69,0)</f>
        <v>0</v>
      </c>
      <c r="BI70" s="19">
        <f>IF(AND(EXACT(AJ69,"1"),EXACT(AN70,"1")),(1),(0))</f>
        <v>0</v>
      </c>
      <c r="BJ70" s="19">
        <f>IF((BI70=1),BH70,0)</f>
        <v>0</v>
      </c>
      <c r="BN70" s="19">
        <f>IF((AK69=1),R69,0)</f>
        <v>0</v>
      </c>
      <c r="BO70" s="19">
        <f>IF(AND(EXACT(AK69,"1"),EXACT(AN70,"1")),(1),(0))</f>
        <v>0</v>
      </c>
      <c r="BP70" s="19">
        <f>IF((BO70=1),BN70,0)</f>
        <v>0</v>
      </c>
      <c r="BT70" s="19">
        <f>IF((AL69=1),R69,0)</f>
        <v>0</v>
      </c>
      <c r="BU70" s="19">
        <f>IF(AND(EXACT(AN70,"1"),EXACT(AL69,"1")),(1),(0))</f>
        <v>0</v>
      </c>
      <c r="BV70" s="19">
        <f>IF((BU70=1),BT70,0)</f>
        <v>0</v>
      </c>
      <c r="BZ70" s="19">
        <f>IF((AM69=1),R69,0)</f>
        <v>0</v>
      </c>
      <c r="CA70" s="19">
        <f>IF(AND(EXACT(AM69,"1"),EXACT(AN70,"1")),(1),(0))</f>
        <v>0</v>
      </c>
      <c r="CB70" s="19">
        <f>IF((CA70=1),BZ70,0)</f>
        <v>0</v>
      </c>
    </row>
    <row r="71" spans="1:83" ht="20.25">
      <c r="A71" s="1420" t="s">
        <v>30</v>
      </c>
      <c r="B71" s="1421"/>
      <c r="C71" s="1421"/>
      <c r="D71" s="1422"/>
      <c r="E71" s="536" t="s">
        <v>1001</v>
      </c>
      <c r="F71" s="537"/>
      <c r="G71" s="538" t="s">
        <v>801</v>
      </c>
      <c r="H71" s="539"/>
      <c r="I71" s="538" t="s">
        <v>1002</v>
      </c>
      <c r="J71" s="525"/>
      <c r="K71" s="538" t="s">
        <v>1003</v>
      </c>
      <c r="L71" s="540"/>
      <c r="M71" s="538" t="s">
        <v>1004</v>
      </c>
      <c r="N71" s="541"/>
      <c r="O71" s="1266"/>
      <c r="P71" s="1423"/>
      <c r="Q71" s="1423"/>
      <c r="R71" s="1423"/>
      <c r="S71" s="1423"/>
      <c r="T71" s="1423"/>
      <c r="U71" s="1415"/>
      <c r="AR71" s="19">
        <f>IF(AND(AA69=1,EXACT(J71,"نفر اول")),(1),(0))</f>
        <v>0</v>
      </c>
      <c r="AS71" s="19">
        <f>IF(AR71=1,S69,0)</f>
        <v>0</v>
      </c>
      <c r="AT71" s="19">
        <f>IF(AND(AA69=1,EXACT(J71,"همكار")),(1),(0))</f>
        <v>0</v>
      </c>
      <c r="AU71" s="19">
        <f>IF(AT71=1,S69,0)</f>
        <v>0</v>
      </c>
      <c r="AY71" s="19">
        <f>IF((AH69=1),S69,0)</f>
        <v>0</v>
      </c>
      <c r="AZ71" s="19">
        <f>IF(AND(EXACT(AR71,"1"),EXACT(AH69,"1")),(1),(0))</f>
        <v>0</v>
      </c>
      <c r="BA71" s="19">
        <f>IF((AZ71=1),AY71,0)</f>
        <v>0</v>
      </c>
      <c r="BE71" s="19">
        <f>IF((AI69=1),S69,0)</f>
        <v>0</v>
      </c>
      <c r="BF71" s="19">
        <f>IF(AND(EXACT(AI69,"1"),EXACT(AR71,"1")),(1),(0))</f>
        <v>0</v>
      </c>
      <c r="BG71" s="19">
        <f>IF((BF71=1),BE71,0)</f>
        <v>0</v>
      </c>
      <c r="BK71" s="19">
        <f>IF((AJ69=1),S69,0)</f>
        <v>0</v>
      </c>
      <c r="BL71" s="19">
        <f>IF(AND(EXACT(AJ69,"1"),EXACT(AR71,"1")),(1),(0))</f>
        <v>0</v>
      </c>
      <c r="BM71" s="19">
        <f>IF((BL71=1),BK71,0)</f>
        <v>0</v>
      </c>
      <c r="BQ71" s="19">
        <f>IF((AJ69=1),S69,0)</f>
        <v>0</v>
      </c>
      <c r="BR71" s="19">
        <f>IF(AND(EXACT(AJ69,"1"),EXACT(AR71,"1")),(1),(0))</f>
        <v>0</v>
      </c>
      <c r="BS71" s="19">
        <f>IF((BL71=1),BK71,0)</f>
        <v>0</v>
      </c>
      <c r="BW71" s="19">
        <f>IF((AL69=1),S69,0)</f>
        <v>0</v>
      </c>
      <c r="BX71" s="19">
        <f>IF(AND(EXACT(AL69,"1"),EXACT(AR71,"1")),(1),(0))</f>
        <v>0</v>
      </c>
      <c r="BY71" s="19">
        <f>IF((BX71=1),BW71,0)</f>
        <v>0</v>
      </c>
      <c r="CC71" s="19">
        <f>IF((AM69=1),R69,0)</f>
        <v>0</v>
      </c>
      <c r="CD71" s="19">
        <f>IF(AND(EXACT(AM69,"1"),EXACT(AR71,"1")),(1),(0))</f>
        <v>0</v>
      </c>
      <c r="CE71" s="19">
        <f>IF((CD71=1),CC71,0)</f>
        <v>0</v>
      </c>
    </row>
    <row r="72" spans="1:83" ht="20.25">
      <c r="A72" s="12">
        <f>IF(AA72=0,0,IF(AA69=0,Z72,SUM(A69,AA72)))</f>
        <v>0</v>
      </c>
      <c r="B72" s="1157"/>
      <c r="C72" s="1157"/>
      <c r="D72" s="1157"/>
      <c r="E72" s="1182"/>
      <c r="F72" s="1424"/>
      <c r="G72" s="1424"/>
      <c r="H72" s="527"/>
      <c r="I72" s="528"/>
      <c r="J72" s="529"/>
      <c r="K72" s="530"/>
      <c r="L72" s="531"/>
      <c r="M72" s="532"/>
      <c r="N72" s="533"/>
      <c r="O72" s="532"/>
      <c r="P72" s="1182"/>
      <c r="Q72" s="1182"/>
      <c r="R72" s="534">
        <f t="shared" ref="R72" ca="1" si="76">IF(OR(EXACT(H72,""),EXACT(B72,""),EXACT(F73,""),EXACT(H73,""),EXACT(J73,""),EXACT(L73,""),EXACT(N73,""),EXACT(F72,""),EXACT(J72,""),EXACT(M72,""),EXACT(N72,""),EXACT(O72,""),EXACT(P72,"")),0,IF(OR(EXACT(P73,"مقاله پر استناد"),EXACT(P73,"مقاله داغ"),EXACT(P73,"مستخرج از برنامه تحقيقاتي ملي معطوف به رفع مشكلات كشور")),(1.5*(F73*N73*(IF(EXACT(J73,"نفر اول"),INDIRECT(CONCATENATE("'Data Base'!$d",H73)),INDIRECT(CONCATENATE("'Data Base'!$e",H73))))*((100-L73)/100))),IF(EXACT(P73,"Short Article"),(0.5*(F73*N73*(IF(EXACT(J73,"نفر اول"),INDIRECT(CONCATENATE("'Data Base'!$D",H73)),INDIRECT(CONCATENATE("'Data Base'!$E",H73))))*((100-L73)/100))),IF(EXACT(P73,"چاپ شده در نشريات بسيار پر استناد Nature و Science"),(2*(F73*N73*(IF(EXACT(J73,"نفر اول"),INDIRECT(CONCATENATE("'Data Base'!$D",H73)),INDIRECT(CONCATENATE("'Data Base'!$E",H73))))*((100-L73)/100))),IF(OR(EXACT(P73,"مستخرج از طرح پژوهشي محرمانه"),EXACT(P73,"مشترك با اساتيد دانشگاه خارج از كشور")),(1.2*(F73*N73*(IF(EXACT(J73,"نفر اول"),INDIRECT(CONCATENATE("'Data Base'!$D",H73)),INDIRECT(CONCATENATE("'Data Base'!$E",H73))))*((100-L73)/100))),(F73*N73*(IF(EXACT(J73,"نفر اول"),INDIRECT(CONCATENATE("'Data Base'!$d",H73)),INDIRECT(CONCATENATE("'Data Base'!$e",H73))))*((100-L73)/100)))))))</f>
        <v>0</v>
      </c>
      <c r="S72" s="535">
        <f t="shared" ref="S72" ca="1" si="77">IF(OR(EXACT(H72,""),EXACT(B72,""),EXACT(F74,""),EXACT(H74,""),EXACT(J74,""),EXACT(L74,""),EXACT(N74,""),EXACT(F72,""),EXACT(J72,""),EXACT(M72,""),EXACT(N72,""),EXACT(O72,""),EXACT(P72,"")),0,IF(OR(EXACT(P74,"مقاله پر استناد"),EXACT(P74,"مقاله داغ"),EXACT(P74,"مستخرج از برنامه تحقيقاتي ملي معطوف به رفع مشكلات كشور")),(1.5*(F74*N74*(IF(EXACT(J74,"نفر اول"),INDIRECT(CONCATENATE("'Data Base'!$d",H74)),INDIRECT(CONCATENATE("'Data Base'!$E",H74))))*((100-L74)/100))),IF(EXACT(P74,"Short Article"),(0.5*(F74*N74*(IF(EXACT(J74,"نفر اول"),INDIRECT(CONCATENATE("'Data Base'!$D",H74)),INDIRECT(CONCATENATE("'Data Base'!$E",H74))))*((100-L74)/100))),IF(EXACT(P74,"چاپ شده در نشريات بسيار پر استناد Nature و Science"),(2*(F74*N74*(IF(EXACT(J74,"نفر اول"),INDIRECT(CONCATENATE("'Data Base'!$D",H74)),INDIRECT(CONCATENATE("'Data Base'!$E",H74))))*((100-L74)/100))),IF(OR(EXACT(P74,"مستخرج از طرح پژوهشي محرمانه"),EXACT(P74,"مشترك با اساتيد دانشگاه خارج از كشور")),(1.2*(F74*N74*(IF(EXACT(J74,"نفر اول"),INDIRECT(CONCATENATE("'Data Base'!$D",H74)),INDIRECT(CONCATENATE("'Data Base'!$E",H74))))*((100-L74)/100))),(F74*N74*(IF(EXACT(J74,"نفر اول"),INDIRECT(CONCATENATE("'Data Base'!$D",H74)),INDIRECT(CONCATENATE("'Data Base'!$E",H74))))*((100-L74)/100)))))))</f>
        <v>0</v>
      </c>
      <c r="T72" s="147"/>
      <c r="U72" s="1414"/>
      <c r="Z72" s="19">
        <f>SUM(Z69,AA72)</f>
        <v>0</v>
      </c>
      <c r="AA72" s="19">
        <f>IF(OR(OR(B72="",F72="",H72="",J72="",P72=""),AND(M72="",O72="")),0,1)</f>
        <v>0</v>
      </c>
      <c r="AB72" s="19">
        <f t="shared" ref="AB72" ca="1" si="78">IF(AND(AA72=1,S72&gt;0),1,0)</f>
        <v>0</v>
      </c>
      <c r="AC72" s="19">
        <f t="shared" ref="AC72" ca="1" si="79">IF(AND(AA72=1,S72&lt;1),1,0)</f>
        <v>0</v>
      </c>
      <c r="AD72" s="19">
        <f ca="1">IF(AND(AA72=1,S72&gt;=1,AJ72=1),1,0)</f>
        <v>0</v>
      </c>
      <c r="AE72" s="19">
        <f ca="1">IF(AD72=1,S72,0)</f>
        <v>0</v>
      </c>
      <c r="AF72" s="19">
        <f ca="1">IF(AND(AA72=1,S72&gt;=1,AJ72=1,AR74=1),1,0)</f>
        <v>0</v>
      </c>
      <c r="AG72" s="19">
        <f ca="1">IF(AF72=1,S72,0)</f>
        <v>0</v>
      </c>
      <c r="AH72" s="19">
        <f>IF(OR(EXACT(H72,"JCR-Q1"),EXACT(H72,"JCR-Q2")),(1),(0))</f>
        <v>0</v>
      </c>
      <c r="AI72" s="19">
        <f>IF(OR(EXACT(H72,"JCR-Q1"),EXACT(H72,"JCR-Q2"),EXACT(H72,"JCR-Q3")),(1),(0))</f>
        <v>0</v>
      </c>
      <c r="AJ72" s="19">
        <f>IF(OR(EXACT(H72,"JCR-Q1"),EXACT(H72,"JCR-Q2"),EXACT(H72,"JCR-Q3"),EXACT(H72,"JCR-Q4")),(1),(0))</f>
        <v>0</v>
      </c>
      <c r="AK72" s="19">
        <f>IF(OR(EXACT(H72,"JCR-Q1"),EXACT(H72,"JCR-Q2"),EXACT(H72,"JCR-Q3"),EXACT(H72,"JCR-Q4"),EXACT(H72,"WOS")),(1),(0))</f>
        <v>0</v>
      </c>
      <c r="AL72" s="19">
        <f>IF(OR(EXACT(H72,"JCR-Q1"),EXACT(H72,"JCR-Q2"),EXACT(H72,"JCR-Q3"),EXACT(H72,"JCR-Q4"),EXACT(H72,"WOS"),EXACT(H72,"Scopus")),(1),(0))</f>
        <v>0</v>
      </c>
      <c r="AM72" s="19">
        <f>IF(OR(EXACT(H72,'Data Base'!$B$21),EXACT(H72,'Data Base'!$B$22)),(1),(0))</f>
        <v>0</v>
      </c>
    </row>
    <row r="73" spans="1:83" ht="20.25" customHeight="1">
      <c r="A73" s="1416" t="s">
        <v>29</v>
      </c>
      <c r="B73" s="1417"/>
      <c r="C73" s="1417"/>
      <c r="D73" s="1418"/>
      <c r="E73" s="514" t="s">
        <v>1001</v>
      </c>
      <c r="F73" s="515"/>
      <c r="G73" s="516" t="s">
        <v>801</v>
      </c>
      <c r="H73" s="517"/>
      <c r="I73" s="516" t="s">
        <v>1002</v>
      </c>
      <c r="J73" s="518"/>
      <c r="K73" s="516" t="s">
        <v>1003</v>
      </c>
      <c r="L73" s="519"/>
      <c r="M73" s="516" t="s">
        <v>1004</v>
      </c>
      <c r="N73" s="520"/>
      <c r="O73" s="1266" t="s">
        <v>55</v>
      </c>
      <c r="P73" s="1419"/>
      <c r="Q73" s="1419"/>
      <c r="R73" s="1419"/>
      <c r="S73" s="1419"/>
      <c r="T73" s="1419"/>
      <c r="U73" s="1415"/>
      <c r="AN73" s="19">
        <f>IF(AND(AA72=1,EXACT(J73,"نفر اول")),(1),(0))</f>
        <v>0</v>
      </c>
      <c r="AO73" s="19">
        <f>IF(AN73=1,R72,0)</f>
        <v>0</v>
      </c>
      <c r="AP73" s="19">
        <f>IF(AND(AA72=1,EXACT(J73,"همكار")),(1),(0))</f>
        <v>0</v>
      </c>
      <c r="AQ73" s="19">
        <f>IF(AP73=1,R72,0)</f>
        <v>0</v>
      </c>
      <c r="AV73" s="19">
        <f>IF((AH72=1),R72,0)</f>
        <v>0</v>
      </c>
      <c r="AW73" s="19">
        <f>IF(AND(EXACT(AN73,"1"),EXACT(AH72,"1")),(1),(0))</f>
        <v>0</v>
      </c>
      <c r="AX73" s="19">
        <f>IF((AW73=1),AV73,0)</f>
        <v>0</v>
      </c>
      <c r="BB73" s="19">
        <f>IF((AI72=1),R72,0)</f>
        <v>0</v>
      </c>
      <c r="BC73" s="19">
        <f>IF(AND(EXACT(AI72,"1"),EXACT(AN73,"1")),(1),(0))</f>
        <v>0</v>
      </c>
      <c r="BD73" s="19">
        <f>IF((BC73=1),BB73,0)</f>
        <v>0</v>
      </c>
      <c r="BH73" s="19">
        <f>IF((AJ72=1),R72,0)</f>
        <v>0</v>
      </c>
      <c r="BI73" s="19">
        <f>IF(AND(EXACT(AJ72,"1"),EXACT(AN73,"1")),(1),(0))</f>
        <v>0</v>
      </c>
      <c r="BJ73" s="19">
        <f>IF((BI73=1),BH73,0)</f>
        <v>0</v>
      </c>
      <c r="BN73" s="19">
        <f>IF((AK72=1),R72,0)</f>
        <v>0</v>
      </c>
      <c r="BO73" s="19">
        <f>IF(AND(EXACT(AK72,"1"),EXACT(AN73,"1")),(1),(0))</f>
        <v>0</v>
      </c>
      <c r="BP73" s="19">
        <f>IF((BO73=1),BN73,0)</f>
        <v>0</v>
      </c>
      <c r="BT73" s="19">
        <f>IF((AL72=1),R72,0)</f>
        <v>0</v>
      </c>
      <c r="BU73" s="19">
        <f>IF(AND(EXACT(AN73,"1"),EXACT(AL72,"1")),(1),(0))</f>
        <v>0</v>
      </c>
      <c r="BV73" s="19">
        <f>IF((BU73=1),BT73,0)</f>
        <v>0</v>
      </c>
      <c r="BZ73" s="19">
        <f>IF((AM72=1),R72,0)</f>
        <v>0</v>
      </c>
      <c r="CA73" s="19">
        <f>IF(AND(EXACT(AM72,"1"),EXACT(AN73,"1")),(1),(0))</f>
        <v>0</v>
      </c>
      <c r="CB73" s="19">
        <f>IF((CA73=1),BZ73,0)</f>
        <v>0</v>
      </c>
    </row>
    <row r="74" spans="1:83" ht="20.25">
      <c r="A74" s="1420" t="s">
        <v>30</v>
      </c>
      <c r="B74" s="1421"/>
      <c r="C74" s="1421"/>
      <c r="D74" s="1422"/>
      <c r="E74" s="536" t="s">
        <v>1001</v>
      </c>
      <c r="F74" s="537"/>
      <c r="G74" s="538" t="s">
        <v>801</v>
      </c>
      <c r="H74" s="539"/>
      <c r="I74" s="538" t="s">
        <v>1002</v>
      </c>
      <c r="J74" s="525"/>
      <c r="K74" s="538" t="s">
        <v>1003</v>
      </c>
      <c r="L74" s="540"/>
      <c r="M74" s="538" t="s">
        <v>1004</v>
      </c>
      <c r="N74" s="541"/>
      <c r="O74" s="1266"/>
      <c r="P74" s="1423"/>
      <c r="Q74" s="1423"/>
      <c r="R74" s="1423"/>
      <c r="S74" s="1423"/>
      <c r="T74" s="1423"/>
      <c r="U74" s="1415"/>
      <c r="AR74" s="19">
        <f>IF(AND(AA72=1,EXACT(J74,"نفر اول")),(1),(0))</f>
        <v>0</v>
      </c>
      <c r="AS74" s="19">
        <f>IF(AR74=1,S72,0)</f>
        <v>0</v>
      </c>
      <c r="AT74" s="19">
        <f>IF(AND(AA72=1,EXACT(J74,"همكار")),(1),(0))</f>
        <v>0</v>
      </c>
      <c r="AU74" s="19">
        <f>IF(AT74=1,S72,0)</f>
        <v>0</v>
      </c>
      <c r="AY74" s="19">
        <f>IF((AH72=1),S72,0)</f>
        <v>0</v>
      </c>
      <c r="AZ74" s="19">
        <f>IF(AND(EXACT(AR74,"1"),EXACT(AH72,"1")),(1),(0))</f>
        <v>0</v>
      </c>
      <c r="BA74" s="19">
        <f>IF((AZ74=1),AY74,0)</f>
        <v>0</v>
      </c>
      <c r="BE74" s="19">
        <f>IF((AI72=1),S72,0)</f>
        <v>0</v>
      </c>
      <c r="BF74" s="19">
        <f>IF(AND(EXACT(AI72,"1"),EXACT(AR74,"1")),(1),(0))</f>
        <v>0</v>
      </c>
      <c r="BG74" s="19">
        <f>IF((BF74=1),BE74,0)</f>
        <v>0</v>
      </c>
      <c r="BK74" s="19">
        <f>IF((AJ72=1),S72,0)</f>
        <v>0</v>
      </c>
      <c r="BL74" s="19">
        <f>IF(AND(EXACT(AJ72,"1"),EXACT(AR74,"1")),(1),(0))</f>
        <v>0</v>
      </c>
      <c r="BM74" s="19">
        <f>IF((BL74=1),BK74,0)</f>
        <v>0</v>
      </c>
      <c r="BQ74" s="19">
        <f>IF((AJ72=1),S72,0)</f>
        <v>0</v>
      </c>
      <c r="BR74" s="19">
        <f>IF(AND(EXACT(AJ72,"1"),EXACT(AR74,"1")),(1),(0))</f>
        <v>0</v>
      </c>
      <c r="BS74" s="19">
        <f>IF((BL74=1),BK74,0)</f>
        <v>0</v>
      </c>
      <c r="BW74" s="19">
        <f>IF((AL72=1),S72,0)</f>
        <v>0</v>
      </c>
      <c r="BX74" s="19">
        <f>IF(AND(EXACT(AL72,"1"),EXACT(AR74,"1")),(1),(0))</f>
        <v>0</v>
      </c>
      <c r="BY74" s="19">
        <f>IF((BX74=1),BW74,0)</f>
        <v>0</v>
      </c>
      <c r="CC74" s="19">
        <f>IF((AM72=1),R72,0)</f>
        <v>0</v>
      </c>
      <c r="CD74" s="19">
        <f>IF(AND(EXACT(AM72,"1"),EXACT(AR74,"1")),(1),(0))</f>
        <v>0</v>
      </c>
      <c r="CE74" s="19">
        <f>IF((CD74=1),CC74,0)</f>
        <v>0</v>
      </c>
    </row>
    <row r="75" spans="1:83" ht="20.25">
      <c r="A75" s="12">
        <f>IF(AA75=0,0,IF(AA72=0,Z75,SUM(A72,AA75)))</f>
        <v>0</v>
      </c>
      <c r="B75" s="1157"/>
      <c r="C75" s="1157"/>
      <c r="D75" s="1157"/>
      <c r="E75" s="1182"/>
      <c r="F75" s="1424"/>
      <c r="G75" s="1424"/>
      <c r="H75" s="527"/>
      <c r="I75" s="528"/>
      <c r="J75" s="529"/>
      <c r="K75" s="530"/>
      <c r="L75" s="531"/>
      <c r="M75" s="532"/>
      <c r="N75" s="533"/>
      <c r="O75" s="532"/>
      <c r="P75" s="1182"/>
      <c r="Q75" s="1182"/>
      <c r="R75" s="534">
        <f t="shared" ref="R75" ca="1" si="80">IF(OR(EXACT(H75,""),EXACT(B75,""),EXACT(F76,""),EXACT(H76,""),EXACT(J76,""),EXACT(L76,""),EXACT(N76,""),EXACT(F75,""),EXACT(J75,""),EXACT(M75,""),EXACT(N75,""),EXACT(O75,""),EXACT(P75,"")),0,IF(OR(EXACT(P76,"مقاله پر استناد"),EXACT(P76,"مقاله داغ"),EXACT(P76,"مستخرج از برنامه تحقيقاتي ملي معطوف به رفع مشكلات كشور")),(1.5*(F76*N76*(IF(EXACT(J76,"نفر اول"),INDIRECT(CONCATENATE("'Data Base'!$d",H76)),INDIRECT(CONCATENATE("'Data Base'!$e",H76))))*((100-L76)/100))),IF(EXACT(P76,"Short Article"),(0.5*(F76*N76*(IF(EXACT(J76,"نفر اول"),INDIRECT(CONCATENATE("'Data Base'!$D",H76)),INDIRECT(CONCATENATE("'Data Base'!$E",H76))))*((100-L76)/100))),IF(EXACT(P76,"چاپ شده در نشريات بسيار پر استناد Nature و Science"),(2*(F76*N76*(IF(EXACT(J76,"نفر اول"),INDIRECT(CONCATENATE("'Data Base'!$D",H76)),INDIRECT(CONCATENATE("'Data Base'!$E",H76))))*((100-L76)/100))),IF(OR(EXACT(P76,"مستخرج از طرح پژوهشي محرمانه"),EXACT(P76,"مشترك با اساتيد دانشگاه خارج از كشور")),(1.2*(F76*N76*(IF(EXACT(J76,"نفر اول"),INDIRECT(CONCATENATE("'Data Base'!$D",H76)),INDIRECT(CONCATENATE("'Data Base'!$E",H76))))*((100-L76)/100))),(F76*N76*(IF(EXACT(J76,"نفر اول"),INDIRECT(CONCATENATE("'Data Base'!$d",H76)),INDIRECT(CONCATENATE("'Data Base'!$e",H76))))*((100-L76)/100)))))))</f>
        <v>0</v>
      </c>
      <c r="S75" s="535">
        <f t="shared" ref="S75" ca="1" si="81">IF(OR(EXACT(H75,""),EXACT(B75,""),EXACT(F77,""),EXACT(H77,""),EXACT(J77,""),EXACT(L77,""),EXACT(N77,""),EXACT(F75,""),EXACT(J75,""),EXACT(M75,""),EXACT(N75,""),EXACT(O75,""),EXACT(P75,"")),0,IF(OR(EXACT(P77,"مقاله پر استناد"),EXACT(P77,"مقاله داغ"),EXACT(P77,"مستخرج از برنامه تحقيقاتي ملي معطوف به رفع مشكلات كشور")),(1.5*(F77*N77*(IF(EXACT(J77,"نفر اول"),INDIRECT(CONCATENATE("'Data Base'!$d",H77)),INDIRECT(CONCATENATE("'Data Base'!$E",H77))))*((100-L77)/100))),IF(EXACT(P77,"Short Article"),(0.5*(F77*N77*(IF(EXACT(J77,"نفر اول"),INDIRECT(CONCATENATE("'Data Base'!$D",H77)),INDIRECT(CONCATENATE("'Data Base'!$E",H77))))*((100-L77)/100))),IF(EXACT(P77,"چاپ شده در نشريات بسيار پر استناد Nature و Science"),(2*(F77*N77*(IF(EXACT(J77,"نفر اول"),INDIRECT(CONCATENATE("'Data Base'!$D",H77)),INDIRECT(CONCATENATE("'Data Base'!$E",H77))))*((100-L77)/100))),IF(OR(EXACT(P77,"مستخرج از طرح پژوهشي محرمانه"),EXACT(P77,"مشترك با اساتيد دانشگاه خارج از كشور")),(1.2*(F77*N77*(IF(EXACT(J77,"نفر اول"),INDIRECT(CONCATENATE("'Data Base'!$D",H77)),INDIRECT(CONCATENATE("'Data Base'!$E",H77))))*((100-L77)/100))),(F77*N77*(IF(EXACT(J77,"نفر اول"),INDIRECT(CONCATENATE("'Data Base'!$D",H77)),INDIRECT(CONCATENATE("'Data Base'!$E",H77))))*((100-L77)/100)))))))</f>
        <v>0</v>
      </c>
      <c r="T75" s="147"/>
      <c r="U75" s="1414"/>
      <c r="Z75" s="19">
        <f>SUM(Z72,AA75)</f>
        <v>0</v>
      </c>
      <c r="AA75" s="19">
        <f>IF(OR(OR(B75="",F75="",H75="",J75="",P75=""),AND(M75="",O75="")),0,1)</f>
        <v>0</v>
      </c>
      <c r="AB75" s="19">
        <f t="shared" ref="AB75" ca="1" si="82">IF(AND(AA75=1,S75&gt;0),1,0)</f>
        <v>0</v>
      </c>
      <c r="AC75" s="19">
        <f t="shared" ref="AC75" ca="1" si="83">IF(AND(AA75=1,S75&lt;1),1,0)</f>
        <v>0</v>
      </c>
      <c r="AD75" s="19">
        <f ca="1">IF(AND(AA75=1,S75&gt;=1,AJ75=1),1,0)</f>
        <v>0</v>
      </c>
      <c r="AE75" s="19">
        <f ca="1">IF(AD75=1,S75,0)</f>
        <v>0</v>
      </c>
      <c r="AF75" s="19">
        <f ca="1">IF(AND(AA75=1,S75&gt;=1,AJ75=1,AR77=1),1,0)</f>
        <v>0</v>
      </c>
      <c r="AG75" s="19">
        <f ca="1">IF(AF75=1,S75,0)</f>
        <v>0</v>
      </c>
      <c r="AH75" s="19">
        <f>IF(OR(EXACT(H75,"JCR-Q1"),EXACT(H75,"JCR-Q2")),(1),(0))</f>
        <v>0</v>
      </c>
      <c r="AI75" s="19">
        <f>IF(OR(EXACT(H75,"JCR-Q1"),EXACT(H75,"JCR-Q2"),EXACT(H75,"JCR-Q3")),(1),(0))</f>
        <v>0</v>
      </c>
      <c r="AJ75" s="19">
        <f>IF(OR(EXACT(H75,"JCR-Q1"),EXACT(H75,"JCR-Q2"),EXACT(H75,"JCR-Q3"),EXACT(H75,"JCR-Q4")),(1),(0))</f>
        <v>0</v>
      </c>
      <c r="AK75" s="19">
        <f>IF(OR(EXACT(H75,"JCR-Q1"),EXACT(H75,"JCR-Q2"),EXACT(H75,"JCR-Q3"),EXACT(H75,"JCR-Q4"),EXACT(H75,"WOS")),(1),(0))</f>
        <v>0</v>
      </c>
      <c r="AL75" s="19">
        <f>IF(OR(EXACT(H75,"JCR-Q1"),EXACT(H75,"JCR-Q2"),EXACT(H75,"JCR-Q3"),EXACT(H75,"JCR-Q4"),EXACT(H75,"WOS"),EXACT(H75,"Scopus")),(1),(0))</f>
        <v>0</v>
      </c>
      <c r="AM75" s="19">
        <f>IF(OR(EXACT(H75,'Data Base'!$B$21),EXACT(H75,'Data Base'!$B$22)),(1),(0))</f>
        <v>0</v>
      </c>
    </row>
    <row r="76" spans="1:83" ht="20.25" customHeight="1">
      <c r="A76" s="1416" t="s">
        <v>29</v>
      </c>
      <c r="B76" s="1417"/>
      <c r="C76" s="1417"/>
      <c r="D76" s="1418"/>
      <c r="E76" s="514" t="s">
        <v>1001</v>
      </c>
      <c r="F76" s="515"/>
      <c r="G76" s="516" t="s">
        <v>801</v>
      </c>
      <c r="H76" s="517"/>
      <c r="I76" s="516" t="s">
        <v>1002</v>
      </c>
      <c r="J76" s="518"/>
      <c r="K76" s="516" t="s">
        <v>1003</v>
      </c>
      <c r="L76" s="519"/>
      <c r="M76" s="516" t="s">
        <v>1004</v>
      </c>
      <c r="N76" s="520"/>
      <c r="O76" s="1266" t="s">
        <v>55</v>
      </c>
      <c r="P76" s="1419"/>
      <c r="Q76" s="1419"/>
      <c r="R76" s="1419"/>
      <c r="S76" s="1419"/>
      <c r="T76" s="1419"/>
      <c r="U76" s="1415"/>
      <c r="AN76" s="19">
        <f>IF(AND(AA75=1,EXACT(J76,"نفر اول")),(1),(0))</f>
        <v>0</v>
      </c>
      <c r="AO76" s="19">
        <f>IF(AN76=1,R75,0)</f>
        <v>0</v>
      </c>
      <c r="AP76" s="19">
        <f>IF(AND(AA75=1,EXACT(J76,"همكار")),(1),(0))</f>
        <v>0</v>
      </c>
      <c r="AQ76" s="19">
        <f>IF(AP76=1,R75,0)</f>
        <v>0</v>
      </c>
      <c r="AV76" s="19">
        <f>IF((AH75=1),R75,0)</f>
        <v>0</v>
      </c>
      <c r="AW76" s="19">
        <f>IF(AND(EXACT(AN76,"1"),EXACT(AH75,"1")),(1),(0))</f>
        <v>0</v>
      </c>
      <c r="AX76" s="19">
        <f>IF((AW76=1),AV76,0)</f>
        <v>0</v>
      </c>
      <c r="BB76" s="19">
        <f>IF((AI75=1),R75,0)</f>
        <v>0</v>
      </c>
      <c r="BC76" s="19">
        <f>IF(AND(EXACT(AI75,"1"),EXACT(AN76,"1")),(1),(0))</f>
        <v>0</v>
      </c>
      <c r="BD76" s="19">
        <f>IF((BC76=1),BB76,0)</f>
        <v>0</v>
      </c>
      <c r="BH76" s="19">
        <f>IF((AJ75=1),R75,0)</f>
        <v>0</v>
      </c>
      <c r="BI76" s="19">
        <f>IF(AND(EXACT(AJ75,"1"),EXACT(AN76,"1")),(1),(0))</f>
        <v>0</v>
      </c>
      <c r="BJ76" s="19">
        <f>IF((BI76=1),BH76,0)</f>
        <v>0</v>
      </c>
      <c r="BN76" s="19">
        <f>IF((AK75=1),R75,0)</f>
        <v>0</v>
      </c>
      <c r="BO76" s="19">
        <f>IF(AND(EXACT(AK75,"1"),EXACT(AN76,"1")),(1),(0))</f>
        <v>0</v>
      </c>
      <c r="BP76" s="19">
        <f>IF((BO76=1),BN76,0)</f>
        <v>0</v>
      </c>
      <c r="BT76" s="19">
        <f>IF((AL75=1),R75,0)</f>
        <v>0</v>
      </c>
      <c r="BU76" s="19">
        <f>IF(AND(EXACT(AN76,"1"),EXACT(AL75,"1")),(1),(0))</f>
        <v>0</v>
      </c>
      <c r="BV76" s="19">
        <f>IF((BU76=1),BT76,0)</f>
        <v>0</v>
      </c>
      <c r="BZ76" s="19">
        <f>IF((AM75=1),R75,0)</f>
        <v>0</v>
      </c>
      <c r="CA76" s="19">
        <f>IF(AND(EXACT(AM75,"1"),EXACT(AN76,"1")),(1),(0))</f>
        <v>0</v>
      </c>
      <c r="CB76" s="19">
        <f>IF((CA76=1),BZ76,0)</f>
        <v>0</v>
      </c>
    </row>
    <row r="77" spans="1:83" ht="20.25">
      <c r="A77" s="1420" t="s">
        <v>30</v>
      </c>
      <c r="B77" s="1421"/>
      <c r="C77" s="1421"/>
      <c r="D77" s="1422"/>
      <c r="E77" s="536" t="s">
        <v>1001</v>
      </c>
      <c r="F77" s="537"/>
      <c r="G77" s="538" t="s">
        <v>801</v>
      </c>
      <c r="H77" s="539"/>
      <c r="I77" s="538" t="s">
        <v>1002</v>
      </c>
      <c r="J77" s="525"/>
      <c r="K77" s="538" t="s">
        <v>1003</v>
      </c>
      <c r="L77" s="540"/>
      <c r="M77" s="538" t="s">
        <v>1004</v>
      </c>
      <c r="N77" s="541"/>
      <c r="O77" s="1266"/>
      <c r="P77" s="1423"/>
      <c r="Q77" s="1423"/>
      <c r="R77" s="1423"/>
      <c r="S77" s="1423"/>
      <c r="T77" s="1423"/>
      <c r="U77" s="1415"/>
      <c r="AR77" s="19">
        <f>IF(AND(AA75=1,EXACT(J77,"نفر اول")),(1),(0))</f>
        <v>0</v>
      </c>
      <c r="AS77" s="19">
        <f>IF(AR77=1,S75,0)</f>
        <v>0</v>
      </c>
      <c r="AT77" s="19">
        <f>IF(AND(AA75=1,EXACT(J77,"همكار")),(1),(0))</f>
        <v>0</v>
      </c>
      <c r="AU77" s="19">
        <f>IF(AT77=1,S75,0)</f>
        <v>0</v>
      </c>
      <c r="AY77" s="19">
        <f>IF((AH75=1),S75,0)</f>
        <v>0</v>
      </c>
      <c r="AZ77" s="19">
        <f>IF(AND(EXACT(AR77,"1"),EXACT(AH75,"1")),(1),(0))</f>
        <v>0</v>
      </c>
      <c r="BA77" s="19">
        <f>IF((AZ77=1),AY77,0)</f>
        <v>0</v>
      </c>
      <c r="BE77" s="19">
        <f>IF((AI75=1),S75,0)</f>
        <v>0</v>
      </c>
      <c r="BF77" s="19">
        <f>IF(AND(EXACT(AI75,"1"),EXACT(AR77,"1")),(1),(0))</f>
        <v>0</v>
      </c>
      <c r="BG77" s="19">
        <f>IF((BF77=1),BE77,0)</f>
        <v>0</v>
      </c>
      <c r="BK77" s="19">
        <f>IF((AJ75=1),S75,0)</f>
        <v>0</v>
      </c>
      <c r="BL77" s="19">
        <f>IF(AND(EXACT(AJ75,"1"),EXACT(AR77,"1")),(1),(0))</f>
        <v>0</v>
      </c>
      <c r="BM77" s="19">
        <f>IF((BL77=1),BK77,0)</f>
        <v>0</v>
      </c>
      <c r="BQ77" s="19">
        <f>IF((AJ75=1),S75,0)</f>
        <v>0</v>
      </c>
      <c r="BR77" s="19">
        <f>IF(AND(EXACT(AJ75,"1"),EXACT(AR77,"1")),(1),(0))</f>
        <v>0</v>
      </c>
      <c r="BS77" s="19">
        <f>IF((BL77=1),BK77,0)</f>
        <v>0</v>
      </c>
      <c r="BW77" s="19">
        <f>IF((AL75=1),S75,0)</f>
        <v>0</v>
      </c>
      <c r="BX77" s="19">
        <f>IF(AND(EXACT(AL75,"1"),EXACT(AR77,"1")),(1),(0))</f>
        <v>0</v>
      </c>
      <c r="BY77" s="19">
        <f>IF((BX77=1),BW77,0)</f>
        <v>0</v>
      </c>
      <c r="CC77" s="19">
        <f>IF((AM75=1),R75,0)</f>
        <v>0</v>
      </c>
      <c r="CD77" s="19">
        <f>IF(AND(EXACT(AM75,"1"),EXACT(AR77,"1")),(1),(0))</f>
        <v>0</v>
      </c>
      <c r="CE77" s="19">
        <f>IF((CD77=1),CC77,0)</f>
        <v>0</v>
      </c>
    </row>
    <row r="78" spans="1:83" ht="20.25">
      <c r="A78" s="12">
        <f>IF(AA78=0,0,IF(AA75=0,Z78,SUM(A75,AA78)))</f>
        <v>0</v>
      </c>
      <c r="B78" s="1157"/>
      <c r="C78" s="1157"/>
      <c r="D78" s="1157"/>
      <c r="E78" s="1182"/>
      <c r="F78" s="1424"/>
      <c r="G78" s="1424"/>
      <c r="H78" s="527"/>
      <c r="I78" s="528"/>
      <c r="J78" s="529"/>
      <c r="K78" s="530"/>
      <c r="L78" s="531"/>
      <c r="M78" s="532"/>
      <c r="N78" s="533"/>
      <c r="O78" s="532"/>
      <c r="P78" s="1182"/>
      <c r="Q78" s="1182"/>
      <c r="R78" s="534">
        <f t="shared" ref="R78" ca="1" si="84">IF(OR(EXACT(H78,""),EXACT(B78,""),EXACT(F79,""),EXACT(H79,""),EXACT(J79,""),EXACT(L79,""),EXACT(N79,""),EXACT(F78,""),EXACT(J78,""),EXACT(M78,""),EXACT(N78,""),EXACT(O78,""),EXACT(P78,"")),0,IF(OR(EXACT(P79,"مقاله پر استناد"),EXACT(P79,"مقاله داغ"),EXACT(P79,"مستخرج از برنامه تحقيقاتي ملي معطوف به رفع مشكلات كشور")),(1.5*(F79*N79*(IF(EXACT(J79,"نفر اول"),INDIRECT(CONCATENATE("'Data Base'!$d",H79)),INDIRECT(CONCATENATE("'Data Base'!$e",H79))))*((100-L79)/100))),IF(EXACT(P79,"Short Article"),(0.5*(F79*N79*(IF(EXACT(J79,"نفر اول"),INDIRECT(CONCATENATE("'Data Base'!$D",H79)),INDIRECT(CONCATENATE("'Data Base'!$E",H79))))*((100-L79)/100))),IF(EXACT(P79,"چاپ شده در نشريات بسيار پر استناد Nature و Science"),(2*(F79*N79*(IF(EXACT(J79,"نفر اول"),INDIRECT(CONCATENATE("'Data Base'!$D",H79)),INDIRECT(CONCATENATE("'Data Base'!$E",H79))))*((100-L79)/100))),IF(OR(EXACT(P79,"مستخرج از طرح پژوهشي محرمانه"),EXACT(P79,"مشترك با اساتيد دانشگاه خارج از كشور")),(1.2*(F79*N79*(IF(EXACT(J79,"نفر اول"),INDIRECT(CONCATENATE("'Data Base'!$D",H79)),INDIRECT(CONCATENATE("'Data Base'!$E",H79))))*((100-L79)/100))),(F79*N79*(IF(EXACT(J79,"نفر اول"),INDIRECT(CONCATENATE("'Data Base'!$d",H79)),INDIRECT(CONCATENATE("'Data Base'!$e",H79))))*((100-L79)/100)))))))</f>
        <v>0</v>
      </c>
      <c r="S78" s="535">
        <f t="shared" ref="S78" ca="1" si="85">IF(OR(EXACT(H78,""),EXACT(B78,""),EXACT(F80,""),EXACT(H80,""),EXACT(J80,""),EXACT(L80,""),EXACT(N80,""),EXACT(F78,""),EXACT(J78,""),EXACT(M78,""),EXACT(N78,""),EXACT(O78,""),EXACT(P78,"")),0,IF(OR(EXACT(P80,"مقاله پر استناد"),EXACT(P80,"مقاله داغ"),EXACT(P80,"مستخرج از برنامه تحقيقاتي ملي معطوف به رفع مشكلات كشور")),(1.5*(F80*N80*(IF(EXACT(J80,"نفر اول"),INDIRECT(CONCATENATE("'Data Base'!$d",H80)),INDIRECT(CONCATENATE("'Data Base'!$E",H80))))*((100-L80)/100))),IF(EXACT(P80,"Short Article"),(0.5*(F80*N80*(IF(EXACT(J80,"نفر اول"),INDIRECT(CONCATENATE("'Data Base'!$D",H80)),INDIRECT(CONCATENATE("'Data Base'!$E",H80))))*((100-L80)/100))),IF(EXACT(P80,"چاپ شده در نشريات بسيار پر استناد Nature و Science"),(2*(F80*N80*(IF(EXACT(J80,"نفر اول"),INDIRECT(CONCATENATE("'Data Base'!$D",H80)),INDIRECT(CONCATENATE("'Data Base'!$E",H80))))*((100-L80)/100))),IF(OR(EXACT(P80,"مستخرج از طرح پژوهشي محرمانه"),EXACT(P80,"مشترك با اساتيد دانشگاه خارج از كشور")),(1.2*(F80*N80*(IF(EXACT(J80,"نفر اول"),INDIRECT(CONCATENATE("'Data Base'!$D",H80)),INDIRECT(CONCATENATE("'Data Base'!$E",H80))))*((100-L80)/100))),(F80*N80*(IF(EXACT(J80,"نفر اول"),INDIRECT(CONCATENATE("'Data Base'!$D",H80)),INDIRECT(CONCATENATE("'Data Base'!$E",H80))))*((100-L80)/100)))))))</f>
        <v>0</v>
      </c>
      <c r="T78" s="147"/>
      <c r="U78" s="1414"/>
      <c r="Z78" s="19">
        <f>SUM(Z75,AA78)</f>
        <v>0</v>
      </c>
      <c r="AA78" s="19">
        <f>IF(OR(OR(B78="",F78="",H78="",J78="",P78=""),AND(M78="",O78="")),0,1)</f>
        <v>0</v>
      </c>
      <c r="AB78" s="19">
        <f t="shared" ref="AB78" ca="1" si="86">IF(AND(AA78=1,S78&gt;0),1,0)</f>
        <v>0</v>
      </c>
      <c r="AC78" s="19">
        <f t="shared" ref="AC78" ca="1" si="87">IF(AND(AA78=1,S78&lt;1),1,0)</f>
        <v>0</v>
      </c>
      <c r="AD78" s="19">
        <f ca="1">IF(AND(AA78=1,S78&gt;=1,AJ78=1),1,0)</f>
        <v>0</v>
      </c>
      <c r="AE78" s="19">
        <f ca="1">IF(AD78=1,S78,0)</f>
        <v>0</v>
      </c>
      <c r="AF78" s="19">
        <f ca="1">IF(AND(AA78=1,S78&gt;=1,AJ78=1,AR80=1),1,0)</f>
        <v>0</v>
      </c>
      <c r="AG78" s="19">
        <f ca="1">IF(AF78=1,S78,0)</f>
        <v>0</v>
      </c>
      <c r="AH78" s="19">
        <f>IF(OR(EXACT(H78,"JCR-Q1"),EXACT(H78,"JCR-Q2")),(1),(0))</f>
        <v>0</v>
      </c>
      <c r="AI78" s="19">
        <f>IF(OR(EXACT(H78,"JCR-Q1"),EXACT(H78,"JCR-Q2"),EXACT(H78,"JCR-Q3")),(1),(0))</f>
        <v>0</v>
      </c>
      <c r="AJ78" s="19">
        <f>IF(OR(EXACT(H78,"JCR-Q1"),EXACT(H78,"JCR-Q2"),EXACT(H78,"JCR-Q3"),EXACT(H78,"JCR-Q4")),(1),(0))</f>
        <v>0</v>
      </c>
      <c r="AK78" s="19">
        <f>IF(OR(EXACT(H78,"JCR-Q1"),EXACT(H78,"JCR-Q2"),EXACT(H78,"JCR-Q3"),EXACT(H78,"JCR-Q4"),EXACT(H78,"WOS")),(1),(0))</f>
        <v>0</v>
      </c>
      <c r="AL78" s="19">
        <f>IF(OR(EXACT(H78,"JCR-Q1"),EXACT(H78,"JCR-Q2"),EXACT(H78,"JCR-Q3"),EXACT(H78,"JCR-Q4"),EXACT(H78,"WOS"),EXACT(H78,"Scopus")),(1),(0))</f>
        <v>0</v>
      </c>
      <c r="AM78" s="19">
        <f>IF(OR(EXACT(H78,'Data Base'!$B$21),EXACT(H78,'Data Base'!$B$22)),(1),(0))</f>
        <v>0</v>
      </c>
    </row>
    <row r="79" spans="1:83" ht="20.25" customHeight="1">
      <c r="A79" s="1416" t="s">
        <v>29</v>
      </c>
      <c r="B79" s="1417"/>
      <c r="C79" s="1417"/>
      <c r="D79" s="1418"/>
      <c r="E79" s="514" t="s">
        <v>1001</v>
      </c>
      <c r="F79" s="515"/>
      <c r="G79" s="516" t="s">
        <v>801</v>
      </c>
      <c r="H79" s="517"/>
      <c r="I79" s="516" t="s">
        <v>1002</v>
      </c>
      <c r="J79" s="518"/>
      <c r="K79" s="516" t="s">
        <v>1003</v>
      </c>
      <c r="L79" s="519"/>
      <c r="M79" s="516" t="s">
        <v>1004</v>
      </c>
      <c r="N79" s="520"/>
      <c r="O79" s="1266" t="s">
        <v>55</v>
      </c>
      <c r="P79" s="1419"/>
      <c r="Q79" s="1419"/>
      <c r="R79" s="1419"/>
      <c r="S79" s="1419"/>
      <c r="T79" s="1419"/>
      <c r="U79" s="1415"/>
      <c r="AN79" s="19">
        <f>IF(AND(AA78=1,EXACT(J79,"نفر اول")),(1),(0))</f>
        <v>0</v>
      </c>
      <c r="AO79" s="19">
        <f>IF(AN79=1,R78,0)</f>
        <v>0</v>
      </c>
      <c r="AP79" s="19">
        <f>IF(AND(AA78=1,EXACT(J79,"همكار")),(1),(0))</f>
        <v>0</v>
      </c>
      <c r="AQ79" s="19">
        <f>IF(AP79=1,R78,0)</f>
        <v>0</v>
      </c>
      <c r="AV79" s="19">
        <f>IF((AH78=1),R78,0)</f>
        <v>0</v>
      </c>
      <c r="AW79" s="19">
        <f>IF(AND(EXACT(AN79,"1"),EXACT(AH78,"1")),(1),(0))</f>
        <v>0</v>
      </c>
      <c r="AX79" s="19">
        <f>IF((AW79=1),AV79,0)</f>
        <v>0</v>
      </c>
      <c r="BB79" s="19">
        <f>IF((AI78=1),R78,0)</f>
        <v>0</v>
      </c>
      <c r="BC79" s="19">
        <f>IF(AND(EXACT(AI78,"1"),EXACT(AN79,"1")),(1),(0))</f>
        <v>0</v>
      </c>
      <c r="BD79" s="19">
        <f>IF((BC79=1),BB79,0)</f>
        <v>0</v>
      </c>
      <c r="BH79" s="19">
        <f>IF((AJ78=1),R78,0)</f>
        <v>0</v>
      </c>
      <c r="BI79" s="19">
        <f>IF(AND(EXACT(AJ78,"1"),EXACT(AN79,"1")),(1),(0))</f>
        <v>0</v>
      </c>
      <c r="BJ79" s="19">
        <f>IF((BI79=1),BH79,0)</f>
        <v>0</v>
      </c>
      <c r="BN79" s="19">
        <f>IF((AK78=1),R78,0)</f>
        <v>0</v>
      </c>
      <c r="BO79" s="19">
        <f>IF(AND(EXACT(AK78,"1"),EXACT(AN79,"1")),(1),(0))</f>
        <v>0</v>
      </c>
      <c r="BP79" s="19">
        <f>IF((BO79=1),BN79,0)</f>
        <v>0</v>
      </c>
      <c r="BT79" s="19">
        <f>IF((AL78=1),R78,0)</f>
        <v>0</v>
      </c>
      <c r="BU79" s="19">
        <f>IF(AND(EXACT(AN79,"1"),EXACT(AL78,"1")),(1),(0))</f>
        <v>0</v>
      </c>
      <c r="BV79" s="19">
        <f>IF((BU79=1),BT79,0)</f>
        <v>0</v>
      </c>
      <c r="BZ79" s="19">
        <f>IF((AM78=1),R78,0)</f>
        <v>0</v>
      </c>
      <c r="CA79" s="19">
        <f>IF(AND(EXACT(AM78,"1"),EXACT(AN79,"1")),(1),(0))</f>
        <v>0</v>
      </c>
      <c r="CB79" s="19">
        <f>IF((CA79=1),BZ79,0)</f>
        <v>0</v>
      </c>
    </row>
    <row r="80" spans="1:83" ht="20.25">
      <c r="A80" s="1420" t="s">
        <v>30</v>
      </c>
      <c r="B80" s="1421"/>
      <c r="C80" s="1421"/>
      <c r="D80" s="1422"/>
      <c r="E80" s="536" t="s">
        <v>1001</v>
      </c>
      <c r="F80" s="537"/>
      <c r="G80" s="538" t="s">
        <v>801</v>
      </c>
      <c r="H80" s="539"/>
      <c r="I80" s="538" t="s">
        <v>1002</v>
      </c>
      <c r="J80" s="525"/>
      <c r="K80" s="538" t="s">
        <v>1003</v>
      </c>
      <c r="L80" s="540"/>
      <c r="M80" s="538" t="s">
        <v>1004</v>
      </c>
      <c r="N80" s="541"/>
      <c r="O80" s="1266"/>
      <c r="P80" s="1423"/>
      <c r="Q80" s="1423"/>
      <c r="R80" s="1423"/>
      <c r="S80" s="1423"/>
      <c r="T80" s="1423"/>
      <c r="U80" s="1415"/>
      <c r="AR80" s="19">
        <f>IF(AND(AA78=1,EXACT(J80,"نفر اول")),(1),(0))</f>
        <v>0</v>
      </c>
      <c r="AS80" s="19">
        <f>IF(AR80=1,S78,0)</f>
        <v>0</v>
      </c>
      <c r="AT80" s="19">
        <f>IF(AND(AA78=1,EXACT(J80,"همكار")),(1),(0))</f>
        <v>0</v>
      </c>
      <c r="AU80" s="19">
        <f>IF(AT80=1,S78,0)</f>
        <v>0</v>
      </c>
      <c r="AY80" s="19">
        <f>IF((AH78=1),S78,0)</f>
        <v>0</v>
      </c>
      <c r="AZ80" s="19">
        <f>IF(AND(EXACT(AR80,"1"),EXACT(AH78,"1")),(1),(0))</f>
        <v>0</v>
      </c>
      <c r="BA80" s="19">
        <f>IF((AZ80=1),AY80,0)</f>
        <v>0</v>
      </c>
      <c r="BE80" s="19">
        <f>IF((AI78=1),S78,0)</f>
        <v>0</v>
      </c>
      <c r="BF80" s="19">
        <f>IF(AND(EXACT(AI78,"1"),EXACT(AR80,"1")),(1),(0))</f>
        <v>0</v>
      </c>
      <c r="BG80" s="19">
        <f>IF((BF80=1),BE80,0)</f>
        <v>0</v>
      </c>
      <c r="BK80" s="19">
        <f>IF((AJ78=1),S78,0)</f>
        <v>0</v>
      </c>
      <c r="BL80" s="19">
        <f>IF(AND(EXACT(AJ78,"1"),EXACT(AR80,"1")),(1),(0))</f>
        <v>0</v>
      </c>
      <c r="BM80" s="19">
        <f>IF((BL80=1),BK80,0)</f>
        <v>0</v>
      </c>
      <c r="BQ80" s="19">
        <f>IF((AJ78=1),S78,0)</f>
        <v>0</v>
      </c>
      <c r="BR80" s="19">
        <f>IF(AND(EXACT(AJ78,"1"),EXACT(AR80,"1")),(1),(0))</f>
        <v>0</v>
      </c>
      <c r="BS80" s="19">
        <f>IF((BL80=1),BK80,0)</f>
        <v>0</v>
      </c>
      <c r="BW80" s="19">
        <f>IF((AL78=1),S78,0)</f>
        <v>0</v>
      </c>
      <c r="BX80" s="19">
        <f>IF(AND(EXACT(AL78,"1"),EXACT(AR80,"1")),(1),(0))</f>
        <v>0</v>
      </c>
      <c r="BY80" s="19">
        <f>IF((BX80=1),BW80,0)</f>
        <v>0</v>
      </c>
      <c r="CC80" s="19">
        <f>IF((AM78=1),R78,0)</f>
        <v>0</v>
      </c>
      <c r="CD80" s="19">
        <f>IF(AND(EXACT(AM78,"1"),EXACT(AR80,"1")),(1),(0))</f>
        <v>0</v>
      </c>
      <c r="CE80" s="19">
        <f>IF((CD80=1),CC80,0)</f>
        <v>0</v>
      </c>
    </row>
    <row r="81" spans="1:83" ht="20.25">
      <c r="A81" s="12">
        <f>IF(AA81=0,0,IF(AA78=0,Z81,SUM(A78,AA81)))</f>
        <v>0</v>
      </c>
      <c r="B81" s="1157"/>
      <c r="C81" s="1157"/>
      <c r="D81" s="1157"/>
      <c r="E81" s="1182"/>
      <c r="F81" s="1424"/>
      <c r="G81" s="1424"/>
      <c r="H81" s="527"/>
      <c r="I81" s="528"/>
      <c r="J81" s="529"/>
      <c r="K81" s="530"/>
      <c r="L81" s="531"/>
      <c r="M81" s="532"/>
      <c r="N81" s="533"/>
      <c r="O81" s="532"/>
      <c r="P81" s="1182"/>
      <c r="Q81" s="1182"/>
      <c r="R81" s="534">
        <f t="shared" ref="R81" ca="1" si="88">IF(OR(EXACT(H81,""),EXACT(B81,""),EXACT(F82,""),EXACT(H82,""),EXACT(J82,""),EXACT(L82,""),EXACT(N82,""),EXACT(F81,""),EXACT(J81,""),EXACT(M81,""),EXACT(N81,""),EXACT(O81,""),EXACT(P81,"")),0,IF(OR(EXACT(P82,"مقاله پر استناد"),EXACT(P82,"مقاله داغ"),EXACT(P82,"مستخرج از برنامه تحقيقاتي ملي معطوف به رفع مشكلات كشور")),(1.5*(F82*N82*(IF(EXACT(J82,"نفر اول"),INDIRECT(CONCATENATE("'Data Base'!$d",H82)),INDIRECT(CONCATENATE("'Data Base'!$e",H82))))*((100-L82)/100))),IF(EXACT(P82,"Short Article"),(0.5*(F82*N82*(IF(EXACT(J82,"نفر اول"),INDIRECT(CONCATENATE("'Data Base'!$D",H82)),INDIRECT(CONCATENATE("'Data Base'!$E",H82))))*((100-L82)/100))),IF(EXACT(P82,"چاپ شده در نشريات بسيار پر استناد Nature و Science"),(2*(F82*N82*(IF(EXACT(J82,"نفر اول"),INDIRECT(CONCATENATE("'Data Base'!$D",H82)),INDIRECT(CONCATENATE("'Data Base'!$E",H82))))*((100-L82)/100))),IF(OR(EXACT(P82,"مستخرج از طرح پژوهشي محرمانه"),EXACT(P82,"مشترك با اساتيد دانشگاه خارج از كشور")),(1.2*(F82*N82*(IF(EXACT(J82,"نفر اول"),INDIRECT(CONCATENATE("'Data Base'!$D",H82)),INDIRECT(CONCATENATE("'Data Base'!$E",H82))))*((100-L82)/100))),(F82*N82*(IF(EXACT(J82,"نفر اول"),INDIRECT(CONCATENATE("'Data Base'!$d",H82)),INDIRECT(CONCATENATE("'Data Base'!$e",H82))))*((100-L82)/100)))))))</f>
        <v>0</v>
      </c>
      <c r="S81" s="535">
        <f t="shared" ref="S81" ca="1" si="89">IF(OR(EXACT(H81,""),EXACT(B81,""),EXACT(F83,""),EXACT(H83,""),EXACT(J83,""),EXACT(L83,""),EXACT(N83,""),EXACT(F81,""),EXACT(J81,""),EXACT(M81,""),EXACT(N81,""),EXACT(O81,""),EXACT(P81,"")),0,IF(OR(EXACT(P83,"مقاله پر استناد"),EXACT(P83,"مقاله داغ"),EXACT(P83,"مستخرج از برنامه تحقيقاتي ملي معطوف به رفع مشكلات كشور")),(1.5*(F83*N83*(IF(EXACT(J83,"نفر اول"),INDIRECT(CONCATENATE("'Data Base'!$d",H83)),INDIRECT(CONCATENATE("'Data Base'!$E",H83))))*((100-L83)/100))),IF(EXACT(P83,"Short Article"),(0.5*(F83*N83*(IF(EXACT(J83,"نفر اول"),INDIRECT(CONCATENATE("'Data Base'!$D",H83)),INDIRECT(CONCATENATE("'Data Base'!$E",H83))))*((100-L83)/100))),IF(EXACT(P83,"چاپ شده در نشريات بسيار پر استناد Nature و Science"),(2*(F83*N83*(IF(EXACT(J83,"نفر اول"),INDIRECT(CONCATENATE("'Data Base'!$D",H83)),INDIRECT(CONCATENATE("'Data Base'!$E",H83))))*((100-L83)/100))),IF(OR(EXACT(P83,"مستخرج از طرح پژوهشي محرمانه"),EXACT(P83,"مشترك با اساتيد دانشگاه خارج از كشور")),(1.2*(F83*N83*(IF(EXACT(J83,"نفر اول"),INDIRECT(CONCATENATE("'Data Base'!$D",H83)),INDIRECT(CONCATENATE("'Data Base'!$E",H83))))*((100-L83)/100))),(F83*N83*(IF(EXACT(J83,"نفر اول"),INDIRECT(CONCATENATE("'Data Base'!$D",H83)),INDIRECT(CONCATENATE("'Data Base'!$E",H83))))*((100-L83)/100)))))))</f>
        <v>0</v>
      </c>
      <c r="T81" s="147"/>
      <c r="U81" s="1414"/>
      <c r="Z81" s="19">
        <f>SUM(Z78,AA81)</f>
        <v>0</v>
      </c>
      <c r="AA81" s="19">
        <f>IF(OR(OR(B81="",F81="",H81="",J81="",P81=""),AND(M81="",O81="")),0,1)</f>
        <v>0</v>
      </c>
      <c r="AB81" s="19">
        <f t="shared" ref="AB81" ca="1" si="90">IF(AND(AA81=1,S81&gt;0),1,0)</f>
        <v>0</v>
      </c>
      <c r="AC81" s="19">
        <f t="shared" ref="AC81" ca="1" si="91">IF(AND(AA81=1,S81&lt;1),1,0)</f>
        <v>0</v>
      </c>
      <c r="AD81" s="19">
        <f ca="1">IF(AND(AA81=1,S81&gt;=1,AJ81=1),1,0)</f>
        <v>0</v>
      </c>
      <c r="AE81" s="19">
        <f ca="1">IF(AD81=1,S81,0)</f>
        <v>0</v>
      </c>
      <c r="AF81" s="19">
        <f ca="1">IF(AND(AA81=1,S81&gt;=1,AJ81=1,AR83=1),1,0)</f>
        <v>0</v>
      </c>
      <c r="AG81" s="19">
        <f ca="1">IF(AF81=1,S81,0)</f>
        <v>0</v>
      </c>
      <c r="AH81" s="19">
        <f>IF(OR(EXACT(H81,"JCR-Q1"),EXACT(H81,"JCR-Q2")),(1),(0))</f>
        <v>0</v>
      </c>
      <c r="AI81" s="19">
        <f>IF(OR(EXACT(H81,"JCR-Q1"),EXACT(H81,"JCR-Q2"),EXACT(H81,"JCR-Q3")),(1),(0))</f>
        <v>0</v>
      </c>
      <c r="AJ81" s="19">
        <f>IF(OR(EXACT(H81,"JCR-Q1"),EXACT(H81,"JCR-Q2"),EXACT(H81,"JCR-Q3"),EXACT(H81,"JCR-Q4")),(1),(0))</f>
        <v>0</v>
      </c>
      <c r="AK81" s="19">
        <f>IF(OR(EXACT(H81,"JCR-Q1"),EXACT(H81,"JCR-Q2"),EXACT(H81,"JCR-Q3"),EXACT(H81,"JCR-Q4"),EXACT(H81,"WOS")),(1),(0))</f>
        <v>0</v>
      </c>
      <c r="AL81" s="19">
        <f>IF(OR(EXACT(H81,"JCR-Q1"),EXACT(H81,"JCR-Q2"),EXACT(H81,"JCR-Q3"),EXACT(H81,"JCR-Q4"),EXACT(H81,"WOS"),EXACT(H81,"Scopus")),(1),(0))</f>
        <v>0</v>
      </c>
      <c r="AM81" s="19">
        <f>IF(OR(EXACT(H81,'Data Base'!$B$21),EXACT(H81,'Data Base'!$B$22)),(1),(0))</f>
        <v>0</v>
      </c>
    </row>
    <row r="82" spans="1:83" ht="20.25" customHeight="1">
      <c r="A82" s="1416" t="s">
        <v>29</v>
      </c>
      <c r="B82" s="1417"/>
      <c r="C82" s="1417"/>
      <c r="D82" s="1418"/>
      <c r="E82" s="514" t="s">
        <v>1001</v>
      </c>
      <c r="F82" s="515"/>
      <c r="G82" s="516" t="s">
        <v>801</v>
      </c>
      <c r="H82" s="517"/>
      <c r="I82" s="516" t="s">
        <v>1002</v>
      </c>
      <c r="J82" s="518"/>
      <c r="K82" s="516" t="s">
        <v>1003</v>
      </c>
      <c r="L82" s="519"/>
      <c r="M82" s="516" t="s">
        <v>1004</v>
      </c>
      <c r="N82" s="520"/>
      <c r="O82" s="1266" t="s">
        <v>55</v>
      </c>
      <c r="P82" s="1419"/>
      <c r="Q82" s="1419"/>
      <c r="R82" s="1419"/>
      <c r="S82" s="1419"/>
      <c r="T82" s="1419"/>
      <c r="U82" s="1415"/>
      <c r="AN82" s="19">
        <f>IF(AND(AA81=1,EXACT(J82,"نفر اول")),(1),(0))</f>
        <v>0</v>
      </c>
      <c r="AO82" s="19">
        <f>IF(AN82=1,R81,0)</f>
        <v>0</v>
      </c>
      <c r="AP82" s="19">
        <f>IF(AND(AA81=1,EXACT(J82,"همكار")),(1),(0))</f>
        <v>0</v>
      </c>
      <c r="AQ82" s="19">
        <f>IF(AP82=1,R81,0)</f>
        <v>0</v>
      </c>
      <c r="AV82" s="19">
        <f>IF((AH81=1),R81,0)</f>
        <v>0</v>
      </c>
      <c r="AW82" s="19">
        <f>IF(AND(EXACT(AN82,"1"),EXACT(AH81,"1")),(1),(0))</f>
        <v>0</v>
      </c>
      <c r="AX82" s="19">
        <f>IF((AW82=1),AV82,0)</f>
        <v>0</v>
      </c>
      <c r="BB82" s="19">
        <f>IF((AI81=1),R81,0)</f>
        <v>0</v>
      </c>
      <c r="BC82" s="19">
        <f>IF(AND(EXACT(AI81,"1"),EXACT(AN82,"1")),(1),(0))</f>
        <v>0</v>
      </c>
      <c r="BD82" s="19">
        <f>IF((BC82=1),BB82,0)</f>
        <v>0</v>
      </c>
      <c r="BH82" s="19">
        <f>IF((AJ81=1),R81,0)</f>
        <v>0</v>
      </c>
      <c r="BI82" s="19">
        <f>IF(AND(EXACT(AJ81,"1"),EXACT(AN82,"1")),(1),(0))</f>
        <v>0</v>
      </c>
      <c r="BJ82" s="19">
        <f>IF((BI82=1),BH82,0)</f>
        <v>0</v>
      </c>
      <c r="BN82" s="19">
        <f>IF((AK81=1),R81,0)</f>
        <v>0</v>
      </c>
      <c r="BO82" s="19">
        <f>IF(AND(EXACT(AK81,"1"),EXACT(AN82,"1")),(1),(0))</f>
        <v>0</v>
      </c>
      <c r="BP82" s="19">
        <f>IF((BO82=1),BN82,0)</f>
        <v>0</v>
      </c>
      <c r="BT82" s="19">
        <f>IF((AL81=1),R81,0)</f>
        <v>0</v>
      </c>
      <c r="BU82" s="19">
        <f>IF(AND(EXACT(AN82,"1"),EXACT(AL81,"1")),(1),(0))</f>
        <v>0</v>
      </c>
      <c r="BV82" s="19">
        <f>IF((BU82=1),BT82,0)</f>
        <v>0</v>
      </c>
      <c r="BZ82" s="19">
        <f>IF((AM81=1),R81,0)</f>
        <v>0</v>
      </c>
      <c r="CA82" s="19">
        <f>IF(AND(EXACT(AM81,"1"),EXACT(AN82,"1")),(1),(0))</f>
        <v>0</v>
      </c>
      <c r="CB82" s="19">
        <f>IF((CA82=1),BZ82,0)</f>
        <v>0</v>
      </c>
    </row>
    <row r="83" spans="1:83" ht="20.25">
      <c r="A83" s="1420" t="s">
        <v>30</v>
      </c>
      <c r="B83" s="1421"/>
      <c r="C83" s="1421"/>
      <c r="D83" s="1422"/>
      <c r="E83" s="536" t="s">
        <v>1001</v>
      </c>
      <c r="F83" s="537"/>
      <c r="G83" s="538" t="s">
        <v>801</v>
      </c>
      <c r="H83" s="539"/>
      <c r="I83" s="538" t="s">
        <v>1002</v>
      </c>
      <c r="J83" s="525"/>
      <c r="K83" s="538" t="s">
        <v>1003</v>
      </c>
      <c r="L83" s="540"/>
      <c r="M83" s="538" t="s">
        <v>1004</v>
      </c>
      <c r="N83" s="541"/>
      <c r="O83" s="1266"/>
      <c r="P83" s="1423"/>
      <c r="Q83" s="1423"/>
      <c r="R83" s="1423"/>
      <c r="S83" s="1423"/>
      <c r="T83" s="1423"/>
      <c r="U83" s="1415"/>
      <c r="AR83" s="19">
        <f>IF(AND(AA81=1,EXACT(J83,"نفر اول")),(1),(0))</f>
        <v>0</v>
      </c>
      <c r="AS83" s="19">
        <f>IF(AR83=1,S81,0)</f>
        <v>0</v>
      </c>
      <c r="AT83" s="19">
        <f>IF(AND(AA81=1,EXACT(J83,"همكار")),(1),(0))</f>
        <v>0</v>
      </c>
      <c r="AU83" s="19">
        <f>IF(AT83=1,S81,0)</f>
        <v>0</v>
      </c>
      <c r="AY83" s="19">
        <f>IF((AH81=1),S81,0)</f>
        <v>0</v>
      </c>
      <c r="AZ83" s="19">
        <f>IF(AND(EXACT(AR83,"1"),EXACT(AH81,"1")),(1),(0))</f>
        <v>0</v>
      </c>
      <c r="BA83" s="19">
        <f>IF((AZ83=1),AY83,0)</f>
        <v>0</v>
      </c>
      <c r="BE83" s="19">
        <f>IF((AI81=1),S81,0)</f>
        <v>0</v>
      </c>
      <c r="BF83" s="19">
        <f>IF(AND(EXACT(AI81,"1"),EXACT(AR83,"1")),(1),(0))</f>
        <v>0</v>
      </c>
      <c r="BG83" s="19">
        <f>IF((BF83=1),BE83,0)</f>
        <v>0</v>
      </c>
      <c r="BK83" s="19">
        <f>IF((AJ81=1),S81,0)</f>
        <v>0</v>
      </c>
      <c r="BL83" s="19">
        <f>IF(AND(EXACT(AJ81,"1"),EXACT(AR83,"1")),(1),(0))</f>
        <v>0</v>
      </c>
      <c r="BM83" s="19">
        <f>IF((BL83=1),BK83,0)</f>
        <v>0</v>
      </c>
      <c r="BQ83" s="19">
        <f>IF((AJ81=1),S81,0)</f>
        <v>0</v>
      </c>
      <c r="BR83" s="19">
        <f>IF(AND(EXACT(AJ81,"1"),EXACT(AR83,"1")),(1),(0))</f>
        <v>0</v>
      </c>
      <c r="BS83" s="19">
        <f>IF((BL83=1),BK83,0)</f>
        <v>0</v>
      </c>
      <c r="BW83" s="19">
        <f>IF((AL81=1),S81,0)</f>
        <v>0</v>
      </c>
      <c r="BX83" s="19">
        <f>IF(AND(EXACT(AL81,"1"),EXACT(AR83,"1")),(1),(0))</f>
        <v>0</v>
      </c>
      <c r="BY83" s="19">
        <f>IF((BX83=1),BW83,0)</f>
        <v>0</v>
      </c>
      <c r="CC83" s="19">
        <f>IF((AM81=1),R81,0)</f>
        <v>0</v>
      </c>
      <c r="CD83" s="19">
        <f>IF(AND(EXACT(AM81,"1"),EXACT(AR83,"1")),(1),(0))</f>
        <v>0</v>
      </c>
      <c r="CE83" s="19">
        <f>IF((CD83=1),CC83,0)</f>
        <v>0</v>
      </c>
    </row>
    <row r="84" spans="1:83" ht="20.25">
      <c r="A84" s="12">
        <f>IF(AA84=0,0,IF(AA81=0,Z84,SUM(A81,AA84)))</f>
        <v>0</v>
      </c>
      <c r="B84" s="1157"/>
      <c r="C84" s="1157"/>
      <c r="D84" s="1157"/>
      <c r="E84" s="1182"/>
      <c r="F84" s="1424"/>
      <c r="G84" s="1424"/>
      <c r="H84" s="527"/>
      <c r="I84" s="528"/>
      <c r="J84" s="529"/>
      <c r="K84" s="530"/>
      <c r="L84" s="531"/>
      <c r="M84" s="532"/>
      <c r="N84" s="533"/>
      <c r="O84" s="532"/>
      <c r="P84" s="1182"/>
      <c r="Q84" s="1182"/>
      <c r="R84" s="534">
        <f t="shared" ref="R84" ca="1" si="92">IF(OR(EXACT(H84,""),EXACT(B84,""),EXACT(F85,""),EXACT(H85,""),EXACT(J85,""),EXACT(L85,""),EXACT(N85,""),EXACT(F84,""),EXACT(J84,""),EXACT(M84,""),EXACT(N84,""),EXACT(O84,""),EXACT(P84,"")),0,IF(OR(EXACT(P85,"مقاله پر استناد"),EXACT(P85,"مقاله داغ"),EXACT(P85,"مستخرج از برنامه تحقيقاتي ملي معطوف به رفع مشكلات كشور")),(1.5*(F85*N85*(IF(EXACT(J85,"نفر اول"),INDIRECT(CONCATENATE("'Data Base'!$d",H85)),INDIRECT(CONCATENATE("'Data Base'!$e",H85))))*((100-L85)/100))),IF(EXACT(P85,"Short Article"),(0.5*(F85*N85*(IF(EXACT(J85,"نفر اول"),INDIRECT(CONCATENATE("'Data Base'!$D",H85)),INDIRECT(CONCATENATE("'Data Base'!$E",H85))))*((100-L85)/100))),IF(EXACT(P85,"چاپ شده در نشريات بسيار پر استناد Nature و Science"),(2*(F85*N85*(IF(EXACT(J85,"نفر اول"),INDIRECT(CONCATENATE("'Data Base'!$D",H85)),INDIRECT(CONCATENATE("'Data Base'!$E",H85))))*((100-L85)/100))),IF(OR(EXACT(P85,"مستخرج از طرح پژوهشي محرمانه"),EXACT(P85,"مشترك با اساتيد دانشگاه خارج از كشور")),(1.2*(F85*N85*(IF(EXACT(J85,"نفر اول"),INDIRECT(CONCATENATE("'Data Base'!$D",H85)),INDIRECT(CONCATENATE("'Data Base'!$E",H85))))*((100-L85)/100))),(F85*N85*(IF(EXACT(J85,"نفر اول"),INDIRECT(CONCATENATE("'Data Base'!$d",H85)),INDIRECT(CONCATENATE("'Data Base'!$e",H85))))*((100-L85)/100)))))))</f>
        <v>0</v>
      </c>
      <c r="S84" s="535">
        <f t="shared" ref="S84" ca="1" si="93">IF(OR(EXACT(H84,""),EXACT(B84,""),EXACT(F86,""),EXACT(H86,""),EXACT(J86,""),EXACT(L86,""),EXACT(N86,""),EXACT(F84,""),EXACT(J84,""),EXACT(M84,""),EXACT(N84,""),EXACT(O84,""),EXACT(P84,"")),0,IF(OR(EXACT(P86,"مقاله پر استناد"),EXACT(P86,"مقاله داغ"),EXACT(P86,"مستخرج از برنامه تحقيقاتي ملي معطوف به رفع مشكلات كشور")),(1.5*(F86*N86*(IF(EXACT(J86,"نفر اول"),INDIRECT(CONCATENATE("'Data Base'!$d",H86)),INDIRECT(CONCATENATE("'Data Base'!$E",H86))))*((100-L86)/100))),IF(EXACT(P86,"Short Article"),(0.5*(F86*N86*(IF(EXACT(J86,"نفر اول"),INDIRECT(CONCATENATE("'Data Base'!$D",H86)),INDIRECT(CONCATENATE("'Data Base'!$E",H86))))*((100-L86)/100))),IF(EXACT(P86,"چاپ شده در نشريات بسيار پر استناد Nature و Science"),(2*(F86*N86*(IF(EXACT(J86,"نفر اول"),INDIRECT(CONCATENATE("'Data Base'!$D",H86)),INDIRECT(CONCATENATE("'Data Base'!$E",H86))))*((100-L86)/100))),IF(OR(EXACT(P86,"مستخرج از طرح پژوهشي محرمانه"),EXACT(P86,"مشترك با اساتيد دانشگاه خارج از كشور")),(1.2*(F86*N86*(IF(EXACT(J86,"نفر اول"),INDIRECT(CONCATENATE("'Data Base'!$D",H86)),INDIRECT(CONCATENATE("'Data Base'!$E",H86))))*((100-L86)/100))),(F86*N86*(IF(EXACT(J86,"نفر اول"),INDIRECT(CONCATENATE("'Data Base'!$D",H86)),INDIRECT(CONCATENATE("'Data Base'!$E",H86))))*((100-L86)/100)))))))</f>
        <v>0</v>
      </c>
      <c r="T84" s="147"/>
      <c r="U84" s="1414"/>
      <c r="Z84" s="19">
        <f>SUM(Z81,AA84)</f>
        <v>0</v>
      </c>
      <c r="AA84" s="19">
        <f>IF(OR(OR(B84="",F84="",H84="",J84="",P84=""),AND(M84="",O84="")),0,1)</f>
        <v>0</v>
      </c>
      <c r="AB84" s="19">
        <f t="shared" ref="AB84" ca="1" si="94">IF(AND(AA84=1,S84&gt;0),1,0)</f>
        <v>0</v>
      </c>
      <c r="AC84" s="19">
        <f t="shared" ref="AC84" ca="1" si="95">IF(AND(AA84=1,S84&lt;1),1,0)</f>
        <v>0</v>
      </c>
      <c r="AD84" s="19">
        <f ca="1">IF(AND(AA84=1,S84&gt;=1,AJ84=1),1,0)</f>
        <v>0</v>
      </c>
      <c r="AE84" s="19">
        <f ca="1">IF(AD84=1,S84,0)</f>
        <v>0</v>
      </c>
      <c r="AF84" s="19">
        <f ca="1">IF(AND(AA84=1,S84&gt;=1,AJ84=1,AR86=1),1,0)</f>
        <v>0</v>
      </c>
      <c r="AG84" s="19">
        <f ca="1">IF(AF84=1,S84,0)</f>
        <v>0</v>
      </c>
      <c r="AH84" s="19">
        <f>IF(OR(EXACT(H84,"JCR-Q1"),EXACT(H84,"JCR-Q2")),(1),(0))</f>
        <v>0</v>
      </c>
      <c r="AI84" s="19">
        <f>IF(OR(EXACT(H84,"JCR-Q1"),EXACT(H84,"JCR-Q2"),EXACT(H84,"JCR-Q3")),(1),(0))</f>
        <v>0</v>
      </c>
      <c r="AJ84" s="19">
        <f>IF(OR(EXACT(H84,"JCR-Q1"),EXACT(H84,"JCR-Q2"),EXACT(H84,"JCR-Q3"),EXACT(H84,"JCR-Q4")),(1),(0))</f>
        <v>0</v>
      </c>
      <c r="AK84" s="19">
        <f>IF(OR(EXACT(H84,"JCR-Q1"),EXACT(H84,"JCR-Q2"),EXACT(H84,"JCR-Q3"),EXACT(H84,"JCR-Q4"),EXACT(H84,"WOS")),(1),(0))</f>
        <v>0</v>
      </c>
      <c r="AL84" s="19">
        <f>IF(OR(EXACT(H84,"JCR-Q1"),EXACT(H84,"JCR-Q2"),EXACT(H84,"JCR-Q3"),EXACT(H84,"JCR-Q4"),EXACT(H84,"WOS"),EXACT(H84,"Scopus")),(1),(0))</f>
        <v>0</v>
      </c>
      <c r="AM84" s="19">
        <f>IF(OR(EXACT(H84,'Data Base'!$B$21),EXACT(H84,'Data Base'!$B$22)),(1),(0))</f>
        <v>0</v>
      </c>
    </row>
    <row r="85" spans="1:83" ht="20.25" customHeight="1">
      <c r="A85" s="1416" t="s">
        <v>29</v>
      </c>
      <c r="B85" s="1417"/>
      <c r="C85" s="1417"/>
      <c r="D85" s="1418"/>
      <c r="E85" s="514" t="s">
        <v>1001</v>
      </c>
      <c r="F85" s="515"/>
      <c r="G85" s="516" t="s">
        <v>801</v>
      </c>
      <c r="H85" s="517"/>
      <c r="I85" s="516" t="s">
        <v>1002</v>
      </c>
      <c r="J85" s="518"/>
      <c r="K85" s="516" t="s">
        <v>1003</v>
      </c>
      <c r="L85" s="519"/>
      <c r="M85" s="516" t="s">
        <v>1004</v>
      </c>
      <c r="N85" s="520"/>
      <c r="O85" s="1266" t="s">
        <v>55</v>
      </c>
      <c r="P85" s="1419"/>
      <c r="Q85" s="1419"/>
      <c r="R85" s="1419"/>
      <c r="S85" s="1419"/>
      <c r="T85" s="1419"/>
      <c r="U85" s="1415"/>
      <c r="AN85" s="19">
        <f>IF(AND(AA84=1,EXACT(J85,"نفر اول")),(1),(0))</f>
        <v>0</v>
      </c>
      <c r="AO85" s="19">
        <f>IF(AN85=1,R84,0)</f>
        <v>0</v>
      </c>
      <c r="AP85" s="19">
        <f>IF(AND(AA84=1,EXACT(J85,"همكار")),(1),(0))</f>
        <v>0</v>
      </c>
      <c r="AQ85" s="19">
        <f>IF(AP85=1,R84,0)</f>
        <v>0</v>
      </c>
      <c r="AV85" s="19">
        <f>IF((AH84=1),R84,0)</f>
        <v>0</v>
      </c>
      <c r="AW85" s="19">
        <f>IF(AND(EXACT(AN85,"1"),EXACT(AH84,"1")),(1),(0))</f>
        <v>0</v>
      </c>
      <c r="AX85" s="19">
        <f>IF((AW85=1),AV85,0)</f>
        <v>0</v>
      </c>
      <c r="BB85" s="19">
        <f>IF((AI84=1),R84,0)</f>
        <v>0</v>
      </c>
      <c r="BC85" s="19">
        <f>IF(AND(EXACT(AI84,"1"),EXACT(AN85,"1")),(1),(0))</f>
        <v>0</v>
      </c>
      <c r="BD85" s="19">
        <f>IF((BC85=1),BB85,0)</f>
        <v>0</v>
      </c>
      <c r="BH85" s="19">
        <f>IF((AJ84=1),R84,0)</f>
        <v>0</v>
      </c>
      <c r="BI85" s="19">
        <f>IF(AND(EXACT(AJ84,"1"),EXACT(AN85,"1")),(1),(0))</f>
        <v>0</v>
      </c>
      <c r="BJ85" s="19">
        <f>IF((BI85=1),BH85,0)</f>
        <v>0</v>
      </c>
      <c r="BN85" s="19">
        <f>IF((AK84=1),R84,0)</f>
        <v>0</v>
      </c>
      <c r="BO85" s="19">
        <f>IF(AND(EXACT(AK84,"1"),EXACT(AN85,"1")),(1),(0))</f>
        <v>0</v>
      </c>
      <c r="BP85" s="19">
        <f>IF((BO85=1),BN85,0)</f>
        <v>0</v>
      </c>
      <c r="BT85" s="19">
        <f>IF((AL84=1),R84,0)</f>
        <v>0</v>
      </c>
      <c r="BU85" s="19">
        <f>IF(AND(EXACT(AN85,"1"),EXACT(AL84,"1")),(1),(0))</f>
        <v>0</v>
      </c>
      <c r="BV85" s="19">
        <f>IF((BU85=1),BT85,0)</f>
        <v>0</v>
      </c>
      <c r="BZ85" s="19">
        <f>IF((AM84=1),R84,0)</f>
        <v>0</v>
      </c>
      <c r="CA85" s="19">
        <f>IF(AND(EXACT(AM84,"1"),EXACT(AN85,"1")),(1),(0))</f>
        <v>0</v>
      </c>
      <c r="CB85" s="19">
        <f>IF((CA85=1),BZ85,0)</f>
        <v>0</v>
      </c>
    </row>
    <row r="86" spans="1:83" ht="20.25">
      <c r="A86" s="1420" t="s">
        <v>30</v>
      </c>
      <c r="B86" s="1421"/>
      <c r="C86" s="1421"/>
      <c r="D86" s="1422"/>
      <c r="E86" s="536" t="s">
        <v>1001</v>
      </c>
      <c r="F86" s="537"/>
      <c r="G86" s="538" t="s">
        <v>801</v>
      </c>
      <c r="H86" s="539"/>
      <c r="I86" s="538" t="s">
        <v>1002</v>
      </c>
      <c r="J86" s="525"/>
      <c r="K86" s="538" t="s">
        <v>1003</v>
      </c>
      <c r="L86" s="540"/>
      <c r="M86" s="538" t="s">
        <v>1004</v>
      </c>
      <c r="N86" s="541"/>
      <c r="O86" s="1266"/>
      <c r="P86" s="1423"/>
      <c r="Q86" s="1423"/>
      <c r="R86" s="1423"/>
      <c r="S86" s="1423"/>
      <c r="T86" s="1423"/>
      <c r="U86" s="1415"/>
      <c r="AR86" s="19">
        <f>IF(AND(AA84=1,EXACT(J86,"نفر اول")),(1),(0))</f>
        <v>0</v>
      </c>
      <c r="AS86" s="19">
        <f>IF(AR86=1,S84,0)</f>
        <v>0</v>
      </c>
      <c r="AT86" s="19">
        <f>IF(AND(AA84=1,EXACT(J86,"همكار")),(1),(0))</f>
        <v>0</v>
      </c>
      <c r="AU86" s="19">
        <f>IF(AT86=1,S84,0)</f>
        <v>0</v>
      </c>
      <c r="AY86" s="19">
        <f>IF((AH84=1),S84,0)</f>
        <v>0</v>
      </c>
      <c r="AZ86" s="19">
        <f>IF(AND(EXACT(AR86,"1"),EXACT(AH84,"1")),(1),(0))</f>
        <v>0</v>
      </c>
      <c r="BA86" s="19">
        <f>IF((AZ86=1),AY86,0)</f>
        <v>0</v>
      </c>
      <c r="BE86" s="19">
        <f>IF((AI84=1),S84,0)</f>
        <v>0</v>
      </c>
      <c r="BF86" s="19">
        <f>IF(AND(EXACT(AI84,"1"),EXACT(AR86,"1")),(1),(0))</f>
        <v>0</v>
      </c>
      <c r="BG86" s="19">
        <f>IF((BF86=1),BE86,0)</f>
        <v>0</v>
      </c>
      <c r="BK86" s="19">
        <f>IF((AJ84=1),S84,0)</f>
        <v>0</v>
      </c>
      <c r="BL86" s="19">
        <f>IF(AND(EXACT(AJ84,"1"),EXACT(AR86,"1")),(1),(0))</f>
        <v>0</v>
      </c>
      <c r="BM86" s="19">
        <f>IF((BL86=1),BK86,0)</f>
        <v>0</v>
      </c>
      <c r="BQ86" s="19">
        <f>IF((AJ84=1),S84,0)</f>
        <v>0</v>
      </c>
      <c r="BR86" s="19">
        <f>IF(AND(EXACT(AJ84,"1"),EXACT(AR86,"1")),(1),(0))</f>
        <v>0</v>
      </c>
      <c r="BS86" s="19">
        <f>IF((BL86=1),BK86,0)</f>
        <v>0</v>
      </c>
      <c r="BW86" s="19">
        <f>IF((AL84=1),S84,0)</f>
        <v>0</v>
      </c>
      <c r="BX86" s="19">
        <f>IF(AND(EXACT(AL84,"1"),EXACT(AR86,"1")),(1),(0))</f>
        <v>0</v>
      </c>
      <c r="BY86" s="19">
        <f>IF((BX86=1),BW86,0)</f>
        <v>0</v>
      </c>
      <c r="CC86" s="19">
        <f>IF((AM84=1),R84,0)</f>
        <v>0</v>
      </c>
      <c r="CD86" s="19">
        <f>IF(AND(EXACT(AM84,"1"),EXACT(AR86,"1")),(1),(0))</f>
        <v>0</v>
      </c>
      <c r="CE86" s="19">
        <f>IF((CD86=1),CC86,0)</f>
        <v>0</v>
      </c>
    </row>
    <row r="87" spans="1:83" ht="20.25">
      <c r="A87" s="12">
        <f>IF(AA87=0,0,IF(AA84=0,Z87,SUM(A84,AA87)))</f>
        <v>0</v>
      </c>
      <c r="B87" s="1157"/>
      <c r="C87" s="1157"/>
      <c r="D87" s="1157"/>
      <c r="E87" s="1182"/>
      <c r="F87" s="1424"/>
      <c r="G87" s="1424"/>
      <c r="H87" s="527"/>
      <c r="I87" s="528"/>
      <c r="J87" s="529"/>
      <c r="K87" s="530"/>
      <c r="L87" s="531"/>
      <c r="M87" s="532"/>
      <c r="N87" s="533"/>
      <c r="O87" s="532"/>
      <c r="P87" s="1182"/>
      <c r="Q87" s="1182"/>
      <c r="R87" s="534">
        <f t="shared" ref="R87" ca="1" si="96">IF(OR(EXACT(H87,""),EXACT(B87,""),EXACT(F88,""),EXACT(H88,""),EXACT(J88,""),EXACT(L88,""),EXACT(N88,""),EXACT(F87,""),EXACT(J87,""),EXACT(M87,""),EXACT(N87,""),EXACT(O87,""),EXACT(P87,"")),0,IF(OR(EXACT(P88,"مقاله پر استناد"),EXACT(P88,"مقاله داغ"),EXACT(P88,"مستخرج از برنامه تحقيقاتي ملي معطوف به رفع مشكلات كشور")),(1.5*(F88*N88*(IF(EXACT(J88,"نفر اول"),INDIRECT(CONCATENATE("'Data Base'!$d",H88)),INDIRECT(CONCATENATE("'Data Base'!$e",H88))))*((100-L88)/100))),IF(EXACT(P88,"Short Article"),(0.5*(F88*N88*(IF(EXACT(J88,"نفر اول"),INDIRECT(CONCATENATE("'Data Base'!$D",H88)),INDIRECT(CONCATENATE("'Data Base'!$E",H88))))*((100-L88)/100))),IF(EXACT(P88,"چاپ شده در نشريات بسيار پر استناد Nature و Science"),(2*(F88*N88*(IF(EXACT(J88,"نفر اول"),INDIRECT(CONCATENATE("'Data Base'!$D",H88)),INDIRECT(CONCATENATE("'Data Base'!$E",H88))))*((100-L88)/100))),IF(OR(EXACT(P88,"مستخرج از طرح پژوهشي محرمانه"),EXACT(P88,"مشترك با اساتيد دانشگاه خارج از كشور")),(1.2*(F88*N88*(IF(EXACT(J88,"نفر اول"),INDIRECT(CONCATENATE("'Data Base'!$D",H88)),INDIRECT(CONCATENATE("'Data Base'!$E",H88))))*((100-L88)/100))),(F88*N88*(IF(EXACT(J88,"نفر اول"),INDIRECT(CONCATENATE("'Data Base'!$d",H88)),INDIRECT(CONCATENATE("'Data Base'!$e",H88))))*((100-L88)/100)))))))</f>
        <v>0</v>
      </c>
      <c r="S87" s="535">
        <f t="shared" ref="S87" ca="1" si="97">IF(OR(EXACT(H87,""),EXACT(B87,""),EXACT(F89,""),EXACT(H89,""),EXACT(J89,""),EXACT(L89,""),EXACT(N89,""),EXACT(F87,""),EXACT(J87,""),EXACT(M87,""),EXACT(N87,""),EXACT(O87,""),EXACT(P87,"")),0,IF(OR(EXACT(P89,"مقاله پر استناد"),EXACT(P89,"مقاله داغ"),EXACT(P89,"مستخرج از برنامه تحقيقاتي ملي معطوف به رفع مشكلات كشور")),(1.5*(F89*N89*(IF(EXACT(J89,"نفر اول"),INDIRECT(CONCATENATE("'Data Base'!$d",H89)),INDIRECT(CONCATENATE("'Data Base'!$E",H89))))*((100-L89)/100))),IF(EXACT(P89,"Short Article"),(0.5*(F89*N89*(IF(EXACT(J89,"نفر اول"),INDIRECT(CONCATENATE("'Data Base'!$D",H89)),INDIRECT(CONCATENATE("'Data Base'!$E",H89))))*((100-L89)/100))),IF(EXACT(P89,"چاپ شده در نشريات بسيار پر استناد Nature و Science"),(2*(F89*N89*(IF(EXACT(J89,"نفر اول"),INDIRECT(CONCATENATE("'Data Base'!$D",H89)),INDIRECT(CONCATENATE("'Data Base'!$E",H89))))*((100-L89)/100))),IF(OR(EXACT(P89,"مستخرج از طرح پژوهشي محرمانه"),EXACT(P89,"مشترك با اساتيد دانشگاه خارج از كشور")),(1.2*(F89*N89*(IF(EXACT(J89,"نفر اول"),INDIRECT(CONCATENATE("'Data Base'!$D",H89)),INDIRECT(CONCATENATE("'Data Base'!$E",H89))))*((100-L89)/100))),(F89*N89*(IF(EXACT(J89,"نفر اول"),INDIRECT(CONCATENATE("'Data Base'!$D",H89)),INDIRECT(CONCATENATE("'Data Base'!$E",H89))))*((100-L89)/100)))))))</f>
        <v>0</v>
      </c>
      <c r="T87" s="147"/>
      <c r="U87" s="1414"/>
      <c r="Z87" s="19">
        <f>SUM(Z84,AA87)</f>
        <v>0</v>
      </c>
      <c r="AA87" s="19">
        <f>IF(OR(OR(B87="",F87="",H87="",J87="",P87=""),AND(M87="",O87="")),0,1)</f>
        <v>0</v>
      </c>
      <c r="AB87" s="19">
        <f t="shared" ref="AB87" ca="1" si="98">IF(AND(AA87=1,S87&gt;0),1,0)</f>
        <v>0</v>
      </c>
      <c r="AC87" s="19">
        <f t="shared" ref="AC87" ca="1" si="99">IF(AND(AA87=1,S87&lt;1),1,0)</f>
        <v>0</v>
      </c>
      <c r="AD87" s="19">
        <f ca="1">IF(AND(AA87=1,S87&gt;=1,AJ87=1),1,0)</f>
        <v>0</v>
      </c>
      <c r="AE87" s="19">
        <f ca="1">IF(AD87=1,S87,0)</f>
        <v>0</v>
      </c>
      <c r="AF87" s="19">
        <f ca="1">IF(AND(AA87=1,S87&gt;=1,AJ87=1,AR89=1),1,0)</f>
        <v>0</v>
      </c>
      <c r="AG87" s="19">
        <f ca="1">IF(AF87=1,S87,0)</f>
        <v>0</v>
      </c>
      <c r="AH87" s="19">
        <f>IF(OR(EXACT(H87,"JCR-Q1"),EXACT(H87,"JCR-Q2")),(1),(0))</f>
        <v>0</v>
      </c>
      <c r="AI87" s="19">
        <f>IF(OR(EXACT(H87,"JCR-Q1"),EXACT(H87,"JCR-Q2"),EXACT(H87,"JCR-Q3")),(1),(0))</f>
        <v>0</v>
      </c>
      <c r="AJ87" s="19">
        <f>IF(OR(EXACT(H87,"JCR-Q1"),EXACT(H87,"JCR-Q2"),EXACT(H87,"JCR-Q3"),EXACT(H87,"JCR-Q4")),(1),(0))</f>
        <v>0</v>
      </c>
      <c r="AK87" s="19">
        <f>IF(OR(EXACT(H87,"JCR-Q1"),EXACT(H87,"JCR-Q2"),EXACT(H87,"JCR-Q3"),EXACT(H87,"JCR-Q4"),EXACT(H87,"WOS")),(1),(0))</f>
        <v>0</v>
      </c>
      <c r="AL87" s="19">
        <f>IF(OR(EXACT(H87,"JCR-Q1"),EXACT(H87,"JCR-Q2"),EXACT(H87,"JCR-Q3"),EXACT(H87,"JCR-Q4"),EXACT(H87,"WOS"),EXACT(H87,"Scopus")),(1),(0))</f>
        <v>0</v>
      </c>
      <c r="AM87" s="19">
        <f>IF(OR(EXACT(H87,'Data Base'!$B$21),EXACT(H87,'Data Base'!$B$22)),(1),(0))</f>
        <v>0</v>
      </c>
    </row>
    <row r="88" spans="1:83" ht="20.25" customHeight="1">
      <c r="A88" s="1416" t="s">
        <v>29</v>
      </c>
      <c r="B88" s="1417"/>
      <c r="C88" s="1417"/>
      <c r="D88" s="1418"/>
      <c r="E88" s="514" t="s">
        <v>1001</v>
      </c>
      <c r="F88" s="515"/>
      <c r="G88" s="516" t="s">
        <v>801</v>
      </c>
      <c r="H88" s="517"/>
      <c r="I88" s="516" t="s">
        <v>1002</v>
      </c>
      <c r="J88" s="518"/>
      <c r="K88" s="516" t="s">
        <v>1003</v>
      </c>
      <c r="L88" s="519"/>
      <c r="M88" s="516" t="s">
        <v>1004</v>
      </c>
      <c r="N88" s="520"/>
      <c r="O88" s="1266" t="s">
        <v>55</v>
      </c>
      <c r="P88" s="1419"/>
      <c r="Q88" s="1419"/>
      <c r="R88" s="1419"/>
      <c r="S88" s="1419"/>
      <c r="T88" s="1419"/>
      <c r="U88" s="1415"/>
      <c r="AN88" s="19">
        <f>IF(AND(AA87=1,EXACT(J88,"نفر اول")),(1),(0))</f>
        <v>0</v>
      </c>
      <c r="AO88" s="19">
        <f>IF(AN88=1,R87,0)</f>
        <v>0</v>
      </c>
      <c r="AP88" s="19">
        <f>IF(AND(AA87=1,EXACT(J88,"همكار")),(1),(0))</f>
        <v>0</v>
      </c>
      <c r="AQ88" s="19">
        <f>IF(AP88=1,R87,0)</f>
        <v>0</v>
      </c>
      <c r="AV88" s="19">
        <f>IF((AH87=1),R87,0)</f>
        <v>0</v>
      </c>
      <c r="AW88" s="19">
        <f>IF(AND(EXACT(AN88,"1"),EXACT(AH87,"1")),(1),(0))</f>
        <v>0</v>
      </c>
      <c r="AX88" s="19">
        <f>IF((AW88=1),AV88,0)</f>
        <v>0</v>
      </c>
      <c r="BB88" s="19">
        <f>IF((AI87=1),R87,0)</f>
        <v>0</v>
      </c>
      <c r="BC88" s="19">
        <f>IF(AND(EXACT(AI87,"1"),EXACT(AN88,"1")),(1),(0))</f>
        <v>0</v>
      </c>
      <c r="BD88" s="19">
        <f>IF((BC88=1),BB88,0)</f>
        <v>0</v>
      </c>
      <c r="BH88" s="19">
        <f>IF((AJ87=1),R87,0)</f>
        <v>0</v>
      </c>
      <c r="BI88" s="19">
        <f>IF(AND(EXACT(AJ87,"1"),EXACT(AN88,"1")),(1),(0))</f>
        <v>0</v>
      </c>
      <c r="BJ88" s="19">
        <f>IF((BI88=1),BH88,0)</f>
        <v>0</v>
      </c>
      <c r="BN88" s="19">
        <f>IF((AK87=1),R87,0)</f>
        <v>0</v>
      </c>
      <c r="BO88" s="19">
        <f>IF(AND(EXACT(AK87,"1"),EXACT(AN88,"1")),(1),(0))</f>
        <v>0</v>
      </c>
      <c r="BP88" s="19">
        <f>IF((BO88=1),BN88,0)</f>
        <v>0</v>
      </c>
      <c r="BT88" s="19">
        <f>IF((AL87=1),R87,0)</f>
        <v>0</v>
      </c>
      <c r="BU88" s="19">
        <f>IF(AND(EXACT(AN88,"1"),EXACT(AL87,"1")),(1),(0))</f>
        <v>0</v>
      </c>
      <c r="BV88" s="19">
        <f>IF((BU88=1),BT88,0)</f>
        <v>0</v>
      </c>
      <c r="BZ88" s="19">
        <f>IF((AM87=1),R87,0)</f>
        <v>0</v>
      </c>
      <c r="CA88" s="19">
        <f>IF(AND(EXACT(AM87,"1"),EXACT(AN88,"1")),(1),(0))</f>
        <v>0</v>
      </c>
      <c r="CB88" s="19">
        <f>IF((CA88=1),BZ88,0)</f>
        <v>0</v>
      </c>
    </row>
    <row r="89" spans="1:83" ht="20.25">
      <c r="A89" s="1420" t="s">
        <v>30</v>
      </c>
      <c r="B89" s="1421"/>
      <c r="C89" s="1421"/>
      <c r="D89" s="1422"/>
      <c r="E89" s="536" t="s">
        <v>1001</v>
      </c>
      <c r="F89" s="537"/>
      <c r="G89" s="538" t="s">
        <v>801</v>
      </c>
      <c r="H89" s="539"/>
      <c r="I89" s="538" t="s">
        <v>1002</v>
      </c>
      <c r="J89" s="525"/>
      <c r="K89" s="538" t="s">
        <v>1003</v>
      </c>
      <c r="L89" s="540"/>
      <c r="M89" s="538" t="s">
        <v>1004</v>
      </c>
      <c r="N89" s="541"/>
      <c r="O89" s="1266"/>
      <c r="P89" s="1423"/>
      <c r="Q89" s="1423"/>
      <c r="R89" s="1423"/>
      <c r="S89" s="1423"/>
      <c r="T89" s="1423"/>
      <c r="U89" s="1415"/>
      <c r="AR89" s="19">
        <f>IF(AND(AA87=1,EXACT(J89,"نفر اول")),(1),(0))</f>
        <v>0</v>
      </c>
      <c r="AS89" s="19">
        <f>IF(AR89=1,S87,0)</f>
        <v>0</v>
      </c>
      <c r="AT89" s="19">
        <f>IF(AND(AA87=1,EXACT(J89,"همكار")),(1),(0))</f>
        <v>0</v>
      </c>
      <c r="AU89" s="19">
        <f>IF(AT89=1,S87,0)</f>
        <v>0</v>
      </c>
      <c r="AY89" s="19">
        <f>IF((AH87=1),S87,0)</f>
        <v>0</v>
      </c>
      <c r="AZ89" s="19">
        <f>IF(AND(EXACT(AR89,"1"),EXACT(AH87,"1")),(1),(0))</f>
        <v>0</v>
      </c>
      <c r="BA89" s="19">
        <f>IF((AZ89=1),AY89,0)</f>
        <v>0</v>
      </c>
      <c r="BE89" s="19">
        <f>IF((AI87=1),S87,0)</f>
        <v>0</v>
      </c>
      <c r="BF89" s="19">
        <f>IF(AND(EXACT(AI87,"1"),EXACT(AR89,"1")),(1),(0))</f>
        <v>0</v>
      </c>
      <c r="BG89" s="19">
        <f>IF((BF89=1),BE89,0)</f>
        <v>0</v>
      </c>
      <c r="BK89" s="19">
        <f>IF((AJ87=1),S87,0)</f>
        <v>0</v>
      </c>
      <c r="BL89" s="19">
        <f>IF(AND(EXACT(AJ87,"1"),EXACT(AR89,"1")),(1),(0))</f>
        <v>0</v>
      </c>
      <c r="BM89" s="19">
        <f>IF((BL89=1),BK89,0)</f>
        <v>0</v>
      </c>
      <c r="BQ89" s="19">
        <f>IF((AJ87=1),S87,0)</f>
        <v>0</v>
      </c>
      <c r="BR89" s="19">
        <f>IF(AND(EXACT(AJ87,"1"),EXACT(AR89,"1")),(1),(0))</f>
        <v>0</v>
      </c>
      <c r="BS89" s="19">
        <f>IF((BL89=1),BK89,0)</f>
        <v>0</v>
      </c>
      <c r="BW89" s="19">
        <f>IF((AL87=1),S87,0)</f>
        <v>0</v>
      </c>
      <c r="BX89" s="19">
        <f>IF(AND(EXACT(AL87,"1"),EXACT(AR89,"1")),(1),(0))</f>
        <v>0</v>
      </c>
      <c r="BY89" s="19">
        <f>IF((BX89=1),BW89,0)</f>
        <v>0</v>
      </c>
      <c r="CC89" s="19">
        <f>IF((AM87=1),R87,0)</f>
        <v>0</v>
      </c>
      <c r="CD89" s="19">
        <f>IF(AND(EXACT(AM87,"1"),EXACT(AR89,"1")),(1),(0))</f>
        <v>0</v>
      </c>
      <c r="CE89" s="19">
        <f>IF((CD89=1),CC89,0)</f>
        <v>0</v>
      </c>
    </row>
    <row r="90" spans="1:83" ht="20.25">
      <c r="A90" s="12">
        <f>IF(AA90=0,0,IF(AA87=0,Z90,SUM(A87,AA90)))</f>
        <v>0</v>
      </c>
      <c r="B90" s="1157"/>
      <c r="C90" s="1157"/>
      <c r="D90" s="1157"/>
      <c r="E90" s="1182"/>
      <c r="F90" s="1424"/>
      <c r="G90" s="1424"/>
      <c r="H90" s="527"/>
      <c r="I90" s="528"/>
      <c r="J90" s="529"/>
      <c r="K90" s="530"/>
      <c r="L90" s="531"/>
      <c r="M90" s="532"/>
      <c r="N90" s="533"/>
      <c r="O90" s="532"/>
      <c r="P90" s="1182"/>
      <c r="Q90" s="1182"/>
      <c r="R90" s="534">
        <f t="shared" ref="R90" ca="1" si="100">IF(OR(EXACT(H90,""),EXACT(B90,""),EXACT(F91,""),EXACT(H91,""),EXACT(J91,""),EXACT(L91,""),EXACT(N91,""),EXACT(F90,""),EXACT(J90,""),EXACT(M90,""),EXACT(N90,""),EXACT(O90,""),EXACT(P90,"")),0,IF(OR(EXACT(P91,"مقاله پر استناد"),EXACT(P91,"مقاله داغ"),EXACT(P91,"مستخرج از برنامه تحقيقاتي ملي معطوف به رفع مشكلات كشور")),(1.5*(F91*N91*(IF(EXACT(J91,"نفر اول"),INDIRECT(CONCATENATE("'Data Base'!$d",H91)),INDIRECT(CONCATENATE("'Data Base'!$e",H91))))*((100-L91)/100))),IF(EXACT(P91,"Short Article"),(0.5*(F91*N91*(IF(EXACT(J91,"نفر اول"),INDIRECT(CONCATENATE("'Data Base'!$D",H91)),INDIRECT(CONCATENATE("'Data Base'!$E",H91))))*((100-L91)/100))),IF(EXACT(P91,"چاپ شده در نشريات بسيار پر استناد Nature و Science"),(2*(F91*N91*(IF(EXACT(J91,"نفر اول"),INDIRECT(CONCATENATE("'Data Base'!$D",H91)),INDIRECT(CONCATENATE("'Data Base'!$E",H91))))*((100-L91)/100))),IF(OR(EXACT(P91,"مستخرج از طرح پژوهشي محرمانه"),EXACT(P91,"مشترك با اساتيد دانشگاه خارج از كشور")),(1.2*(F91*N91*(IF(EXACT(J91,"نفر اول"),INDIRECT(CONCATENATE("'Data Base'!$D",H91)),INDIRECT(CONCATENATE("'Data Base'!$E",H91))))*((100-L91)/100))),(F91*N91*(IF(EXACT(J91,"نفر اول"),INDIRECT(CONCATENATE("'Data Base'!$d",H91)),INDIRECT(CONCATENATE("'Data Base'!$e",H91))))*((100-L91)/100)))))))</f>
        <v>0</v>
      </c>
      <c r="S90" s="535">
        <f t="shared" ref="S90" ca="1" si="101">IF(OR(EXACT(H90,""),EXACT(B90,""),EXACT(F92,""),EXACT(H92,""),EXACT(J92,""),EXACT(L92,""),EXACT(N92,""),EXACT(F90,""),EXACT(J90,""),EXACT(M90,""),EXACT(N90,""),EXACT(O90,""),EXACT(P90,"")),0,IF(OR(EXACT(P92,"مقاله پر استناد"),EXACT(P92,"مقاله داغ"),EXACT(P92,"مستخرج از برنامه تحقيقاتي ملي معطوف به رفع مشكلات كشور")),(1.5*(F92*N92*(IF(EXACT(J92,"نفر اول"),INDIRECT(CONCATENATE("'Data Base'!$d",H92)),INDIRECT(CONCATENATE("'Data Base'!$E",H92))))*((100-L92)/100))),IF(EXACT(P92,"Short Article"),(0.5*(F92*N92*(IF(EXACT(J92,"نفر اول"),INDIRECT(CONCATENATE("'Data Base'!$D",H92)),INDIRECT(CONCATENATE("'Data Base'!$E",H92))))*((100-L92)/100))),IF(EXACT(P92,"چاپ شده در نشريات بسيار پر استناد Nature و Science"),(2*(F92*N92*(IF(EXACT(J92,"نفر اول"),INDIRECT(CONCATENATE("'Data Base'!$D",H92)),INDIRECT(CONCATENATE("'Data Base'!$E",H92))))*((100-L92)/100))),IF(OR(EXACT(P92,"مستخرج از طرح پژوهشي محرمانه"),EXACT(P92,"مشترك با اساتيد دانشگاه خارج از كشور")),(1.2*(F92*N92*(IF(EXACT(J92,"نفر اول"),INDIRECT(CONCATENATE("'Data Base'!$D",H92)),INDIRECT(CONCATENATE("'Data Base'!$E",H92))))*((100-L92)/100))),(F92*N92*(IF(EXACT(J92,"نفر اول"),INDIRECT(CONCATENATE("'Data Base'!$D",H92)),INDIRECT(CONCATENATE("'Data Base'!$E",H92))))*((100-L92)/100)))))))</f>
        <v>0</v>
      </c>
      <c r="T90" s="147"/>
      <c r="U90" s="1414"/>
      <c r="Z90" s="19">
        <f>SUM(Z87,AA90)</f>
        <v>0</v>
      </c>
      <c r="AA90" s="19">
        <f>IF(OR(OR(B90="",F90="",H90="",J90="",P90=""),AND(M90="",O90="")),0,1)</f>
        <v>0</v>
      </c>
      <c r="AB90" s="19">
        <f t="shared" ref="AB90" ca="1" si="102">IF(AND(AA90=1,S90&gt;0),1,0)</f>
        <v>0</v>
      </c>
      <c r="AC90" s="19">
        <f t="shared" ref="AC90" ca="1" si="103">IF(AND(AA90=1,S90&lt;1),1,0)</f>
        <v>0</v>
      </c>
      <c r="AD90" s="19">
        <f ca="1">IF(AND(AA90=1,S90&gt;=1,AJ90=1),1,0)</f>
        <v>0</v>
      </c>
      <c r="AE90" s="19">
        <f ca="1">IF(AD90=1,S90,0)</f>
        <v>0</v>
      </c>
      <c r="AF90" s="19">
        <f ca="1">IF(AND(AA90=1,S90&gt;=1,AJ90=1,AR92=1),1,0)</f>
        <v>0</v>
      </c>
      <c r="AG90" s="19">
        <f ca="1">IF(AF90=1,S90,0)</f>
        <v>0</v>
      </c>
      <c r="AH90" s="19">
        <f>IF(OR(EXACT(H90,"JCR-Q1"),EXACT(H90,"JCR-Q2")),(1),(0))</f>
        <v>0</v>
      </c>
      <c r="AI90" s="19">
        <f>IF(OR(EXACT(H90,"JCR-Q1"),EXACT(H90,"JCR-Q2"),EXACT(H90,"JCR-Q3")),(1),(0))</f>
        <v>0</v>
      </c>
      <c r="AJ90" s="19">
        <f>IF(OR(EXACT(H90,"JCR-Q1"),EXACT(H90,"JCR-Q2"),EXACT(H90,"JCR-Q3"),EXACT(H90,"JCR-Q4")),(1),(0))</f>
        <v>0</v>
      </c>
      <c r="AK90" s="19">
        <f>IF(OR(EXACT(H90,"JCR-Q1"),EXACT(H90,"JCR-Q2"),EXACT(H90,"JCR-Q3"),EXACT(H90,"JCR-Q4"),EXACT(H90,"WOS")),(1),(0))</f>
        <v>0</v>
      </c>
      <c r="AL90" s="19">
        <f>IF(OR(EXACT(H90,"JCR-Q1"),EXACT(H90,"JCR-Q2"),EXACT(H90,"JCR-Q3"),EXACT(H90,"JCR-Q4"),EXACT(H90,"WOS"),EXACT(H90,"Scopus")),(1),(0))</f>
        <v>0</v>
      </c>
      <c r="AM90" s="19">
        <f>IF(OR(EXACT(H90,'Data Base'!$B$21),EXACT(H90,'Data Base'!$B$22)),(1),(0))</f>
        <v>0</v>
      </c>
    </row>
    <row r="91" spans="1:83" ht="20.25" customHeight="1">
      <c r="A91" s="1416" t="s">
        <v>29</v>
      </c>
      <c r="B91" s="1417"/>
      <c r="C91" s="1417"/>
      <c r="D91" s="1418"/>
      <c r="E91" s="514" t="s">
        <v>1001</v>
      </c>
      <c r="F91" s="515"/>
      <c r="G91" s="516" t="s">
        <v>801</v>
      </c>
      <c r="H91" s="517"/>
      <c r="I91" s="516" t="s">
        <v>1002</v>
      </c>
      <c r="J91" s="518"/>
      <c r="K91" s="516" t="s">
        <v>1003</v>
      </c>
      <c r="L91" s="519"/>
      <c r="M91" s="516" t="s">
        <v>1004</v>
      </c>
      <c r="N91" s="520"/>
      <c r="O91" s="1266" t="s">
        <v>55</v>
      </c>
      <c r="P91" s="1419"/>
      <c r="Q91" s="1419"/>
      <c r="R91" s="1419"/>
      <c r="S91" s="1419"/>
      <c r="T91" s="1419"/>
      <c r="U91" s="1415"/>
      <c r="AN91" s="19">
        <f>IF(AND(AA90=1,EXACT(J91,"نفر اول")),(1),(0))</f>
        <v>0</v>
      </c>
      <c r="AO91" s="19">
        <f>IF(AN91=1,R90,0)</f>
        <v>0</v>
      </c>
      <c r="AP91" s="19">
        <f>IF(AND(AA90=1,EXACT(J91,"همكار")),(1),(0))</f>
        <v>0</v>
      </c>
      <c r="AQ91" s="19">
        <f>IF(AP91=1,R90,0)</f>
        <v>0</v>
      </c>
      <c r="AV91" s="19">
        <f>IF((AH90=1),R90,0)</f>
        <v>0</v>
      </c>
      <c r="AW91" s="19">
        <f>IF(AND(EXACT(AN91,"1"),EXACT(AH90,"1")),(1),(0))</f>
        <v>0</v>
      </c>
      <c r="AX91" s="19">
        <f>IF((AW91=1),AV91,0)</f>
        <v>0</v>
      </c>
      <c r="BB91" s="19">
        <f>IF((AI90=1),R90,0)</f>
        <v>0</v>
      </c>
      <c r="BC91" s="19">
        <f>IF(AND(EXACT(AI90,"1"),EXACT(AN91,"1")),(1),(0))</f>
        <v>0</v>
      </c>
      <c r="BD91" s="19">
        <f>IF((BC91=1),BB91,0)</f>
        <v>0</v>
      </c>
      <c r="BH91" s="19">
        <f>IF((AJ90=1),R90,0)</f>
        <v>0</v>
      </c>
      <c r="BI91" s="19">
        <f>IF(AND(EXACT(AJ90,"1"),EXACT(AN91,"1")),(1),(0))</f>
        <v>0</v>
      </c>
      <c r="BJ91" s="19">
        <f>IF((BI91=1),BH91,0)</f>
        <v>0</v>
      </c>
      <c r="BN91" s="19">
        <f>IF((AK90=1),R90,0)</f>
        <v>0</v>
      </c>
      <c r="BO91" s="19">
        <f>IF(AND(EXACT(AK90,"1"),EXACT(AN91,"1")),(1),(0))</f>
        <v>0</v>
      </c>
      <c r="BP91" s="19">
        <f>IF((BO91=1),BN91,0)</f>
        <v>0</v>
      </c>
      <c r="BT91" s="19">
        <f>IF((AL90=1),R90,0)</f>
        <v>0</v>
      </c>
      <c r="BU91" s="19">
        <f>IF(AND(EXACT(AN91,"1"),EXACT(AL90,"1")),(1),(0))</f>
        <v>0</v>
      </c>
      <c r="BV91" s="19">
        <f>IF((BU91=1),BT91,0)</f>
        <v>0</v>
      </c>
      <c r="BZ91" s="19">
        <f>IF((AM90=1),R90,0)</f>
        <v>0</v>
      </c>
      <c r="CA91" s="19">
        <f>IF(AND(EXACT(AM90,"1"),EXACT(AN91,"1")),(1),(0))</f>
        <v>0</v>
      </c>
      <c r="CB91" s="19">
        <f>IF((CA91=1),BZ91,0)</f>
        <v>0</v>
      </c>
    </row>
    <row r="92" spans="1:83" ht="20.25">
      <c r="A92" s="1420" t="s">
        <v>30</v>
      </c>
      <c r="B92" s="1421"/>
      <c r="C92" s="1421"/>
      <c r="D92" s="1422"/>
      <c r="E92" s="536" t="s">
        <v>1001</v>
      </c>
      <c r="F92" s="537"/>
      <c r="G92" s="538" t="s">
        <v>801</v>
      </c>
      <c r="H92" s="539"/>
      <c r="I92" s="538" t="s">
        <v>1002</v>
      </c>
      <c r="J92" s="525"/>
      <c r="K92" s="538" t="s">
        <v>1003</v>
      </c>
      <c r="L92" s="540"/>
      <c r="M92" s="538" t="s">
        <v>1004</v>
      </c>
      <c r="N92" s="541"/>
      <c r="O92" s="1266"/>
      <c r="P92" s="1423"/>
      <c r="Q92" s="1423"/>
      <c r="R92" s="1423"/>
      <c r="S92" s="1423"/>
      <c r="T92" s="1423"/>
      <c r="U92" s="1415"/>
      <c r="AR92" s="19">
        <f>IF(AND(AA90=1,EXACT(J92,"نفر اول")),(1),(0))</f>
        <v>0</v>
      </c>
      <c r="AS92" s="19">
        <f>IF(AR92=1,S90,0)</f>
        <v>0</v>
      </c>
      <c r="AT92" s="19">
        <f>IF(AND(AA90=1,EXACT(J92,"همكار")),(1),(0))</f>
        <v>0</v>
      </c>
      <c r="AU92" s="19">
        <f>IF(AT92=1,S90,0)</f>
        <v>0</v>
      </c>
      <c r="AY92" s="19">
        <f>IF((AH90=1),S90,0)</f>
        <v>0</v>
      </c>
      <c r="AZ92" s="19">
        <f>IF(AND(EXACT(AR92,"1"),EXACT(AH90,"1")),(1),(0))</f>
        <v>0</v>
      </c>
      <c r="BA92" s="19">
        <f>IF((AZ92=1),AY92,0)</f>
        <v>0</v>
      </c>
      <c r="BE92" s="19">
        <f>IF((AI90=1),S90,0)</f>
        <v>0</v>
      </c>
      <c r="BF92" s="19">
        <f>IF(AND(EXACT(AI90,"1"),EXACT(AR92,"1")),(1),(0))</f>
        <v>0</v>
      </c>
      <c r="BG92" s="19">
        <f>IF((BF92=1),BE92,0)</f>
        <v>0</v>
      </c>
      <c r="BK92" s="19">
        <f>IF((AJ90=1),S90,0)</f>
        <v>0</v>
      </c>
      <c r="BL92" s="19">
        <f>IF(AND(EXACT(AJ90,"1"),EXACT(AR92,"1")),(1),(0))</f>
        <v>0</v>
      </c>
      <c r="BM92" s="19">
        <f>IF((BL92=1),BK92,0)</f>
        <v>0</v>
      </c>
      <c r="BQ92" s="19">
        <f>IF((AJ90=1),S90,0)</f>
        <v>0</v>
      </c>
      <c r="BR92" s="19">
        <f>IF(AND(EXACT(AJ90,"1"),EXACT(AR92,"1")),(1),(0))</f>
        <v>0</v>
      </c>
      <c r="BS92" s="19">
        <f>IF((BL92=1),BK92,0)</f>
        <v>0</v>
      </c>
      <c r="BW92" s="19">
        <f>IF((AL90=1),S90,0)</f>
        <v>0</v>
      </c>
      <c r="BX92" s="19">
        <f>IF(AND(EXACT(AL90,"1"),EXACT(AR92,"1")),(1),(0))</f>
        <v>0</v>
      </c>
      <c r="BY92" s="19">
        <f>IF((BX92=1),BW92,0)</f>
        <v>0</v>
      </c>
      <c r="CC92" s="19">
        <f>IF((AM90=1),R90,0)</f>
        <v>0</v>
      </c>
      <c r="CD92" s="19">
        <f>IF(AND(EXACT(AM90,"1"),EXACT(AR92,"1")),(1),(0))</f>
        <v>0</v>
      </c>
      <c r="CE92" s="19">
        <f>IF((CD92=1),CC92,0)</f>
        <v>0</v>
      </c>
    </row>
    <row r="93" spans="1:83" ht="20.25">
      <c r="A93" s="12">
        <f>IF(AA93=0,0,IF(AA90=0,Z93,SUM(A90,AA93)))</f>
        <v>0</v>
      </c>
      <c r="B93" s="1157"/>
      <c r="C93" s="1157"/>
      <c r="D93" s="1157"/>
      <c r="E93" s="1182"/>
      <c r="F93" s="1424"/>
      <c r="G93" s="1424"/>
      <c r="H93" s="527"/>
      <c r="I93" s="528"/>
      <c r="J93" s="529"/>
      <c r="K93" s="530"/>
      <c r="L93" s="531"/>
      <c r="M93" s="532"/>
      <c r="N93" s="533"/>
      <c r="O93" s="532"/>
      <c r="P93" s="1182"/>
      <c r="Q93" s="1182"/>
      <c r="R93" s="534">
        <f t="shared" ref="R93" ca="1" si="104">IF(OR(EXACT(H93,""),EXACT(B93,""),EXACT(F94,""),EXACT(H94,""),EXACT(J94,""),EXACT(L94,""),EXACT(N94,""),EXACT(F93,""),EXACT(J93,""),EXACT(M93,""),EXACT(N93,""),EXACT(O93,""),EXACT(P93,"")),0,IF(OR(EXACT(P94,"مقاله پر استناد"),EXACT(P94,"مقاله داغ"),EXACT(P94,"مستخرج از برنامه تحقيقاتي ملي معطوف به رفع مشكلات كشور")),(1.5*(F94*N94*(IF(EXACT(J94,"نفر اول"),INDIRECT(CONCATENATE("'Data Base'!$d",H94)),INDIRECT(CONCATENATE("'Data Base'!$e",H94))))*((100-L94)/100))),IF(EXACT(P94,"Short Article"),(0.5*(F94*N94*(IF(EXACT(J94,"نفر اول"),INDIRECT(CONCATENATE("'Data Base'!$D",H94)),INDIRECT(CONCATENATE("'Data Base'!$E",H94))))*((100-L94)/100))),IF(EXACT(P94,"چاپ شده در نشريات بسيار پر استناد Nature و Science"),(2*(F94*N94*(IF(EXACT(J94,"نفر اول"),INDIRECT(CONCATENATE("'Data Base'!$D",H94)),INDIRECT(CONCATENATE("'Data Base'!$E",H94))))*((100-L94)/100))),IF(OR(EXACT(P94,"مستخرج از طرح پژوهشي محرمانه"),EXACT(P94,"مشترك با اساتيد دانشگاه خارج از كشور")),(1.2*(F94*N94*(IF(EXACT(J94,"نفر اول"),INDIRECT(CONCATENATE("'Data Base'!$D",H94)),INDIRECT(CONCATENATE("'Data Base'!$E",H94))))*((100-L94)/100))),(F94*N94*(IF(EXACT(J94,"نفر اول"),INDIRECT(CONCATENATE("'Data Base'!$d",H94)),INDIRECT(CONCATENATE("'Data Base'!$e",H94))))*((100-L94)/100)))))))</f>
        <v>0</v>
      </c>
      <c r="S93" s="535">
        <f t="shared" ref="S93" ca="1" si="105">IF(OR(EXACT(H93,""),EXACT(B93,""),EXACT(F95,""),EXACT(H95,""),EXACT(J95,""),EXACT(L95,""),EXACT(N95,""),EXACT(F93,""),EXACT(J93,""),EXACT(M93,""),EXACT(N93,""),EXACT(O93,""),EXACT(P93,"")),0,IF(OR(EXACT(P95,"مقاله پر استناد"),EXACT(P95,"مقاله داغ"),EXACT(P95,"مستخرج از برنامه تحقيقاتي ملي معطوف به رفع مشكلات كشور")),(1.5*(F95*N95*(IF(EXACT(J95,"نفر اول"),INDIRECT(CONCATENATE("'Data Base'!$d",H95)),INDIRECT(CONCATENATE("'Data Base'!$E",H95))))*((100-L95)/100))),IF(EXACT(P95,"Short Article"),(0.5*(F95*N95*(IF(EXACT(J95,"نفر اول"),INDIRECT(CONCATENATE("'Data Base'!$D",H95)),INDIRECT(CONCATENATE("'Data Base'!$E",H95))))*((100-L95)/100))),IF(EXACT(P95,"چاپ شده در نشريات بسيار پر استناد Nature و Science"),(2*(F95*N95*(IF(EXACT(J95,"نفر اول"),INDIRECT(CONCATENATE("'Data Base'!$D",H95)),INDIRECT(CONCATENATE("'Data Base'!$E",H95))))*((100-L95)/100))),IF(OR(EXACT(P95,"مستخرج از طرح پژوهشي محرمانه"),EXACT(P95,"مشترك با اساتيد دانشگاه خارج از كشور")),(1.2*(F95*N95*(IF(EXACT(J95,"نفر اول"),INDIRECT(CONCATENATE("'Data Base'!$D",H95)),INDIRECT(CONCATENATE("'Data Base'!$E",H95))))*((100-L95)/100))),(F95*N95*(IF(EXACT(J95,"نفر اول"),INDIRECT(CONCATENATE("'Data Base'!$D",H95)),INDIRECT(CONCATENATE("'Data Base'!$E",H95))))*((100-L95)/100)))))))</f>
        <v>0</v>
      </c>
      <c r="T93" s="147"/>
      <c r="U93" s="1414"/>
      <c r="Z93" s="19">
        <f>SUM(Z90,AA93)</f>
        <v>0</v>
      </c>
      <c r="AA93" s="19">
        <f>IF(OR(OR(B93="",F93="",H93="",J93="",P93=""),AND(M93="",O93="")),0,1)</f>
        <v>0</v>
      </c>
      <c r="AB93" s="19">
        <f t="shared" ref="AB93" ca="1" si="106">IF(AND(AA93=1,S93&gt;0),1,0)</f>
        <v>0</v>
      </c>
      <c r="AC93" s="19">
        <f t="shared" ref="AC93" ca="1" si="107">IF(AND(AA93=1,S93&lt;1),1,0)</f>
        <v>0</v>
      </c>
      <c r="AD93" s="19">
        <f ca="1">IF(AND(AA93=1,S93&gt;=1,AJ93=1),1,0)</f>
        <v>0</v>
      </c>
      <c r="AE93" s="19">
        <f ca="1">IF(AD93=1,S93,0)</f>
        <v>0</v>
      </c>
      <c r="AF93" s="19">
        <f ca="1">IF(AND(AA93=1,S93&gt;=1,AJ93=1,AR95=1),1,0)</f>
        <v>0</v>
      </c>
      <c r="AG93" s="19">
        <f ca="1">IF(AF93=1,S93,0)</f>
        <v>0</v>
      </c>
      <c r="AH93" s="19">
        <f>IF(OR(EXACT(H93,"JCR-Q1"),EXACT(H93,"JCR-Q2")),(1),(0))</f>
        <v>0</v>
      </c>
      <c r="AI93" s="19">
        <f>IF(OR(EXACT(H93,"JCR-Q1"),EXACT(H93,"JCR-Q2"),EXACT(H93,"JCR-Q3")),(1),(0))</f>
        <v>0</v>
      </c>
      <c r="AJ93" s="19">
        <f>IF(OR(EXACT(H93,"JCR-Q1"),EXACT(H93,"JCR-Q2"),EXACT(H93,"JCR-Q3"),EXACT(H93,"JCR-Q4")),(1),(0))</f>
        <v>0</v>
      </c>
      <c r="AK93" s="19">
        <f>IF(OR(EXACT(H93,"JCR-Q1"),EXACT(H93,"JCR-Q2"),EXACT(H93,"JCR-Q3"),EXACT(H93,"JCR-Q4"),EXACT(H93,"WOS")),(1),(0))</f>
        <v>0</v>
      </c>
      <c r="AL93" s="19">
        <f>IF(OR(EXACT(H93,"JCR-Q1"),EXACT(H93,"JCR-Q2"),EXACT(H93,"JCR-Q3"),EXACT(H93,"JCR-Q4"),EXACT(H93,"WOS"),EXACT(H93,"Scopus")),(1),(0))</f>
        <v>0</v>
      </c>
      <c r="AM93" s="19">
        <f>IF(OR(EXACT(H93,'Data Base'!$B$21),EXACT(H93,'Data Base'!$B$22)),(1),(0))</f>
        <v>0</v>
      </c>
    </row>
    <row r="94" spans="1:83" ht="20.25" customHeight="1">
      <c r="A94" s="1416" t="s">
        <v>29</v>
      </c>
      <c r="B94" s="1417"/>
      <c r="C94" s="1417"/>
      <c r="D94" s="1418"/>
      <c r="E94" s="514" t="s">
        <v>1001</v>
      </c>
      <c r="F94" s="515"/>
      <c r="G94" s="516" t="s">
        <v>801</v>
      </c>
      <c r="H94" s="517"/>
      <c r="I94" s="516" t="s">
        <v>1002</v>
      </c>
      <c r="J94" s="518"/>
      <c r="K94" s="516" t="s">
        <v>1003</v>
      </c>
      <c r="L94" s="519"/>
      <c r="M94" s="516" t="s">
        <v>1004</v>
      </c>
      <c r="N94" s="520"/>
      <c r="O94" s="1266" t="s">
        <v>55</v>
      </c>
      <c r="P94" s="1419"/>
      <c r="Q94" s="1419"/>
      <c r="R94" s="1419"/>
      <c r="S94" s="1419"/>
      <c r="T94" s="1419"/>
      <c r="U94" s="1415"/>
      <c r="AN94" s="19">
        <f>IF(AND(AA93=1,EXACT(J94,"نفر اول")),(1),(0))</f>
        <v>0</v>
      </c>
      <c r="AO94" s="19">
        <f>IF(AN94=1,R93,0)</f>
        <v>0</v>
      </c>
      <c r="AP94" s="19">
        <f>IF(AND(AA93=1,EXACT(J94,"همكار")),(1),(0))</f>
        <v>0</v>
      </c>
      <c r="AQ94" s="19">
        <f>IF(AP94=1,R93,0)</f>
        <v>0</v>
      </c>
      <c r="AV94" s="19">
        <f>IF((AH93=1),R93,0)</f>
        <v>0</v>
      </c>
      <c r="AW94" s="19">
        <f>IF(AND(EXACT(AN94,"1"),EXACT(AH93,"1")),(1),(0))</f>
        <v>0</v>
      </c>
      <c r="AX94" s="19">
        <f>IF((AW94=1),AV94,0)</f>
        <v>0</v>
      </c>
      <c r="BB94" s="19">
        <f>IF((AI93=1),R93,0)</f>
        <v>0</v>
      </c>
      <c r="BC94" s="19">
        <f>IF(AND(EXACT(AI93,"1"),EXACT(AN94,"1")),(1),(0))</f>
        <v>0</v>
      </c>
      <c r="BD94" s="19">
        <f>IF((BC94=1),BB94,0)</f>
        <v>0</v>
      </c>
      <c r="BH94" s="19">
        <f>IF((AJ93=1),R93,0)</f>
        <v>0</v>
      </c>
      <c r="BI94" s="19">
        <f>IF(AND(EXACT(AJ93,"1"),EXACT(AN94,"1")),(1),(0))</f>
        <v>0</v>
      </c>
      <c r="BJ94" s="19">
        <f>IF((BI94=1),BH94,0)</f>
        <v>0</v>
      </c>
      <c r="BN94" s="19">
        <f>IF((AK93=1),R93,0)</f>
        <v>0</v>
      </c>
      <c r="BO94" s="19">
        <f>IF(AND(EXACT(AK93,"1"),EXACT(AN94,"1")),(1),(0))</f>
        <v>0</v>
      </c>
      <c r="BP94" s="19">
        <f>IF((BO94=1),BN94,0)</f>
        <v>0</v>
      </c>
      <c r="BT94" s="19">
        <f>IF((AL93=1),R93,0)</f>
        <v>0</v>
      </c>
      <c r="BU94" s="19">
        <f>IF(AND(EXACT(AN94,"1"),EXACT(AL93,"1")),(1),(0))</f>
        <v>0</v>
      </c>
      <c r="BV94" s="19">
        <f>IF((BU94=1),BT94,0)</f>
        <v>0</v>
      </c>
      <c r="BZ94" s="19">
        <f>IF((AM93=1),R93,0)</f>
        <v>0</v>
      </c>
      <c r="CA94" s="19">
        <f>IF(AND(EXACT(AM93,"1"),EXACT(AN94,"1")),(1),(0))</f>
        <v>0</v>
      </c>
      <c r="CB94" s="19">
        <f>IF((CA94=1),BZ94,0)</f>
        <v>0</v>
      </c>
    </row>
    <row r="95" spans="1:83" ht="20.25">
      <c r="A95" s="1420" t="s">
        <v>30</v>
      </c>
      <c r="B95" s="1421"/>
      <c r="C95" s="1421"/>
      <c r="D95" s="1422"/>
      <c r="E95" s="536" t="s">
        <v>1001</v>
      </c>
      <c r="F95" s="537"/>
      <c r="G95" s="538" t="s">
        <v>801</v>
      </c>
      <c r="H95" s="539"/>
      <c r="I95" s="538" t="s">
        <v>1002</v>
      </c>
      <c r="J95" s="525"/>
      <c r="K95" s="538" t="s">
        <v>1003</v>
      </c>
      <c r="L95" s="540"/>
      <c r="M95" s="538" t="s">
        <v>1004</v>
      </c>
      <c r="N95" s="541"/>
      <c r="O95" s="1266"/>
      <c r="P95" s="1423"/>
      <c r="Q95" s="1423"/>
      <c r="R95" s="1423"/>
      <c r="S95" s="1423"/>
      <c r="T95" s="1423"/>
      <c r="U95" s="1415"/>
      <c r="AR95" s="19">
        <f>IF(AND(AA93=1,EXACT(J95,"نفر اول")),(1),(0))</f>
        <v>0</v>
      </c>
      <c r="AS95" s="19">
        <f>IF(AR95=1,S93,0)</f>
        <v>0</v>
      </c>
      <c r="AT95" s="19">
        <f>IF(AND(AA93=1,EXACT(J95,"همكار")),(1),(0))</f>
        <v>0</v>
      </c>
      <c r="AU95" s="19">
        <f>IF(AT95=1,S93,0)</f>
        <v>0</v>
      </c>
      <c r="AY95" s="19">
        <f>IF((AH93=1),S93,0)</f>
        <v>0</v>
      </c>
      <c r="AZ95" s="19">
        <f>IF(AND(EXACT(AR95,"1"),EXACT(AH93,"1")),(1),(0))</f>
        <v>0</v>
      </c>
      <c r="BA95" s="19">
        <f>IF((AZ95=1),AY95,0)</f>
        <v>0</v>
      </c>
      <c r="BE95" s="19">
        <f>IF((AI93=1),S93,0)</f>
        <v>0</v>
      </c>
      <c r="BF95" s="19">
        <f>IF(AND(EXACT(AI93,"1"),EXACT(AR95,"1")),(1),(0))</f>
        <v>0</v>
      </c>
      <c r="BG95" s="19">
        <f>IF((BF95=1),BE95,0)</f>
        <v>0</v>
      </c>
      <c r="BK95" s="19">
        <f>IF((AJ93=1),S93,0)</f>
        <v>0</v>
      </c>
      <c r="BL95" s="19">
        <f>IF(AND(EXACT(AJ93,"1"),EXACT(AR95,"1")),(1),(0))</f>
        <v>0</v>
      </c>
      <c r="BM95" s="19">
        <f>IF((BL95=1),BK95,0)</f>
        <v>0</v>
      </c>
      <c r="BQ95" s="19">
        <f>IF((AJ93=1),S93,0)</f>
        <v>0</v>
      </c>
      <c r="BR95" s="19">
        <f>IF(AND(EXACT(AJ93,"1"),EXACT(AR95,"1")),(1),(0))</f>
        <v>0</v>
      </c>
      <c r="BS95" s="19">
        <f>IF((BL95=1),BK95,0)</f>
        <v>0</v>
      </c>
      <c r="BW95" s="19">
        <f>IF((AL93=1),S93,0)</f>
        <v>0</v>
      </c>
      <c r="BX95" s="19">
        <f>IF(AND(EXACT(AL93,"1"),EXACT(AR95,"1")),(1),(0))</f>
        <v>0</v>
      </c>
      <c r="BY95" s="19">
        <f>IF((BX95=1),BW95,0)</f>
        <v>0</v>
      </c>
      <c r="CC95" s="19">
        <f>IF((AM93=1),R93,0)</f>
        <v>0</v>
      </c>
      <c r="CD95" s="19">
        <f>IF(AND(EXACT(AM93,"1"),EXACT(AR95,"1")),(1),(0))</f>
        <v>0</v>
      </c>
      <c r="CE95" s="19">
        <f>IF((CD95=1),CC95,0)</f>
        <v>0</v>
      </c>
    </row>
    <row r="96" spans="1:83" ht="20.25">
      <c r="A96" s="12">
        <f>IF(AA96=0,0,IF(AA93=0,Z96,SUM(A93,AA96)))</f>
        <v>0</v>
      </c>
      <c r="B96" s="1157"/>
      <c r="C96" s="1157"/>
      <c r="D96" s="1157"/>
      <c r="E96" s="1182"/>
      <c r="F96" s="1424"/>
      <c r="G96" s="1424"/>
      <c r="H96" s="527"/>
      <c r="I96" s="528"/>
      <c r="J96" s="529"/>
      <c r="K96" s="530"/>
      <c r="L96" s="531"/>
      <c r="M96" s="532"/>
      <c r="N96" s="533"/>
      <c r="O96" s="532"/>
      <c r="P96" s="1182"/>
      <c r="Q96" s="1182"/>
      <c r="R96" s="534">
        <f t="shared" ref="R96" ca="1" si="108">IF(OR(EXACT(H96,""),EXACT(B96,""),EXACT(F97,""),EXACT(H97,""),EXACT(J97,""),EXACT(L97,""),EXACT(N97,""),EXACT(F96,""),EXACT(J96,""),EXACT(M96,""),EXACT(N96,""),EXACT(O96,""),EXACT(P96,"")),0,IF(OR(EXACT(P97,"مقاله پر استناد"),EXACT(P97,"مقاله داغ"),EXACT(P97,"مستخرج از برنامه تحقيقاتي ملي معطوف به رفع مشكلات كشور")),(1.5*(F97*N97*(IF(EXACT(J97,"نفر اول"),INDIRECT(CONCATENATE("'Data Base'!$d",H97)),INDIRECT(CONCATENATE("'Data Base'!$e",H97))))*((100-L97)/100))),IF(EXACT(P97,"Short Article"),(0.5*(F97*N97*(IF(EXACT(J97,"نفر اول"),INDIRECT(CONCATENATE("'Data Base'!$D",H97)),INDIRECT(CONCATENATE("'Data Base'!$E",H97))))*((100-L97)/100))),IF(EXACT(P97,"چاپ شده در نشريات بسيار پر استناد Nature و Science"),(2*(F97*N97*(IF(EXACT(J97,"نفر اول"),INDIRECT(CONCATENATE("'Data Base'!$D",H97)),INDIRECT(CONCATENATE("'Data Base'!$E",H97))))*((100-L97)/100))),IF(OR(EXACT(P97,"مستخرج از طرح پژوهشي محرمانه"),EXACT(P97,"مشترك با اساتيد دانشگاه خارج از كشور")),(1.2*(F97*N97*(IF(EXACT(J97,"نفر اول"),INDIRECT(CONCATENATE("'Data Base'!$D",H97)),INDIRECT(CONCATENATE("'Data Base'!$E",H97))))*((100-L97)/100))),(F97*N97*(IF(EXACT(J97,"نفر اول"),INDIRECT(CONCATENATE("'Data Base'!$d",H97)),INDIRECT(CONCATENATE("'Data Base'!$e",H97))))*((100-L97)/100)))))))</f>
        <v>0</v>
      </c>
      <c r="S96" s="535">
        <f t="shared" ref="S96" ca="1" si="109">IF(OR(EXACT(H96,""),EXACT(B96,""),EXACT(F98,""),EXACT(H98,""),EXACT(J98,""),EXACT(L98,""),EXACT(N98,""),EXACT(F96,""),EXACT(J96,""),EXACT(M96,""),EXACT(N96,""),EXACT(O96,""),EXACT(P96,"")),0,IF(OR(EXACT(P98,"مقاله پر استناد"),EXACT(P98,"مقاله داغ"),EXACT(P98,"مستخرج از برنامه تحقيقاتي ملي معطوف به رفع مشكلات كشور")),(1.5*(F98*N98*(IF(EXACT(J98,"نفر اول"),INDIRECT(CONCATENATE("'Data Base'!$d",H98)),INDIRECT(CONCATENATE("'Data Base'!$E",H98))))*((100-L98)/100))),IF(EXACT(P98,"Short Article"),(0.5*(F98*N98*(IF(EXACT(J98,"نفر اول"),INDIRECT(CONCATENATE("'Data Base'!$D",H98)),INDIRECT(CONCATENATE("'Data Base'!$E",H98))))*((100-L98)/100))),IF(EXACT(P98,"چاپ شده در نشريات بسيار پر استناد Nature و Science"),(2*(F98*N98*(IF(EXACT(J98,"نفر اول"),INDIRECT(CONCATENATE("'Data Base'!$D",H98)),INDIRECT(CONCATENATE("'Data Base'!$E",H98))))*((100-L98)/100))),IF(OR(EXACT(P98,"مستخرج از طرح پژوهشي محرمانه"),EXACT(P98,"مشترك با اساتيد دانشگاه خارج از كشور")),(1.2*(F98*N98*(IF(EXACT(J98,"نفر اول"),INDIRECT(CONCATENATE("'Data Base'!$D",H98)),INDIRECT(CONCATENATE("'Data Base'!$E",H98))))*((100-L98)/100))),(F98*N98*(IF(EXACT(J98,"نفر اول"),INDIRECT(CONCATENATE("'Data Base'!$D",H98)),INDIRECT(CONCATENATE("'Data Base'!$E",H98))))*((100-L98)/100)))))))</f>
        <v>0</v>
      </c>
      <c r="T96" s="147"/>
      <c r="U96" s="1414"/>
      <c r="Z96" s="19">
        <f>SUM(Z93,AA96)</f>
        <v>0</v>
      </c>
      <c r="AA96" s="19">
        <f>IF(OR(OR(B96="",F96="",H96="",J96="",P96=""),AND(M96="",O96="")),0,1)</f>
        <v>0</v>
      </c>
      <c r="AB96" s="19">
        <f t="shared" ref="AB96" ca="1" si="110">IF(AND(AA96=1,S96&gt;0),1,0)</f>
        <v>0</v>
      </c>
      <c r="AC96" s="19">
        <f t="shared" ref="AC96" ca="1" si="111">IF(AND(AA96=1,S96&lt;1),1,0)</f>
        <v>0</v>
      </c>
      <c r="AD96" s="19">
        <f ca="1">IF(AND(AA96=1,S96&gt;=1,AJ96=1),1,0)</f>
        <v>0</v>
      </c>
      <c r="AE96" s="19">
        <f ca="1">IF(AD96=1,S96,0)</f>
        <v>0</v>
      </c>
      <c r="AF96" s="19">
        <f ca="1">IF(AND(AA96=1,S96&gt;=1,AJ96=1,AR98=1),1,0)</f>
        <v>0</v>
      </c>
      <c r="AG96" s="19">
        <f ca="1">IF(AF96=1,S96,0)</f>
        <v>0</v>
      </c>
      <c r="AH96" s="19">
        <f>IF(OR(EXACT(H96,"JCR-Q1"),EXACT(H96,"JCR-Q2")),(1),(0))</f>
        <v>0</v>
      </c>
      <c r="AI96" s="19">
        <f>IF(OR(EXACT(H96,"JCR-Q1"),EXACT(H96,"JCR-Q2"),EXACT(H96,"JCR-Q3")),(1),(0))</f>
        <v>0</v>
      </c>
      <c r="AJ96" s="19">
        <f>IF(OR(EXACT(H96,"JCR-Q1"),EXACT(H96,"JCR-Q2"),EXACT(H96,"JCR-Q3"),EXACT(H96,"JCR-Q4")),(1),(0))</f>
        <v>0</v>
      </c>
      <c r="AK96" s="19">
        <f>IF(OR(EXACT(H96,"JCR-Q1"),EXACT(H96,"JCR-Q2"),EXACT(H96,"JCR-Q3"),EXACT(H96,"JCR-Q4"),EXACT(H96,"WOS")),(1),(0))</f>
        <v>0</v>
      </c>
      <c r="AL96" s="19">
        <f>IF(OR(EXACT(H96,"JCR-Q1"),EXACT(H96,"JCR-Q2"),EXACT(H96,"JCR-Q3"),EXACT(H96,"JCR-Q4"),EXACT(H96,"WOS"),EXACT(H96,"Scopus")),(1),(0))</f>
        <v>0</v>
      </c>
      <c r="AM96" s="19">
        <f>IF(OR(EXACT(H96,'Data Base'!$B$21),EXACT(H96,'Data Base'!$B$22)),(1),(0))</f>
        <v>0</v>
      </c>
    </row>
    <row r="97" spans="1:83" ht="20.25" customHeight="1">
      <c r="A97" s="1416" t="s">
        <v>29</v>
      </c>
      <c r="B97" s="1417"/>
      <c r="C97" s="1417"/>
      <c r="D97" s="1418"/>
      <c r="E97" s="514" t="s">
        <v>1001</v>
      </c>
      <c r="F97" s="515"/>
      <c r="G97" s="516" t="s">
        <v>801</v>
      </c>
      <c r="H97" s="517"/>
      <c r="I97" s="516" t="s">
        <v>1002</v>
      </c>
      <c r="J97" s="518"/>
      <c r="K97" s="516" t="s">
        <v>1003</v>
      </c>
      <c r="L97" s="519"/>
      <c r="M97" s="516" t="s">
        <v>1004</v>
      </c>
      <c r="N97" s="520"/>
      <c r="O97" s="1266" t="s">
        <v>55</v>
      </c>
      <c r="P97" s="1419"/>
      <c r="Q97" s="1419"/>
      <c r="R97" s="1419"/>
      <c r="S97" s="1419"/>
      <c r="T97" s="1419"/>
      <c r="U97" s="1415"/>
      <c r="AN97" s="19">
        <f>IF(AND(AA96=1,EXACT(J97,"نفر اول")),(1),(0))</f>
        <v>0</v>
      </c>
      <c r="AO97" s="19">
        <f>IF(AN97=1,R96,0)</f>
        <v>0</v>
      </c>
      <c r="AP97" s="19">
        <f>IF(AND(AA96=1,EXACT(J97,"همكار")),(1),(0))</f>
        <v>0</v>
      </c>
      <c r="AQ97" s="19">
        <f>IF(AP97=1,R96,0)</f>
        <v>0</v>
      </c>
      <c r="AV97" s="19">
        <f>IF((AH96=1),R96,0)</f>
        <v>0</v>
      </c>
      <c r="AW97" s="19">
        <f>IF(AND(EXACT(AN97,"1"),EXACT(AH96,"1")),(1),(0))</f>
        <v>0</v>
      </c>
      <c r="AX97" s="19">
        <f>IF((AW97=1),AV97,0)</f>
        <v>0</v>
      </c>
      <c r="BB97" s="19">
        <f>IF((AI96=1),R96,0)</f>
        <v>0</v>
      </c>
      <c r="BC97" s="19">
        <f>IF(AND(EXACT(AI96,"1"),EXACT(AN97,"1")),(1),(0))</f>
        <v>0</v>
      </c>
      <c r="BD97" s="19">
        <f>IF((BC97=1),BB97,0)</f>
        <v>0</v>
      </c>
      <c r="BH97" s="19">
        <f>IF((AJ96=1),R96,0)</f>
        <v>0</v>
      </c>
      <c r="BI97" s="19">
        <f>IF(AND(EXACT(AJ96,"1"),EXACT(AN97,"1")),(1),(0))</f>
        <v>0</v>
      </c>
      <c r="BJ97" s="19">
        <f>IF((BI97=1),BH97,0)</f>
        <v>0</v>
      </c>
      <c r="BN97" s="19">
        <f>IF((AK96=1),R96,0)</f>
        <v>0</v>
      </c>
      <c r="BO97" s="19">
        <f>IF(AND(EXACT(AK96,"1"),EXACT(AN97,"1")),(1),(0))</f>
        <v>0</v>
      </c>
      <c r="BP97" s="19">
        <f>IF((BO97=1),BN97,0)</f>
        <v>0</v>
      </c>
      <c r="BT97" s="19">
        <f>IF((AL96=1),R96,0)</f>
        <v>0</v>
      </c>
      <c r="BU97" s="19">
        <f>IF(AND(EXACT(AN97,"1"),EXACT(AL96,"1")),(1),(0))</f>
        <v>0</v>
      </c>
      <c r="BV97" s="19">
        <f>IF((BU97=1),BT97,0)</f>
        <v>0</v>
      </c>
      <c r="BZ97" s="19">
        <f>IF((AM96=1),R96,0)</f>
        <v>0</v>
      </c>
      <c r="CA97" s="19">
        <f>IF(AND(EXACT(AM96,"1"),EXACT(AN97,"1")),(1),(0))</f>
        <v>0</v>
      </c>
      <c r="CB97" s="19">
        <f>IF((CA97=1),BZ97,0)</f>
        <v>0</v>
      </c>
    </row>
    <row r="98" spans="1:83" ht="20.25">
      <c r="A98" s="1420" t="s">
        <v>30</v>
      </c>
      <c r="B98" s="1421"/>
      <c r="C98" s="1421"/>
      <c r="D98" s="1422"/>
      <c r="E98" s="536" t="s">
        <v>1001</v>
      </c>
      <c r="F98" s="537"/>
      <c r="G98" s="538" t="s">
        <v>801</v>
      </c>
      <c r="H98" s="539"/>
      <c r="I98" s="538" t="s">
        <v>1002</v>
      </c>
      <c r="J98" s="525"/>
      <c r="K98" s="538" t="s">
        <v>1003</v>
      </c>
      <c r="L98" s="540"/>
      <c r="M98" s="538" t="s">
        <v>1004</v>
      </c>
      <c r="N98" s="541"/>
      <c r="O98" s="1266"/>
      <c r="P98" s="1423"/>
      <c r="Q98" s="1423"/>
      <c r="R98" s="1423"/>
      <c r="S98" s="1423"/>
      <c r="T98" s="1423"/>
      <c r="U98" s="1415"/>
      <c r="AR98" s="19">
        <f>IF(AND(AA96=1,EXACT(J98,"نفر اول")),(1),(0))</f>
        <v>0</v>
      </c>
      <c r="AS98" s="19">
        <f>IF(AR98=1,S96,0)</f>
        <v>0</v>
      </c>
      <c r="AT98" s="19">
        <f>IF(AND(AA96=1,EXACT(J98,"همكار")),(1),(0))</f>
        <v>0</v>
      </c>
      <c r="AU98" s="19">
        <f>IF(AT98=1,S96,0)</f>
        <v>0</v>
      </c>
      <c r="AY98" s="19">
        <f>IF((AH96=1),S96,0)</f>
        <v>0</v>
      </c>
      <c r="AZ98" s="19">
        <f>IF(AND(EXACT(AR98,"1"),EXACT(AH96,"1")),(1),(0))</f>
        <v>0</v>
      </c>
      <c r="BA98" s="19">
        <f>IF((AZ98=1),AY98,0)</f>
        <v>0</v>
      </c>
      <c r="BE98" s="19">
        <f>IF((AI96=1),S96,0)</f>
        <v>0</v>
      </c>
      <c r="BF98" s="19">
        <f>IF(AND(EXACT(AI96,"1"),EXACT(AR98,"1")),(1),(0))</f>
        <v>0</v>
      </c>
      <c r="BG98" s="19">
        <f>IF((BF98=1),BE98,0)</f>
        <v>0</v>
      </c>
      <c r="BK98" s="19">
        <f>IF((AJ96=1),S96,0)</f>
        <v>0</v>
      </c>
      <c r="BL98" s="19">
        <f>IF(AND(EXACT(AJ96,"1"),EXACT(AR98,"1")),(1),(0))</f>
        <v>0</v>
      </c>
      <c r="BM98" s="19">
        <f>IF((BL98=1),BK98,0)</f>
        <v>0</v>
      </c>
      <c r="BQ98" s="19">
        <f>IF((AJ96=1),S96,0)</f>
        <v>0</v>
      </c>
      <c r="BR98" s="19">
        <f>IF(AND(EXACT(AJ96,"1"),EXACT(AR98,"1")),(1),(0))</f>
        <v>0</v>
      </c>
      <c r="BS98" s="19">
        <f>IF((BL98=1),BK98,0)</f>
        <v>0</v>
      </c>
      <c r="BW98" s="19">
        <f>IF((AL96=1),S96,0)</f>
        <v>0</v>
      </c>
      <c r="BX98" s="19">
        <f>IF(AND(EXACT(AL96,"1"),EXACT(AR98,"1")),(1),(0))</f>
        <v>0</v>
      </c>
      <c r="BY98" s="19">
        <f>IF((BX98=1),BW98,0)</f>
        <v>0</v>
      </c>
      <c r="CC98" s="19">
        <f>IF((AM96=1),R96,0)</f>
        <v>0</v>
      </c>
      <c r="CD98" s="19">
        <f>IF(AND(EXACT(AM96,"1"),EXACT(AR98,"1")),(1),(0))</f>
        <v>0</v>
      </c>
      <c r="CE98" s="19">
        <f>IF((CD98=1),CC98,0)</f>
        <v>0</v>
      </c>
    </row>
    <row r="99" spans="1:83" ht="20.25">
      <c r="A99" s="12">
        <f>IF(AA99=0,0,IF(AA96=0,Z99,SUM(A96,AA99)))</f>
        <v>0</v>
      </c>
      <c r="B99" s="1157"/>
      <c r="C99" s="1157"/>
      <c r="D99" s="1157"/>
      <c r="E99" s="1182"/>
      <c r="F99" s="1424"/>
      <c r="G99" s="1424"/>
      <c r="H99" s="527"/>
      <c r="I99" s="528"/>
      <c r="J99" s="529"/>
      <c r="K99" s="530"/>
      <c r="L99" s="531"/>
      <c r="M99" s="532"/>
      <c r="N99" s="533"/>
      <c r="O99" s="532"/>
      <c r="P99" s="1182"/>
      <c r="Q99" s="1182"/>
      <c r="R99" s="534">
        <f t="shared" ref="R99" ca="1" si="112">IF(OR(EXACT(H99,""),EXACT(B99,""),EXACT(F100,""),EXACT(H100,""),EXACT(J100,""),EXACT(L100,""),EXACT(N100,""),EXACT(F99,""),EXACT(J99,""),EXACT(M99,""),EXACT(N99,""),EXACT(O99,""),EXACT(P99,"")),0,IF(OR(EXACT(P100,"مقاله پر استناد"),EXACT(P100,"مقاله داغ"),EXACT(P100,"مستخرج از برنامه تحقيقاتي ملي معطوف به رفع مشكلات كشور")),(1.5*(F100*N100*(IF(EXACT(J100,"نفر اول"),INDIRECT(CONCATENATE("'Data Base'!$d",H100)),INDIRECT(CONCATENATE("'Data Base'!$e",H100))))*((100-L100)/100))),IF(EXACT(P100,"Short Article"),(0.5*(F100*N100*(IF(EXACT(J100,"نفر اول"),INDIRECT(CONCATENATE("'Data Base'!$D",H100)),INDIRECT(CONCATENATE("'Data Base'!$E",H100))))*((100-L100)/100))),IF(EXACT(P100,"چاپ شده در نشريات بسيار پر استناد Nature و Science"),(2*(F100*N100*(IF(EXACT(J100,"نفر اول"),INDIRECT(CONCATENATE("'Data Base'!$D",H100)),INDIRECT(CONCATENATE("'Data Base'!$E",H100))))*((100-L100)/100))),IF(OR(EXACT(P100,"مستخرج از طرح پژوهشي محرمانه"),EXACT(P100,"مشترك با اساتيد دانشگاه خارج از كشور")),(1.2*(F100*N100*(IF(EXACT(J100,"نفر اول"),INDIRECT(CONCATENATE("'Data Base'!$D",H100)),INDIRECT(CONCATENATE("'Data Base'!$E",H100))))*((100-L100)/100))),(F100*N100*(IF(EXACT(J100,"نفر اول"),INDIRECT(CONCATENATE("'Data Base'!$d",H100)),INDIRECT(CONCATENATE("'Data Base'!$e",H100))))*((100-L100)/100)))))))</f>
        <v>0</v>
      </c>
      <c r="S99" s="535">
        <f t="shared" ref="S99" ca="1" si="113">IF(OR(EXACT(H99,""),EXACT(B99,""),EXACT(F101,""),EXACT(H101,""),EXACT(J101,""),EXACT(L101,""),EXACT(N101,""),EXACT(F99,""),EXACT(J99,""),EXACT(M99,""),EXACT(N99,""),EXACT(O99,""),EXACT(P99,"")),0,IF(OR(EXACT(P101,"مقاله پر استناد"),EXACT(P101,"مقاله داغ"),EXACT(P101,"مستخرج از برنامه تحقيقاتي ملي معطوف به رفع مشكلات كشور")),(1.5*(F101*N101*(IF(EXACT(J101,"نفر اول"),INDIRECT(CONCATENATE("'Data Base'!$d",H101)),INDIRECT(CONCATENATE("'Data Base'!$E",H101))))*((100-L101)/100))),IF(EXACT(P101,"Short Article"),(0.5*(F101*N101*(IF(EXACT(J101,"نفر اول"),INDIRECT(CONCATENATE("'Data Base'!$D",H101)),INDIRECT(CONCATENATE("'Data Base'!$E",H101))))*((100-L101)/100))),IF(EXACT(P101,"چاپ شده در نشريات بسيار پر استناد Nature و Science"),(2*(F101*N101*(IF(EXACT(J101,"نفر اول"),INDIRECT(CONCATENATE("'Data Base'!$D",H101)),INDIRECT(CONCATENATE("'Data Base'!$E",H101))))*((100-L101)/100))),IF(OR(EXACT(P101,"مستخرج از طرح پژوهشي محرمانه"),EXACT(P101,"مشترك با اساتيد دانشگاه خارج از كشور")),(1.2*(F101*N101*(IF(EXACT(J101,"نفر اول"),INDIRECT(CONCATENATE("'Data Base'!$D",H101)),INDIRECT(CONCATENATE("'Data Base'!$E",H101))))*((100-L101)/100))),(F101*N101*(IF(EXACT(J101,"نفر اول"),INDIRECT(CONCATENATE("'Data Base'!$D",H101)),INDIRECT(CONCATENATE("'Data Base'!$E",H101))))*((100-L101)/100)))))))</f>
        <v>0</v>
      </c>
      <c r="T99" s="147"/>
      <c r="U99" s="1414"/>
      <c r="Z99" s="19">
        <f>SUM(Z96,AA99)</f>
        <v>0</v>
      </c>
      <c r="AA99" s="19">
        <f>IF(OR(OR(B99="",F99="",H99="",J99="",P99=""),AND(M99="",O99="")),0,1)</f>
        <v>0</v>
      </c>
      <c r="AB99" s="19">
        <f t="shared" ref="AB99" ca="1" si="114">IF(AND(AA99=1,S99&gt;0),1,0)</f>
        <v>0</v>
      </c>
      <c r="AC99" s="19">
        <f t="shared" ref="AC99" ca="1" si="115">IF(AND(AA99=1,S99&lt;1),1,0)</f>
        <v>0</v>
      </c>
      <c r="AD99" s="19">
        <f ca="1">IF(AND(AA99=1,S99&gt;=1,AJ99=1),1,0)</f>
        <v>0</v>
      </c>
      <c r="AE99" s="19">
        <f ca="1">IF(AD99=1,S99,0)</f>
        <v>0</v>
      </c>
      <c r="AF99" s="19">
        <f ca="1">IF(AND(AA99=1,S99&gt;=1,AJ99=1,AR101=1),1,0)</f>
        <v>0</v>
      </c>
      <c r="AG99" s="19">
        <f ca="1">IF(AF99=1,S99,0)</f>
        <v>0</v>
      </c>
      <c r="AH99" s="19">
        <f>IF(OR(EXACT(H99,"JCR-Q1"),EXACT(H99,"JCR-Q2")),(1),(0))</f>
        <v>0</v>
      </c>
      <c r="AI99" s="19">
        <f>IF(OR(EXACT(H99,"JCR-Q1"),EXACT(H99,"JCR-Q2"),EXACT(H99,"JCR-Q3")),(1),(0))</f>
        <v>0</v>
      </c>
      <c r="AJ99" s="19">
        <f>IF(OR(EXACT(H99,"JCR-Q1"),EXACT(H99,"JCR-Q2"),EXACT(H99,"JCR-Q3"),EXACT(H99,"JCR-Q4")),(1),(0))</f>
        <v>0</v>
      </c>
      <c r="AK99" s="19">
        <f>IF(OR(EXACT(H99,"JCR-Q1"),EXACT(H99,"JCR-Q2"),EXACT(H99,"JCR-Q3"),EXACT(H99,"JCR-Q4"),EXACT(H99,"WOS")),(1),(0))</f>
        <v>0</v>
      </c>
      <c r="AL99" s="19">
        <f>IF(OR(EXACT(H99,"JCR-Q1"),EXACT(H99,"JCR-Q2"),EXACT(H99,"JCR-Q3"),EXACT(H99,"JCR-Q4"),EXACT(H99,"WOS"),EXACT(H99,"Scopus")),(1),(0))</f>
        <v>0</v>
      </c>
      <c r="AM99" s="19">
        <f>IF(OR(EXACT(H99,'Data Base'!$B$21),EXACT(H99,'Data Base'!$B$22)),(1),(0))</f>
        <v>0</v>
      </c>
    </row>
    <row r="100" spans="1:83" ht="20.25" customHeight="1">
      <c r="A100" s="1416" t="s">
        <v>29</v>
      </c>
      <c r="B100" s="1417"/>
      <c r="C100" s="1417"/>
      <c r="D100" s="1418"/>
      <c r="E100" s="514" t="s">
        <v>1001</v>
      </c>
      <c r="F100" s="515"/>
      <c r="G100" s="516" t="s">
        <v>801</v>
      </c>
      <c r="H100" s="517"/>
      <c r="I100" s="516" t="s">
        <v>1002</v>
      </c>
      <c r="J100" s="518"/>
      <c r="K100" s="516" t="s">
        <v>1003</v>
      </c>
      <c r="L100" s="519"/>
      <c r="M100" s="516" t="s">
        <v>1004</v>
      </c>
      <c r="N100" s="520"/>
      <c r="O100" s="1266" t="s">
        <v>55</v>
      </c>
      <c r="P100" s="1419"/>
      <c r="Q100" s="1419"/>
      <c r="R100" s="1419"/>
      <c r="S100" s="1419"/>
      <c r="T100" s="1419"/>
      <c r="U100" s="1415"/>
      <c r="AN100" s="19">
        <f>IF(AND(AA99=1,EXACT(J100,"نفر اول")),(1),(0))</f>
        <v>0</v>
      </c>
      <c r="AO100" s="19">
        <f>IF(AN100=1,R99,0)</f>
        <v>0</v>
      </c>
      <c r="AP100" s="19">
        <f>IF(AND(AA99=1,EXACT(J100,"همكار")),(1),(0))</f>
        <v>0</v>
      </c>
      <c r="AQ100" s="19">
        <f>IF(AP100=1,R99,0)</f>
        <v>0</v>
      </c>
      <c r="AV100" s="19">
        <f>IF((AH99=1),R99,0)</f>
        <v>0</v>
      </c>
      <c r="AW100" s="19">
        <f>IF(AND(EXACT(AN100,"1"),EXACT(AH99,"1")),(1),(0))</f>
        <v>0</v>
      </c>
      <c r="AX100" s="19">
        <f>IF((AW100=1),AV100,0)</f>
        <v>0</v>
      </c>
      <c r="BB100" s="19">
        <f>IF((AI99=1),R99,0)</f>
        <v>0</v>
      </c>
      <c r="BC100" s="19">
        <f>IF(AND(EXACT(AI99,"1"),EXACT(AN100,"1")),(1),(0))</f>
        <v>0</v>
      </c>
      <c r="BD100" s="19">
        <f>IF((BC100=1),BB100,0)</f>
        <v>0</v>
      </c>
      <c r="BH100" s="19">
        <f>IF((AJ99=1),R99,0)</f>
        <v>0</v>
      </c>
      <c r="BI100" s="19">
        <f>IF(AND(EXACT(AJ99,"1"),EXACT(AN100,"1")),(1),(0))</f>
        <v>0</v>
      </c>
      <c r="BJ100" s="19">
        <f>IF((BI100=1),BH100,0)</f>
        <v>0</v>
      </c>
      <c r="BN100" s="19">
        <f>IF((AK99=1),R99,0)</f>
        <v>0</v>
      </c>
      <c r="BO100" s="19">
        <f>IF(AND(EXACT(AK99,"1"),EXACT(AN100,"1")),(1),(0))</f>
        <v>0</v>
      </c>
      <c r="BP100" s="19">
        <f>IF((BO100=1),BN100,0)</f>
        <v>0</v>
      </c>
      <c r="BT100" s="19">
        <f>IF((AL99=1),R99,0)</f>
        <v>0</v>
      </c>
      <c r="BU100" s="19">
        <f>IF(AND(EXACT(AN100,"1"),EXACT(AL99,"1")),(1),(0))</f>
        <v>0</v>
      </c>
      <c r="BV100" s="19">
        <f>IF((BU100=1),BT100,0)</f>
        <v>0</v>
      </c>
      <c r="BZ100" s="19">
        <f>IF((AM99=1),R99,0)</f>
        <v>0</v>
      </c>
      <c r="CA100" s="19">
        <f>IF(AND(EXACT(AM99,"1"),EXACT(AN100,"1")),(1),(0))</f>
        <v>0</v>
      </c>
      <c r="CB100" s="19">
        <f>IF((CA100=1),BZ100,0)</f>
        <v>0</v>
      </c>
    </row>
    <row r="101" spans="1:83" ht="20.25">
      <c r="A101" s="1420" t="s">
        <v>30</v>
      </c>
      <c r="B101" s="1421"/>
      <c r="C101" s="1421"/>
      <c r="D101" s="1422"/>
      <c r="E101" s="536" t="s">
        <v>1001</v>
      </c>
      <c r="F101" s="537"/>
      <c r="G101" s="538" t="s">
        <v>801</v>
      </c>
      <c r="H101" s="539"/>
      <c r="I101" s="538" t="s">
        <v>1002</v>
      </c>
      <c r="J101" s="525"/>
      <c r="K101" s="538" t="s">
        <v>1003</v>
      </c>
      <c r="L101" s="540"/>
      <c r="M101" s="538" t="s">
        <v>1004</v>
      </c>
      <c r="N101" s="541"/>
      <c r="O101" s="1266"/>
      <c r="P101" s="1423"/>
      <c r="Q101" s="1423"/>
      <c r="R101" s="1423"/>
      <c r="S101" s="1423"/>
      <c r="T101" s="1423"/>
      <c r="U101" s="1415"/>
      <c r="AR101" s="19">
        <f>IF(AND(AA99=1,EXACT(J101,"نفر اول")),(1),(0))</f>
        <v>0</v>
      </c>
      <c r="AS101" s="19">
        <f>IF(AR101=1,S99,0)</f>
        <v>0</v>
      </c>
      <c r="AT101" s="19">
        <f>IF(AND(AA99=1,EXACT(J101,"همكار")),(1),(0))</f>
        <v>0</v>
      </c>
      <c r="AU101" s="19">
        <f>IF(AT101=1,S99,0)</f>
        <v>0</v>
      </c>
      <c r="AY101" s="19">
        <f>IF((AH99=1),S99,0)</f>
        <v>0</v>
      </c>
      <c r="AZ101" s="19">
        <f>IF(AND(EXACT(AR101,"1"),EXACT(AH99,"1")),(1),(0))</f>
        <v>0</v>
      </c>
      <c r="BA101" s="19">
        <f>IF((AZ101=1),AY101,0)</f>
        <v>0</v>
      </c>
      <c r="BE101" s="19">
        <f>IF((AI99=1),S99,0)</f>
        <v>0</v>
      </c>
      <c r="BF101" s="19">
        <f>IF(AND(EXACT(AI99,"1"),EXACT(AR101,"1")),(1),(0))</f>
        <v>0</v>
      </c>
      <c r="BG101" s="19">
        <f>IF((BF101=1),BE101,0)</f>
        <v>0</v>
      </c>
      <c r="BK101" s="19">
        <f>IF((AJ99=1),S99,0)</f>
        <v>0</v>
      </c>
      <c r="BL101" s="19">
        <f>IF(AND(EXACT(AJ99,"1"),EXACT(AR101,"1")),(1),(0))</f>
        <v>0</v>
      </c>
      <c r="BM101" s="19">
        <f>IF((BL101=1),BK101,0)</f>
        <v>0</v>
      </c>
      <c r="BQ101" s="19">
        <f>IF((AJ99=1),S99,0)</f>
        <v>0</v>
      </c>
      <c r="BR101" s="19">
        <f>IF(AND(EXACT(AJ99,"1"),EXACT(AR101,"1")),(1),(0))</f>
        <v>0</v>
      </c>
      <c r="BS101" s="19">
        <f>IF((BL101=1),BK101,0)</f>
        <v>0</v>
      </c>
      <c r="BW101" s="19">
        <f>IF((AL99=1),S99,0)</f>
        <v>0</v>
      </c>
      <c r="BX101" s="19">
        <f>IF(AND(EXACT(AL99,"1"),EXACT(AR101,"1")),(1),(0))</f>
        <v>0</v>
      </c>
      <c r="BY101" s="19">
        <f>IF((BX101=1),BW101,0)</f>
        <v>0</v>
      </c>
      <c r="CC101" s="19">
        <f>IF((AM99=1),R99,0)</f>
        <v>0</v>
      </c>
      <c r="CD101" s="19">
        <f>IF(AND(EXACT(AM99,"1"),EXACT(AR101,"1")),(1),(0))</f>
        <v>0</v>
      </c>
      <c r="CE101" s="19">
        <f>IF((CD101=1),CC101,0)</f>
        <v>0</v>
      </c>
    </row>
    <row r="102" spans="1:83" ht="20.25">
      <c r="A102" s="12">
        <f>IF(AA102=0,0,IF(AA99=0,Z102,SUM(A99,AA102)))</f>
        <v>0</v>
      </c>
      <c r="B102" s="1157"/>
      <c r="C102" s="1157"/>
      <c r="D102" s="1157"/>
      <c r="E102" s="1182"/>
      <c r="F102" s="1424"/>
      <c r="G102" s="1424"/>
      <c r="H102" s="527"/>
      <c r="I102" s="528"/>
      <c r="J102" s="529"/>
      <c r="K102" s="530"/>
      <c r="L102" s="531"/>
      <c r="M102" s="532"/>
      <c r="N102" s="533"/>
      <c r="O102" s="532"/>
      <c r="P102" s="1182"/>
      <c r="Q102" s="1182"/>
      <c r="R102" s="534">
        <f t="shared" ref="R102" ca="1" si="116">IF(OR(EXACT(H102,""),EXACT(B102,""),EXACT(F103,""),EXACT(H103,""),EXACT(J103,""),EXACT(L103,""),EXACT(N103,""),EXACT(F102,""),EXACT(J102,""),EXACT(M102,""),EXACT(N102,""),EXACT(O102,""),EXACT(P102,"")),0,IF(OR(EXACT(P103,"مقاله پر استناد"),EXACT(P103,"مقاله داغ"),EXACT(P103,"مستخرج از برنامه تحقيقاتي ملي معطوف به رفع مشكلات كشور")),(1.5*(F103*N103*(IF(EXACT(J103,"نفر اول"),INDIRECT(CONCATENATE("'Data Base'!$d",H103)),INDIRECT(CONCATENATE("'Data Base'!$e",H103))))*((100-L103)/100))),IF(EXACT(P103,"Short Article"),(0.5*(F103*N103*(IF(EXACT(J103,"نفر اول"),INDIRECT(CONCATENATE("'Data Base'!$D",H103)),INDIRECT(CONCATENATE("'Data Base'!$E",H103))))*((100-L103)/100))),IF(EXACT(P103,"چاپ شده در نشريات بسيار پر استناد Nature و Science"),(2*(F103*N103*(IF(EXACT(J103,"نفر اول"),INDIRECT(CONCATENATE("'Data Base'!$D",H103)),INDIRECT(CONCATENATE("'Data Base'!$E",H103))))*((100-L103)/100))),IF(OR(EXACT(P103,"مستخرج از طرح پژوهشي محرمانه"),EXACT(P103,"مشترك با اساتيد دانشگاه خارج از كشور")),(1.2*(F103*N103*(IF(EXACT(J103,"نفر اول"),INDIRECT(CONCATENATE("'Data Base'!$D",H103)),INDIRECT(CONCATENATE("'Data Base'!$E",H103))))*((100-L103)/100))),(F103*N103*(IF(EXACT(J103,"نفر اول"),INDIRECT(CONCATENATE("'Data Base'!$d",H103)),INDIRECT(CONCATENATE("'Data Base'!$e",H103))))*((100-L103)/100)))))))</f>
        <v>0</v>
      </c>
      <c r="S102" s="535">
        <f t="shared" ref="S102" ca="1" si="117">IF(OR(EXACT(H102,""),EXACT(B102,""),EXACT(F104,""),EXACT(H104,""),EXACT(J104,""),EXACT(L104,""),EXACT(N104,""),EXACT(F102,""),EXACT(J102,""),EXACT(M102,""),EXACT(N102,""),EXACT(O102,""),EXACT(P102,"")),0,IF(OR(EXACT(P104,"مقاله پر استناد"),EXACT(P104,"مقاله داغ"),EXACT(P104,"مستخرج از برنامه تحقيقاتي ملي معطوف به رفع مشكلات كشور")),(1.5*(F104*N104*(IF(EXACT(J104,"نفر اول"),INDIRECT(CONCATENATE("'Data Base'!$d",H104)),INDIRECT(CONCATENATE("'Data Base'!$E",H104))))*((100-L104)/100))),IF(EXACT(P104,"Short Article"),(0.5*(F104*N104*(IF(EXACT(J104,"نفر اول"),INDIRECT(CONCATENATE("'Data Base'!$D",H104)),INDIRECT(CONCATENATE("'Data Base'!$E",H104))))*((100-L104)/100))),IF(EXACT(P104,"چاپ شده در نشريات بسيار پر استناد Nature و Science"),(2*(F104*N104*(IF(EXACT(J104,"نفر اول"),INDIRECT(CONCATENATE("'Data Base'!$D",H104)),INDIRECT(CONCATENATE("'Data Base'!$E",H104))))*((100-L104)/100))),IF(OR(EXACT(P104,"مستخرج از طرح پژوهشي محرمانه"),EXACT(P104,"مشترك با اساتيد دانشگاه خارج از كشور")),(1.2*(F104*N104*(IF(EXACT(J104,"نفر اول"),INDIRECT(CONCATENATE("'Data Base'!$D",H104)),INDIRECT(CONCATENATE("'Data Base'!$E",H104))))*((100-L104)/100))),(F104*N104*(IF(EXACT(J104,"نفر اول"),INDIRECT(CONCATENATE("'Data Base'!$D",H104)),INDIRECT(CONCATENATE("'Data Base'!$E",H104))))*((100-L104)/100)))))))</f>
        <v>0</v>
      </c>
      <c r="T102" s="147"/>
      <c r="U102" s="1414"/>
      <c r="Z102" s="19">
        <f>SUM(Z99,AA102)</f>
        <v>0</v>
      </c>
      <c r="AA102" s="19">
        <f>IF(OR(OR(B102="",F102="",H102="",J102="",P102=""),AND(M102="",O102="")),0,1)</f>
        <v>0</v>
      </c>
      <c r="AB102" s="19">
        <f t="shared" ref="AB102" ca="1" si="118">IF(AND(AA102=1,S102&gt;0),1,0)</f>
        <v>0</v>
      </c>
      <c r="AC102" s="19">
        <f t="shared" ref="AC102" ca="1" si="119">IF(AND(AA102=1,S102&lt;1),1,0)</f>
        <v>0</v>
      </c>
      <c r="AD102" s="19">
        <f ca="1">IF(AND(AA102=1,S102&gt;=1,AJ102=1),1,0)</f>
        <v>0</v>
      </c>
      <c r="AE102" s="19">
        <f ca="1">IF(AD102=1,S102,0)</f>
        <v>0</v>
      </c>
      <c r="AF102" s="19">
        <f ca="1">IF(AND(AA102=1,S102&gt;=1,AJ102=1,AR104=1),1,0)</f>
        <v>0</v>
      </c>
      <c r="AG102" s="19">
        <f ca="1">IF(AF102=1,S102,0)</f>
        <v>0</v>
      </c>
      <c r="AH102" s="19">
        <f>IF(OR(EXACT(H102,"JCR-Q1"),EXACT(H102,"JCR-Q2")),(1),(0))</f>
        <v>0</v>
      </c>
      <c r="AI102" s="19">
        <f>IF(OR(EXACT(H102,"JCR-Q1"),EXACT(H102,"JCR-Q2"),EXACT(H102,"JCR-Q3")),(1),(0))</f>
        <v>0</v>
      </c>
      <c r="AJ102" s="19">
        <f>IF(OR(EXACT(H102,"JCR-Q1"),EXACT(H102,"JCR-Q2"),EXACT(H102,"JCR-Q3"),EXACT(H102,"JCR-Q4")),(1),(0))</f>
        <v>0</v>
      </c>
      <c r="AK102" s="19">
        <f>IF(OR(EXACT(H102,"JCR-Q1"),EXACT(H102,"JCR-Q2"),EXACT(H102,"JCR-Q3"),EXACT(H102,"JCR-Q4"),EXACT(H102,"WOS")),(1),(0))</f>
        <v>0</v>
      </c>
      <c r="AL102" s="19">
        <f>IF(OR(EXACT(H102,"JCR-Q1"),EXACT(H102,"JCR-Q2"),EXACT(H102,"JCR-Q3"),EXACT(H102,"JCR-Q4"),EXACT(H102,"WOS"),EXACT(H102,"Scopus")),(1),(0))</f>
        <v>0</v>
      </c>
      <c r="AM102" s="19">
        <f>IF(OR(EXACT(H102,'Data Base'!$B$21),EXACT(H102,'Data Base'!$B$22)),(1),(0))</f>
        <v>0</v>
      </c>
    </row>
    <row r="103" spans="1:83" ht="20.25" customHeight="1">
      <c r="A103" s="1416" t="s">
        <v>29</v>
      </c>
      <c r="B103" s="1417"/>
      <c r="C103" s="1417"/>
      <c r="D103" s="1418"/>
      <c r="E103" s="514" t="s">
        <v>1001</v>
      </c>
      <c r="F103" s="515"/>
      <c r="G103" s="516" t="s">
        <v>801</v>
      </c>
      <c r="H103" s="517"/>
      <c r="I103" s="516" t="s">
        <v>1002</v>
      </c>
      <c r="J103" s="518"/>
      <c r="K103" s="516" t="s">
        <v>1003</v>
      </c>
      <c r="L103" s="519"/>
      <c r="M103" s="516" t="s">
        <v>1004</v>
      </c>
      <c r="N103" s="520"/>
      <c r="O103" s="1266" t="s">
        <v>55</v>
      </c>
      <c r="P103" s="1419"/>
      <c r="Q103" s="1419"/>
      <c r="R103" s="1419"/>
      <c r="S103" s="1419"/>
      <c r="T103" s="1419"/>
      <c r="U103" s="1415"/>
      <c r="AN103" s="19">
        <f>IF(AND(AA102=1,EXACT(J103,"نفر اول")),(1),(0))</f>
        <v>0</v>
      </c>
      <c r="AO103" s="19">
        <f>IF(AN103=1,R102,0)</f>
        <v>0</v>
      </c>
      <c r="AP103" s="19">
        <f>IF(AND(AA102=1,EXACT(J103,"همكار")),(1),(0))</f>
        <v>0</v>
      </c>
      <c r="AQ103" s="19">
        <f>IF(AP103=1,R102,0)</f>
        <v>0</v>
      </c>
      <c r="AV103" s="19">
        <f>IF((AH102=1),R102,0)</f>
        <v>0</v>
      </c>
      <c r="AW103" s="19">
        <f>IF(AND(EXACT(AN103,"1"),EXACT(AH102,"1")),(1),(0))</f>
        <v>0</v>
      </c>
      <c r="AX103" s="19">
        <f>IF((AW103=1),AV103,0)</f>
        <v>0</v>
      </c>
      <c r="BB103" s="19">
        <f>IF((AI102=1),R102,0)</f>
        <v>0</v>
      </c>
      <c r="BC103" s="19">
        <f>IF(AND(EXACT(AI102,"1"),EXACT(AN103,"1")),(1),(0))</f>
        <v>0</v>
      </c>
      <c r="BD103" s="19">
        <f>IF((BC103=1),BB103,0)</f>
        <v>0</v>
      </c>
      <c r="BH103" s="19">
        <f>IF((AJ102=1),R102,0)</f>
        <v>0</v>
      </c>
      <c r="BI103" s="19">
        <f>IF(AND(EXACT(AJ102,"1"),EXACT(AN103,"1")),(1),(0))</f>
        <v>0</v>
      </c>
      <c r="BJ103" s="19">
        <f>IF((BI103=1),BH103,0)</f>
        <v>0</v>
      </c>
      <c r="BN103" s="19">
        <f>IF((AK102=1),R102,0)</f>
        <v>0</v>
      </c>
      <c r="BO103" s="19">
        <f>IF(AND(EXACT(AK102,"1"),EXACT(AN103,"1")),(1),(0))</f>
        <v>0</v>
      </c>
      <c r="BP103" s="19">
        <f>IF((BO103=1),BN103,0)</f>
        <v>0</v>
      </c>
      <c r="BT103" s="19">
        <f>IF((AL102=1),R102,0)</f>
        <v>0</v>
      </c>
      <c r="BU103" s="19">
        <f>IF(AND(EXACT(AN103,"1"),EXACT(AL102,"1")),(1),(0))</f>
        <v>0</v>
      </c>
      <c r="BV103" s="19">
        <f>IF((BU103=1),BT103,0)</f>
        <v>0</v>
      </c>
      <c r="BZ103" s="19">
        <f>IF((AM102=1),R102,0)</f>
        <v>0</v>
      </c>
      <c r="CA103" s="19">
        <f>IF(AND(EXACT(AM102,"1"),EXACT(AN103,"1")),(1),(0))</f>
        <v>0</v>
      </c>
      <c r="CB103" s="19">
        <f>IF((CA103=1),BZ103,0)</f>
        <v>0</v>
      </c>
    </row>
    <row r="104" spans="1:83" ht="20.25">
      <c r="A104" s="1420" t="s">
        <v>30</v>
      </c>
      <c r="B104" s="1421"/>
      <c r="C104" s="1421"/>
      <c r="D104" s="1422"/>
      <c r="E104" s="536" t="s">
        <v>1001</v>
      </c>
      <c r="F104" s="537"/>
      <c r="G104" s="538" t="s">
        <v>801</v>
      </c>
      <c r="H104" s="539"/>
      <c r="I104" s="538" t="s">
        <v>1002</v>
      </c>
      <c r="J104" s="525"/>
      <c r="K104" s="538" t="s">
        <v>1003</v>
      </c>
      <c r="L104" s="540"/>
      <c r="M104" s="538" t="s">
        <v>1004</v>
      </c>
      <c r="N104" s="541"/>
      <c r="O104" s="1266"/>
      <c r="P104" s="1423"/>
      <c r="Q104" s="1423"/>
      <c r="R104" s="1423"/>
      <c r="S104" s="1423"/>
      <c r="T104" s="1423"/>
      <c r="U104" s="1415"/>
      <c r="AR104" s="19">
        <f>IF(AND(AA102=1,EXACT(J104,"نفر اول")),(1),(0))</f>
        <v>0</v>
      </c>
      <c r="AS104" s="19">
        <f>IF(AR104=1,S102,0)</f>
        <v>0</v>
      </c>
      <c r="AT104" s="19">
        <f>IF(AND(AA102=1,EXACT(J104,"همكار")),(1),(0))</f>
        <v>0</v>
      </c>
      <c r="AU104" s="19">
        <f>IF(AT104=1,S102,0)</f>
        <v>0</v>
      </c>
      <c r="AY104" s="19">
        <f>IF((AH102=1),S102,0)</f>
        <v>0</v>
      </c>
      <c r="AZ104" s="19">
        <f>IF(AND(EXACT(AR104,"1"),EXACT(AH102,"1")),(1),(0))</f>
        <v>0</v>
      </c>
      <c r="BA104" s="19">
        <f>IF((AZ104=1),AY104,0)</f>
        <v>0</v>
      </c>
      <c r="BE104" s="19">
        <f>IF((AI102=1),S102,0)</f>
        <v>0</v>
      </c>
      <c r="BF104" s="19">
        <f>IF(AND(EXACT(AI102,"1"),EXACT(AR104,"1")),(1),(0))</f>
        <v>0</v>
      </c>
      <c r="BG104" s="19">
        <f>IF((BF104=1),BE104,0)</f>
        <v>0</v>
      </c>
      <c r="BK104" s="19">
        <f>IF((AJ102=1),S102,0)</f>
        <v>0</v>
      </c>
      <c r="BL104" s="19">
        <f>IF(AND(EXACT(AJ102,"1"),EXACT(AR104,"1")),(1),(0))</f>
        <v>0</v>
      </c>
      <c r="BM104" s="19">
        <f>IF((BL104=1),BK104,0)</f>
        <v>0</v>
      </c>
      <c r="BQ104" s="19">
        <f>IF((AJ102=1),S102,0)</f>
        <v>0</v>
      </c>
      <c r="BR104" s="19">
        <f>IF(AND(EXACT(AJ102,"1"),EXACT(AR104,"1")),(1),(0))</f>
        <v>0</v>
      </c>
      <c r="BS104" s="19">
        <f>IF((BL104=1),BK104,0)</f>
        <v>0</v>
      </c>
      <c r="BW104" s="19">
        <f>IF((AL102=1),S102,0)</f>
        <v>0</v>
      </c>
      <c r="BX104" s="19">
        <f>IF(AND(EXACT(AL102,"1"),EXACT(AR104,"1")),(1),(0))</f>
        <v>0</v>
      </c>
      <c r="BY104" s="19">
        <f>IF((BX104=1),BW104,0)</f>
        <v>0</v>
      </c>
      <c r="CC104" s="19">
        <f>IF((AM102=1),R102,0)</f>
        <v>0</v>
      </c>
      <c r="CD104" s="19">
        <f>IF(AND(EXACT(AM102,"1"),EXACT(AR104,"1")),(1),(0))</f>
        <v>0</v>
      </c>
      <c r="CE104" s="19">
        <f>IF((CD104=1),CC104,0)</f>
        <v>0</v>
      </c>
    </row>
    <row r="105" spans="1:83" ht="20.25">
      <c r="A105" s="12">
        <f>IF(AA105=0,0,IF(AA102=0,Z105,SUM(A102,AA105)))</f>
        <v>0</v>
      </c>
      <c r="B105" s="1157"/>
      <c r="C105" s="1157"/>
      <c r="D105" s="1157"/>
      <c r="E105" s="1182"/>
      <c r="F105" s="1424"/>
      <c r="G105" s="1424"/>
      <c r="H105" s="527"/>
      <c r="I105" s="528"/>
      <c r="J105" s="529"/>
      <c r="K105" s="530"/>
      <c r="L105" s="531"/>
      <c r="M105" s="532"/>
      <c r="N105" s="533"/>
      <c r="O105" s="532"/>
      <c r="P105" s="1182"/>
      <c r="Q105" s="1182"/>
      <c r="R105" s="534">
        <f t="shared" ref="R105" ca="1" si="120">IF(OR(EXACT(H105,""),EXACT(B105,""),EXACT(F106,""),EXACT(H106,""),EXACT(J106,""),EXACT(L106,""),EXACT(N106,""),EXACT(F105,""),EXACT(J105,""),EXACT(M105,""),EXACT(N105,""),EXACT(O105,""),EXACT(P105,"")),0,IF(OR(EXACT(P106,"مقاله پر استناد"),EXACT(P106,"مقاله داغ"),EXACT(P106,"مستخرج از برنامه تحقيقاتي ملي معطوف به رفع مشكلات كشور")),(1.5*(F106*N106*(IF(EXACT(J106,"نفر اول"),INDIRECT(CONCATENATE("'Data Base'!$d",H106)),INDIRECT(CONCATENATE("'Data Base'!$e",H106))))*((100-L106)/100))),IF(EXACT(P106,"Short Article"),(0.5*(F106*N106*(IF(EXACT(J106,"نفر اول"),INDIRECT(CONCATENATE("'Data Base'!$D",H106)),INDIRECT(CONCATENATE("'Data Base'!$E",H106))))*((100-L106)/100))),IF(EXACT(P106,"چاپ شده در نشريات بسيار پر استناد Nature و Science"),(2*(F106*N106*(IF(EXACT(J106,"نفر اول"),INDIRECT(CONCATENATE("'Data Base'!$D",H106)),INDIRECT(CONCATENATE("'Data Base'!$E",H106))))*((100-L106)/100))),IF(OR(EXACT(P106,"مستخرج از طرح پژوهشي محرمانه"),EXACT(P106,"مشترك با اساتيد دانشگاه خارج از كشور")),(1.2*(F106*N106*(IF(EXACT(J106,"نفر اول"),INDIRECT(CONCATENATE("'Data Base'!$D",H106)),INDIRECT(CONCATENATE("'Data Base'!$E",H106))))*((100-L106)/100))),(F106*N106*(IF(EXACT(J106,"نفر اول"),INDIRECT(CONCATENATE("'Data Base'!$d",H106)),INDIRECT(CONCATENATE("'Data Base'!$e",H106))))*((100-L106)/100)))))))</f>
        <v>0</v>
      </c>
      <c r="S105" s="535">
        <f t="shared" ref="S105" ca="1" si="121">IF(OR(EXACT(H105,""),EXACT(B105,""),EXACT(F107,""),EXACT(H107,""),EXACT(J107,""),EXACT(L107,""),EXACT(N107,""),EXACT(F105,""),EXACT(J105,""),EXACT(M105,""),EXACT(N105,""),EXACT(O105,""),EXACT(P105,"")),0,IF(OR(EXACT(P107,"مقاله پر استناد"),EXACT(P107,"مقاله داغ"),EXACT(P107,"مستخرج از برنامه تحقيقاتي ملي معطوف به رفع مشكلات كشور")),(1.5*(F107*N107*(IF(EXACT(J107,"نفر اول"),INDIRECT(CONCATENATE("'Data Base'!$d",H107)),INDIRECT(CONCATENATE("'Data Base'!$E",H107))))*((100-L107)/100))),IF(EXACT(P107,"Short Article"),(0.5*(F107*N107*(IF(EXACT(J107,"نفر اول"),INDIRECT(CONCATENATE("'Data Base'!$D",H107)),INDIRECT(CONCATENATE("'Data Base'!$E",H107))))*((100-L107)/100))),IF(EXACT(P107,"چاپ شده در نشريات بسيار پر استناد Nature و Science"),(2*(F107*N107*(IF(EXACT(J107,"نفر اول"),INDIRECT(CONCATENATE("'Data Base'!$D",H107)),INDIRECT(CONCATENATE("'Data Base'!$E",H107))))*((100-L107)/100))),IF(OR(EXACT(P107,"مستخرج از طرح پژوهشي محرمانه"),EXACT(P107,"مشترك با اساتيد دانشگاه خارج از كشور")),(1.2*(F107*N107*(IF(EXACT(J107,"نفر اول"),INDIRECT(CONCATENATE("'Data Base'!$D",H107)),INDIRECT(CONCATENATE("'Data Base'!$E",H107))))*((100-L107)/100))),(F107*N107*(IF(EXACT(J107,"نفر اول"),INDIRECT(CONCATENATE("'Data Base'!$D",H107)),INDIRECT(CONCATENATE("'Data Base'!$E",H107))))*((100-L107)/100)))))))</f>
        <v>0</v>
      </c>
      <c r="T105" s="147"/>
      <c r="U105" s="1414"/>
      <c r="Z105" s="19">
        <f>SUM(Z102,AA105)</f>
        <v>0</v>
      </c>
      <c r="AA105" s="19">
        <f>IF(OR(OR(B105="",F105="",H105="",J105="",P105=""),AND(M105="",O105="")),0,1)</f>
        <v>0</v>
      </c>
      <c r="AB105" s="19">
        <f t="shared" ref="AB105" ca="1" si="122">IF(AND(AA105=1,S105&gt;0),1,0)</f>
        <v>0</v>
      </c>
      <c r="AC105" s="19">
        <f t="shared" ref="AC105" ca="1" si="123">IF(AND(AA105=1,S105&lt;1),1,0)</f>
        <v>0</v>
      </c>
      <c r="AD105" s="19">
        <f ca="1">IF(AND(AA105=1,S105&gt;=1,AJ105=1),1,0)</f>
        <v>0</v>
      </c>
      <c r="AE105" s="19">
        <f ca="1">IF(AD105=1,S105,0)</f>
        <v>0</v>
      </c>
      <c r="AF105" s="19">
        <f ca="1">IF(AND(AA105=1,S105&gt;=1,AJ105=1,AR107=1),1,0)</f>
        <v>0</v>
      </c>
      <c r="AG105" s="19">
        <f ca="1">IF(AF105=1,S105,0)</f>
        <v>0</v>
      </c>
      <c r="AH105" s="19">
        <f>IF(OR(EXACT(H105,"JCR-Q1"),EXACT(H105,"JCR-Q2")),(1),(0))</f>
        <v>0</v>
      </c>
      <c r="AI105" s="19">
        <f>IF(OR(EXACT(H105,"JCR-Q1"),EXACT(H105,"JCR-Q2"),EXACT(H105,"JCR-Q3")),(1),(0))</f>
        <v>0</v>
      </c>
      <c r="AJ105" s="19">
        <f>IF(OR(EXACT(H105,"JCR-Q1"),EXACT(H105,"JCR-Q2"),EXACT(H105,"JCR-Q3"),EXACT(H105,"JCR-Q4")),(1),(0))</f>
        <v>0</v>
      </c>
      <c r="AK105" s="19">
        <f>IF(OR(EXACT(H105,"JCR-Q1"),EXACT(H105,"JCR-Q2"),EXACT(H105,"JCR-Q3"),EXACT(H105,"JCR-Q4"),EXACT(H105,"WOS")),(1),(0))</f>
        <v>0</v>
      </c>
      <c r="AL105" s="19">
        <f>IF(OR(EXACT(H105,"JCR-Q1"),EXACT(H105,"JCR-Q2"),EXACT(H105,"JCR-Q3"),EXACT(H105,"JCR-Q4"),EXACT(H105,"WOS"),EXACT(H105,"Scopus")),(1),(0))</f>
        <v>0</v>
      </c>
      <c r="AM105" s="19">
        <f>IF(OR(EXACT(H105,'Data Base'!$B$21),EXACT(H105,'Data Base'!$B$22)),(1),(0))</f>
        <v>0</v>
      </c>
    </row>
    <row r="106" spans="1:83" ht="20.25" customHeight="1">
      <c r="A106" s="1416" t="s">
        <v>29</v>
      </c>
      <c r="B106" s="1417"/>
      <c r="C106" s="1417"/>
      <c r="D106" s="1418"/>
      <c r="E106" s="514" t="s">
        <v>1001</v>
      </c>
      <c r="F106" s="515"/>
      <c r="G106" s="516" t="s">
        <v>801</v>
      </c>
      <c r="H106" s="517"/>
      <c r="I106" s="516" t="s">
        <v>1002</v>
      </c>
      <c r="J106" s="518"/>
      <c r="K106" s="516" t="s">
        <v>1003</v>
      </c>
      <c r="L106" s="519"/>
      <c r="M106" s="516" t="s">
        <v>1004</v>
      </c>
      <c r="N106" s="520"/>
      <c r="O106" s="1266" t="s">
        <v>55</v>
      </c>
      <c r="P106" s="1419"/>
      <c r="Q106" s="1419"/>
      <c r="R106" s="1419"/>
      <c r="S106" s="1419"/>
      <c r="T106" s="1419"/>
      <c r="U106" s="1415"/>
      <c r="AN106" s="19">
        <f>IF(AND(AA105=1,EXACT(J106,"نفر اول")),(1),(0))</f>
        <v>0</v>
      </c>
      <c r="AO106" s="19">
        <f>IF(AN106=1,R105,0)</f>
        <v>0</v>
      </c>
      <c r="AP106" s="19">
        <f>IF(AND(AA105=1,EXACT(J106,"همكار")),(1),(0))</f>
        <v>0</v>
      </c>
      <c r="AQ106" s="19">
        <f>IF(AP106=1,R105,0)</f>
        <v>0</v>
      </c>
      <c r="AV106" s="19">
        <f>IF((AH105=1),R105,0)</f>
        <v>0</v>
      </c>
      <c r="AW106" s="19">
        <f>IF(AND(EXACT(AN106,"1"),EXACT(AH105,"1")),(1),(0))</f>
        <v>0</v>
      </c>
      <c r="AX106" s="19">
        <f>IF((AW106=1),AV106,0)</f>
        <v>0</v>
      </c>
      <c r="BB106" s="19">
        <f>IF((AI105=1),R105,0)</f>
        <v>0</v>
      </c>
      <c r="BC106" s="19">
        <f>IF(AND(EXACT(AI105,"1"),EXACT(AN106,"1")),(1),(0))</f>
        <v>0</v>
      </c>
      <c r="BD106" s="19">
        <f>IF((BC106=1),BB106,0)</f>
        <v>0</v>
      </c>
      <c r="BH106" s="19">
        <f>IF((AJ105=1),R105,0)</f>
        <v>0</v>
      </c>
      <c r="BI106" s="19">
        <f>IF(AND(EXACT(AJ105,"1"),EXACT(AN106,"1")),(1),(0))</f>
        <v>0</v>
      </c>
      <c r="BJ106" s="19">
        <f>IF((BI106=1),BH106,0)</f>
        <v>0</v>
      </c>
      <c r="BN106" s="19">
        <f>IF((AK105=1),R105,0)</f>
        <v>0</v>
      </c>
      <c r="BO106" s="19">
        <f>IF(AND(EXACT(AK105,"1"),EXACT(AN106,"1")),(1),(0))</f>
        <v>0</v>
      </c>
      <c r="BP106" s="19">
        <f>IF((BO106=1),BN106,0)</f>
        <v>0</v>
      </c>
      <c r="BT106" s="19">
        <f>IF((AL105=1),R105,0)</f>
        <v>0</v>
      </c>
      <c r="BU106" s="19">
        <f>IF(AND(EXACT(AN106,"1"),EXACT(AL105,"1")),(1),(0))</f>
        <v>0</v>
      </c>
      <c r="BV106" s="19">
        <f>IF((BU106=1),BT106,0)</f>
        <v>0</v>
      </c>
      <c r="BZ106" s="19">
        <f>IF((AM105=1),R105,0)</f>
        <v>0</v>
      </c>
      <c r="CA106" s="19">
        <f>IF(AND(EXACT(AM105,"1"),EXACT(AN106,"1")),(1),(0))</f>
        <v>0</v>
      </c>
      <c r="CB106" s="19">
        <f>IF((CA106=1),BZ106,0)</f>
        <v>0</v>
      </c>
    </row>
    <row r="107" spans="1:83" ht="20.25">
      <c r="A107" s="1420" t="s">
        <v>30</v>
      </c>
      <c r="B107" s="1421"/>
      <c r="C107" s="1421"/>
      <c r="D107" s="1422"/>
      <c r="E107" s="536" t="s">
        <v>1001</v>
      </c>
      <c r="F107" s="537"/>
      <c r="G107" s="538" t="s">
        <v>801</v>
      </c>
      <c r="H107" s="539"/>
      <c r="I107" s="538" t="s">
        <v>1002</v>
      </c>
      <c r="J107" s="525"/>
      <c r="K107" s="538" t="s">
        <v>1003</v>
      </c>
      <c r="L107" s="540"/>
      <c r="M107" s="538" t="s">
        <v>1004</v>
      </c>
      <c r="N107" s="541"/>
      <c r="O107" s="1266"/>
      <c r="P107" s="1423"/>
      <c r="Q107" s="1423"/>
      <c r="R107" s="1423"/>
      <c r="S107" s="1423"/>
      <c r="T107" s="1423"/>
      <c r="U107" s="1415"/>
      <c r="AR107" s="19">
        <f>IF(AND(AA105=1,EXACT(J107,"نفر اول")),(1),(0))</f>
        <v>0</v>
      </c>
      <c r="AS107" s="19">
        <f>IF(AR107=1,S105,0)</f>
        <v>0</v>
      </c>
      <c r="AT107" s="19">
        <f>IF(AND(AA105=1,EXACT(J107,"همكار")),(1),(0))</f>
        <v>0</v>
      </c>
      <c r="AU107" s="19">
        <f>IF(AT107=1,S105,0)</f>
        <v>0</v>
      </c>
      <c r="AY107" s="19">
        <f>IF((AH105=1),S105,0)</f>
        <v>0</v>
      </c>
      <c r="AZ107" s="19">
        <f>IF(AND(EXACT(AR107,"1"),EXACT(AH105,"1")),(1),(0))</f>
        <v>0</v>
      </c>
      <c r="BA107" s="19">
        <f>IF((AZ107=1),AY107,0)</f>
        <v>0</v>
      </c>
      <c r="BE107" s="19">
        <f>IF((AI105=1),S105,0)</f>
        <v>0</v>
      </c>
      <c r="BF107" s="19">
        <f>IF(AND(EXACT(AI105,"1"),EXACT(AR107,"1")),(1),(0))</f>
        <v>0</v>
      </c>
      <c r="BG107" s="19">
        <f>IF((BF107=1),BE107,0)</f>
        <v>0</v>
      </c>
      <c r="BK107" s="19">
        <f>IF((AJ105=1),S105,0)</f>
        <v>0</v>
      </c>
      <c r="BL107" s="19">
        <f>IF(AND(EXACT(AJ105,"1"),EXACT(AR107,"1")),(1),(0))</f>
        <v>0</v>
      </c>
      <c r="BM107" s="19">
        <f>IF((BL107=1),BK107,0)</f>
        <v>0</v>
      </c>
      <c r="BQ107" s="19">
        <f>IF((AJ105=1),S105,0)</f>
        <v>0</v>
      </c>
      <c r="BR107" s="19">
        <f>IF(AND(EXACT(AJ105,"1"),EXACT(AR107,"1")),(1),(0))</f>
        <v>0</v>
      </c>
      <c r="BS107" s="19">
        <f>IF((BL107=1),BK107,0)</f>
        <v>0</v>
      </c>
      <c r="BW107" s="19">
        <f>IF((AL105=1),S105,0)</f>
        <v>0</v>
      </c>
      <c r="BX107" s="19">
        <f>IF(AND(EXACT(AL105,"1"),EXACT(AR107,"1")),(1),(0))</f>
        <v>0</v>
      </c>
      <c r="BY107" s="19">
        <f>IF((BX107=1),BW107,0)</f>
        <v>0</v>
      </c>
      <c r="CC107" s="19">
        <f>IF((AM105=1),R105,0)</f>
        <v>0</v>
      </c>
      <c r="CD107" s="19">
        <f>IF(AND(EXACT(AM105,"1"),EXACT(AR107,"1")),(1),(0))</f>
        <v>0</v>
      </c>
      <c r="CE107" s="19">
        <f>IF((CD107=1),CC107,0)</f>
        <v>0</v>
      </c>
    </row>
    <row r="108" spans="1:83" ht="20.25">
      <c r="A108" s="12">
        <f>IF(AA108=0,0,IF(AA105=0,Z108,SUM(A105,AA108)))</f>
        <v>0</v>
      </c>
      <c r="B108" s="1157"/>
      <c r="C108" s="1157"/>
      <c r="D108" s="1157"/>
      <c r="E108" s="1182"/>
      <c r="F108" s="1424"/>
      <c r="G108" s="1424"/>
      <c r="H108" s="527"/>
      <c r="I108" s="528"/>
      <c r="J108" s="529"/>
      <c r="K108" s="530"/>
      <c r="L108" s="531"/>
      <c r="M108" s="532"/>
      <c r="N108" s="533"/>
      <c r="O108" s="532"/>
      <c r="P108" s="1182"/>
      <c r="Q108" s="1182"/>
      <c r="R108" s="534">
        <f t="shared" ref="R108" ca="1" si="124">IF(OR(EXACT(H108,""),EXACT(B108,""),EXACT(F109,""),EXACT(H109,""),EXACT(J109,""),EXACT(L109,""),EXACT(N109,""),EXACT(F108,""),EXACT(J108,""),EXACT(M108,""),EXACT(N108,""),EXACT(O108,""),EXACT(P108,"")),0,IF(OR(EXACT(P109,"مقاله پر استناد"),EXACT(P109,"مقاله داغ"),EXACT(P109,"مستخرج از برنامه تحقيقاتي ملي معطوف به رفع مشكلات كشور")),(1.5*(F109*N109*(IF(EXACT(J109,"نفر اول"),INDIRECT(CONCATENATE("'Data Base'!$d",H109)),INDIRECT(CONCATENATE("'Data Base'!$e",H109))))*((100-L109)/100))),IF(EXACT(P109,"Short Article"),(0.5*(F109*N109*(IF(EXACT(J109,"نفر اول"),INDIRECT(CONCATENATE("'Data Base'!$D",H109)),INDIRECT(CONCATENATE("'Data Base'!$E",H109))))*((100-L109)/100))),IF(EXACT(P109,"چاپ شده در نشريات بسيار پر استناد Nature و Science"),(2*(F109*N109*(IF(EXACT(J109,"نفر اول"),INDIRECT(CONCATENATE("'Data Base'!$D",H109)),INDIRECT(CONCATENATE("'Data Base'!$E",H109))))*((100-L109)/100))),IF(OR(EXACT(P109,"مستخرج از طرح پژوهشي محرمانه"),EXACT(P109,"مشترك با اساتيد دانشگاه خارج از كشور")),(1.2*(F109*N109*(IF(EXACT(J109,"نفر اول"),INDIRECT(CONCATENATE("'Data Base'!$D",H109)),INDIRECT(CONCATENATE("'Data Base'!$E",H109))))*((100-L109)/100))),(F109*N109*(IF(EXACT(J109,"نفر اول"),INDIRECT(CONCATENATE("'Data Base'!$d",H109)),INDIRECT(CONCATENATE("'Data Base'!$e",H109))))*((100-L109)/100)))))))</f>
        <v>0</v>
      </c>
      <c r="S108" s="535">
        <f t="shared" ref="S108" ca="1" si="125">IF(OR(EXACT(H108,""),EXACT(B108,""),EXACT(F110,""),EXACT(H110,""),EXACT(J110,""),EXACT(L110,""),EXACT(N110,""),EXACT(F108,""),EXACT(J108,""),EXACT(M108,""),EXACT(N108,""),EXACT(O108,""),EXACT(P108,"")),0,IF(OR(EXACT(P110,"مقاله پر استناد"),EXACT(P110,"مقاله داغ"),EXACT(P110,"مستخرج از برنامه تحقيقاتي ملي معطوف به رفع مشكلات كشور")),(1.5*(F110*N110*(IF(EXACT(J110,"نفر اول"),INDIRECT(CONCATENATE("'Data Base'!$d",H110)),INDIRECT(CONCATENATE("'Data Base'!$E",H110))))*((100-L110)/100))),IF(EXACT(P110,"Short Article"),(0.5*(F110*N110*(IF(EXACT(J110,"نفر اول"),INDIRECT(CONCATENATE("'Data Base'!$D",H110)),INDIRECT(CONCATENATE("'Data Base'!$E",H110))))*((100-L110)/100))),IF(EXACT(P110,"چاپ شده در نشريات بسيار پر استناد Nature و Science"),(2*(F110*N110*(IF(EXACT(J110,"نفر اول"),INDIRECT(CONCATENATE("'Data Base'!$D",H110)),INDIRECT(CONCATENATE("'Data Base'!$E",H110))))*((100-L110)/100))),IF(OR(EXACT(P110,"مستخرج از طرح پژوهشي محرمانه"),EXACT(P110,"مشترك با اساتيد دانشگاه خارج از كشور")),(1.2*(F110*N110*(IF(EXACT(J110,"نفر اول"),INDIRECT(CONCATENATE("'Data Base'!$D",H110)),INDIRECT(CONCATENATE("'Data Base'!$E",H110))))*((100-L110)/100))),(F110*N110*(IF(EXACT(J110,"نفر اول"),INDIRECT(CONCATENATE("'Data Base'!$D",H110)),INDIRECT(CONCATENATE("'Data Base'!$E",H110))))*((100-L110)/100)))))))</f>
        <v>0</v>
      </c>
      <c r="T108" s="147"/>
      <c r="U108" s="1414"/>
      <c r="Z108" s="19">
        <f>SUM(Z105,AA108)</f>
        <v>0</v>
      </c>
      <c r="AA108" s="19">
        <f>IF(OR(OR(B108="",F108="",H108="",J108="",P108=""),AND(M108="",O108="")),0,1)</f>
        <v>0</v>
      </c>
      <c r="AB108" s="19">
        <f t="shared" ref="AB108" ca="1" si="126">IF(AND(AA108=1,S108&gt;0),1,0)</f>
        <v>0</v>
      </c>
      <c r="AC108" s="19">
        <f t="shared" ref="AC108" ca="1" si="127">IF(AND(AA108=1,S108&lt;1),1,0)</f>
        <v>0</v>
      </c>
      <c r="AD108" s="19">
        <f ca="1">IF(AND(AA108=1,S108&gt;=1,AJ108=1),1,0)</f>
        <v>0</v>
      </c>
      <c r="AE108" s="19">
        <f ca="1">IF(AD108=1,S108,0)</f>
        <v>0</v>
      </c>
      <c r="AF108" s="19">
        <f ca="1">IF(AND(AA108=1,S108&gt;=1,AJ108=1,AR110=1),1,0)</f>
        <v>0</v>
      </c>
      <c r="AG108" s="19">
        <f ca="1">IF(AF108=1,S108,0)</f>
        <v>0</v>
      </c>
      <c r="AH108" s="19">
        <f>IF(OR(EXACT(H108,"JCR-Q1"),EXACT(H108,"JCR-Q2")),(1),(0))</f>
        <v>0</v>
      </c>
      <c r="AI108" s="19">
        <f>IF(OR(EXACT(H108,"JCR-Q1"),EXACT(H108,"JCR-Q2"),EXACT(H108,"JCR-Q3")),(1),(0))</f>
        <v>0</v>
      </c>
      <c r="AJ108" s="19">
        <f>IF(OR(EXACT(H108,"JCR-Q1"),EXACT(H108,"JCR-Q2"),EXACT(H108,"JCR-Q3"),EXACT(H108,"JCR-Q4")),(1),(0))</f>
        <v>0</v>
      </c>
      <c r="AK108" s="19">
        <f>IF(OR(EXACT(H108,"JCR-Q1"),EXACT(H108,"JCR-Q2"),EXACT(H108,"JCR-Q3"),EXACT(H108,"JCR-Q4"),EXACT(H108,"WOS")),(1),(0))</f>
        <v>0</v>
      </c>
      <c r="AL108" s="19">
        <f>IF(OR(EXACT(H108,"JCR-Q1"),EXACT(H108,"JCR-Q2"),EXACT(H108,"JCR-Q3"),EXACT(H108,"JCR-Q4"),EXACT(H108,"WOS"),EXACT(H108,"Scopus")),(1),(0))</f>
        <v>0</v>
      </c>
      <c r="AM108" s="19">
        <f>IF(OR(EXACT(H108,'Data Base'!$B$21),EXACT(H108,'Data Base'!$B$22)),(1),(0))</f>
        <v>0</v>
      </c>
    </row>
    <row r="109" spans="1:83" ht="20.25" customHeight="1">
      <c r="A109" s="1416" t="s">
        <v>29</v>
      </c>
      <c r="B109" s="1417"/>
      <c r="C109" s="1417"/>
      <c r="D109" s="1418"/>
      <c r="E109" s="514" t="s">
        <v>1001</v>
      </c>
      <c r="F109" s="515"/>
      <c r="G109" s="516" t="s">
        <v>801</v>
      </c>
      <c r="H109" s="517"/>
      <c r="I109" s="516" t="s">
        <v>1002</v>
      </c>
      <c r="J109" s="518"/>
      <c r="K109" s="516" t="s">
        <v>1003</v>
      </c>
      <c r="L109" s="519"/>
      <c r="M109" s="516" t="s">
        <v>1004</v>
      </c>
      <c r="N109" s="520"/>
      <c r="O109" s="1266" t="s">
        <v>55</v>
      </c>
      <c r="P109" s="1419"/>
      <c r="Q109" s="1419"/>
      <c r="R109" s="1419"/>
      <c r="S109" s="1419"/>
      <c r="T109" s="1419"/>
      <c r="U109" s="1415"/>
      <c r="AN109" s="19">
        <f>IF(AND(AA108=1,EXACT(J109,"نفر اول")),(1),(0))</f>
        <v>0</v>
      </c>
      <c r="AO109" s="19">
        <f>IF(AN109=1,R108,0)</f>
        <v>0</v>
      </c>
      <c r="AP109" s="19">
        <f>IF(AND(AA108=1,EXACT(J109,"همكار")),(1),(0))</f>
        <v>0</v>
      </c>
      <c r="AQ109" s="19">
        <f>IF(AP109=1,R108,0)</f>
        <v>0</v>
      </c>
      <c r="AV109" s="19">
        <f>IF((AH108=1),R108,0)</f>
        <v>0</v>
      </c>
      <c r="AW109" s="19">
        <f>IF(AND(EXACT(AN109,"1"),EXACT(AH108,"1")),(1),(0))</f>
        <v>0</v>
      </c>
      <c r="AX109" s="19">
        <f>IF((AW109=1),AV109,0)</f>
        <v>0</v>
      </c>
      <c r="BB109" s="19">
        <f>IF((AI108=1),R108,0)</f>
        <v>0</v>
      </c>
      <c r="BC109" s="19">
        <f>IF(AND(EXACT(AI108,"1"),EXACT(AN109,"1")),(1),(0))</f>
        <v>0</v>
      </c>
      <c r="BD109" s="19">
        <f>IF((BC109=1),BB109,0)</f>
        <v>0</v>
      </c>
      <c r="BH109" s="19">
        <f>IF((AJ108=1),R108,0)</f>
        <v>0</v>
      </c>
      <c r="BI109" s="19">
        <f>IF(AND(EXACT(AJ108,"1"),EXACT(AN109,"1")),(1),(0))</f>
        <v>0</v>
      </c>
      <c r="BJ109" s="19">
        <f>IF((BI109=1),BH109,0)</f>
        <v>0</v>
      </c>
      <c r="BN109" s="19">
        <f>IF((AK108=1),R108,0)</f>
        <v>0</v>
      </c>
      <c r="BO109" s="19">
        <f>IF(AND(EXACT(AK108,"1"),EXACT(AN109,"1")),(1),(0))</f>
        <v>0</v>
      </c>
      <c r="BP109" s="19">
        <f>IF((BO109=1),BN109,0)</f>
        <v>0</v>
      </c>
      <c r="BT109" s="19">
        <f>IF((AL108=1),R108,0)</f>
        <v>0</v>
      </c>
      <c r="BU109" s="19">
        <f>IF(AND(EXACT(AN109,"1"),EXACT(AL108,"1")),(1),(0))</f>
        <v>0</v>
      </c>
      <c r="BV109" s="19">
        <f>IF((BU109=1),BT109,0)</f>
        <v>0</v>
      </c>
      <c r="BZ109" s="19">
        <f>IF((AM108=1),R108,0)</f>
        <v>0</v>
      </c>
      <c r="CA109" s="19">
        <f>IF(AND(EXACT(AM108,"1"),EXACT(AN109,"1")),(1),(0))</f>
        <v>0</v>
      </c>
      <c r="CB109" s="19">
        <f>IF((CA109=1),BZ109,0)</f>
        <v>0</v>
      </c>
    </row>
    <row r="110" spans="1:83" ht="20.25">
      <c r="A110" s="1420" t="s">
        <v>30</v>
      </c>
      <c r="B110" s="1421"/>
      <c r="C110" s="1421"/>
      <c r="D110" s="1422"/>
      <c r="E110" s="536" t="s">
        <v>1001</v>
      </c>
      <c r="F110" s="537"/>
      <c r="G110" s="538" t="s">
        <v>801</v>
      </c>
      <c r="H110" s="539"/>
      <c r="I110" s="538" t="s">
        <v>1002</v>
      </c>
      <c r="J110" s="525"/>
      <c r="K110" s="538" t="s">
        <v>1003</v>
      </c>
      <c r="L110" s="540"/>
      <c r="M110" s="538" t="s">
        <v>1004</v>
      </c>
      <c r="N110" s="541"/>
      <c r="O110" s="1266"/>
      <c r="P110" s="1423"/>
      <c r="Q110" s="1423"/>
      <c r="R110" s="1423"/>
      <c r="S110" s="1423"/>
      <c r="T110" s="1423"/>
      <c r="U110" s="1415"/>
      <c r="AR110" s="19">
        <f>IF(AND(AA108=1,EXACT(J110,"نفر اول")),(1),(0))</f>
        <v>0</v>
      </c>
      <c r="AS110" s="19">
        <f>IF(AR110=1,S108,0)</f>
        <v>0</v>
      </c>
      <c r="AT110" s="19">
        <f>IF(AND(AA108=1,EXACT(J110,"همكار")),(1),(0))</f>
        <v>0</v>
      </c>
      <c r="AU110" s="19">
        <f>IF(AT110=1,S108,0)</f>
        <v>0</v>
      </c>
      <c r="AY110" s="19">
        <f>IF((AH108=1),S108,0)</f>
        <v>0</v>
      </c>
      <c r="AZ110" s="19">
        <f>IF(AND(EXACT(AR110,"1"),EXACT(AH108,"1")),(1),(0))</f>
        <v>0</v>
      </c>
      <c r="BA110" s="19">
        <f>IF((AZ110=1),AY110,0)</f>
        <v>0</v>
      </c>
      <c r="BE110" s="19">
        <f>IF((AI108=1),S108,0)</f>
        <v>0</v>
      </c>
      <c r="BF110" s="19">
        <f>IF(AND(EXACT(AI108,"1"),EXACT(AR110,"1")),(1),(0))</f>
        <v>0</v>
      </c>
      <c r="BG110" s="19">
        <f>IF((BF110=1),BE110,0)</f>
        <v>0</v>
      </c>
      <c r="BK110" s="19">
        <f>IF((AJ108=1),S108,0)</f>
        <v>0</v>
      </c>
      <c r="BL110" s="19">
        <f>IF(AND(EXACT(AJ108,"1"),EXACT(AR110,"1")),(1),(0))</f>
        <v>0</v>
      </c>
      <c r="BM110" s="19">
        <f>IF((BL110=1),BK110,0)</f>
        <v>0</v>
      </c>
      <c r="BQ110" s="19">
        <f>IF((AJ108=1),S108,0)</f>
        <v>0</v>
      </c>
      <c r="BR110" s="19">
        <f>IF(AND(EXACT(AJ108,"1"),EXACT(AR110,"1")),(1),(0))</f>
        <v>0</v>
      </c>
      <c r="BS110" s="19">
        <f>IF((BL110=1),BK110,0)</f>
        <v>0</v>
      </c>
      <c r="BW110" s="19">
        <f>IF((AL108=1),S108,0)</f>
        <v>0</v>
      </c>
      <c r="BX110" s="19">
        <f>IF(AND(EXACT(AL108,"1"),EXACT(AR110,"1")),(1),(0))</f>
        <v>0</v>
      </c>
      <c r="BY110" s="19">
        <f>IF((BX110=1),BW110,0)</f>
        <v>0</v>
      </c>
      <c r="CC110" s="19">
        <f>IF((AM108=1),R108,0)</f>
        <v>0</v>
      </c>
      <c r="CD110" s="19">
        <f>IF(AND(EXACT(AM108,"1"),EXACT(AR110,"1")),(1),(0))</f>
        <v>0</v>
      </c>
      <c r="CE110" s="19">
        <f>IF((CD110=1),CC110,0)</f>
        <v>0</v>
      </c>
    </row>
    <row r="111" spans="1:83" ht="20.25">
      <c r="A111" s="12">
        <f>IF(AA111=0,0,IF(AA108=0,Z111,SUM(A108,AA111)))</f>
        <v>0</v>
      </c>
      <c r="B111" s="1157"/>
      <c r="C111" s="1157"/>
      <c r="D111" s="1157"/>
      <c r="E111" s="1182"/>
      <c r="F111" s="1424"/>
      <c r="G111" s="1424"/>
      <c r="H111" s="527"/>
      <c r="I111" s="528"/>
      <c r="J111" s="529"/>
      <c r="K111" s="530"/>
      <c r="L111" s="531"/>
      <c r="M111" s="532"/>
      <c r="N111" s="533"/>
      <c r="O111" s="532"/>
      <c r="P111" s="1182"/>
      <c r="Q111" s="1182"/>
      <c r="R111" s="534">
        <f t="shared" ref="R111" ca="1" si="128">IF(OR(EXACT(H111,""),EXACT(B111,""),EXACT(F112,""),EXACT(H112,""),EXACT(J112,""),EXACT(L112,""),EXACT(N112,""),EXACT(F111,""),EXACT(J111,""),EXACT(M111,""),EXACT(N111,""),EXACT(O111,""),EXACT(P111,"")),0,IF(OR(EXACT(P112,"مقاله پر استناد"),EXACT(P112,"مقاله داغ"),EXACT(P112,"مستخرج از برنامه تحقيقاتي ملي معطوف به رفع مشكلات كشور")),(1.5*(F112*N112*(IF(EXACT(J112,"نفر اول"),INDIRECT(CONCATENATE("'Data Base'!$d",H112)),INDIRECT(CONCATENATE("'Data Base'!$e",H112))))*((100-L112)/100))),IF(EXACT(P112,"Short Article"),(0.5*(F112*N112*(IF(EXACT(J112,"نفر اول"),INDIRECT(CONCATENATE("'Data Base'!$D",H112)),INDIRECT(CONCATENATE("'Data Base'!$E",H112))))*((100-L112)/100))),IF(EXACT(P112,"چاپ شده در نشريات بسيار پر استناد Nature و Science"),(2*(F112*N112*(IF(EXACT(J112,"نفر اول"),INDIRECT(CONCATENATE("'Data Base'!$D",H112)),INDIRECT(CONCATENATE("'Data Base'!$E",H112))))*((100-L112)/100))),IF(OR(EXACT(P112,"مستخرج از طرح پژوهشي محرمانه"),EXACT(P112,"مشترك با اساتيد دانشگاه خارج از كشور")),(1.2*(F112*N112*(IF(EXACT(J112,"نفر اول"),INDIRECT(CONCATENATE("'Data Base'!$D",H112)),INDIRECT(CONCATENATE("'Data Base'!$E",H112))))*((100-L112)/100))),(F112*N112*(IF(EXACT(J112,"نفر اول"),INDIRECT(CONCATENATE("'Data Base'!$d",H112)),INDIRECT(CONCATENATE("'Data Base'!$e",H112))))*((100-L112)/100)))))))</f>
        <v>0</v>
      </c>
      <c r="S111" s="535">
        <f t="shared" ref="S111" ca="1" si="129">IF(OR(EXACT(H111,""),EXACT(B111,""),EXACT(F113,""),EXACT(H113,""),EXACT(J113,""),EXACT(L113,""),EXACT(N113,""),EXACT(F111,""),EXACT(J111,""),EXACT(M111,""),EXACT(N111,""),EXACT(O111,""),EXACT(P111,"")),0,IF(OR(EXACT(P113,"مقاله پر استناد"),EXACT(P113,"مقاله داغ"),EXACT(P113,"مستخرج از برنامه تحقيقاتي ملي معطوف به رفع مشكلات كشور")),(1.5*(F113*N113*(IF(EXACT(J113,"نفر اول"),INDIRECT(CONCATENATE("'Data Base'!$d",H113)),INDIRECT(CONCATENATE("'Data Base'!$E",H113))))*((100-L113)/100))),IF(EXACT(P113,"Short Article"),(0.5*(F113*N113*(IF(EXACT(J113,"نفر اول"),INDIRECT(CONCATENATE("'Data Base'!$D",H113)),INDIRECT(CONCATENATE("'Data Base'!$E",H113))))*((100-L113)/100))),IF(EXACT(P113,"چاپ شده در نشريات بسيار پر استناد Nature و Science"),(2*(F113*N113*(IF(EXACT(J113,"نفر اول"),INDIRECT(CONCATENATE("'Data Base'!$D",H113)),INDIRECT(CONCATENATE("'Data Base'!$E",H113))))*((100-L113)/100))),IF(OR(EXACT(P113,"مستخرج از طرح پژوهشي محرمانه"),EXACT(P113,"مشترك با اساتيد دانشگاه خارج از كشور")),(1.2*(F113*N113*(IF(EXACT(J113,"نفر اول"),INDIRECT(CONCATENATE("'Data Base'!$D",H113)),INDIRECT(CONCATENATE("'Data Base'!$E",H113))))*((100-L113)/100))),(F113*N113*(IF(EXACT(J113,"نفر اول"),INDIRECT(CONCATENATE("'Data Base'!$D",H113)),INDIRECT(CONCATENATE("'Data Base'!$E",H113))))*((100-L113)/100)))))))</f>
        <v>0</v>
      </c>
      <c r="T111" s="147"/>
      <c r="U111" s="1414"/>
      <c r="Z111" s="19">
        <f>SUM(Z108,AA111)</f>
        <v>0</v>
      </c>
      <c r="AA111" s="19">
        <f>IF(OR(OR(B111="",F111="",H111="",J111="",P111=""),AND(M111="",O111="")),0,1)</f>
        <v>0</v>
      </c>
      <c r="AB111" s="19">
        <f t="shared" ref="AB111" ca="1" si="130">IF(AND(AA111=1,S111&gt;0),1,0)</f>
        <v>0</v>
      </c>
      <c r="AC111" s="19">
        <f t="shared" ref="AC111" ca="1" si="131">IF(AND(AA111=1,S111&lt;1),1,0)</f>
        <v>0</v>
      </c>
      <c r="AD111" s="19">
        <f ca="1">IF(AND(AA111=1,S111&gt;=1,AJ111=1),1,0)</f>
        <v>0</v>
      </c>
      <c r="AE111" s="19">
        <f ca="1">IF(AD111=1,S111,0)</f>
        <v>0</v>
      </c>
      <c r="AF111" s="19">
        <f ca="1">IF(AND(AA111=1,S111&gt;=1,AJ111=1,AR113=1),1,0)</f>
        <v>0</v>
      </c>
      <c r="AG111" s="19">
        <f ca="1">IF(AF111=1,S111,0)</f>
        <v>0</v>
      </c>
      <c r="AH111" s="19">
        <f>IF(OR(EXACT(H111,"JCR-Q1"),EXACT(H111,"JCR-Q2")),(1),(0))</f>
        <v>0</v>
      </c>
      <c r="AI111" s="19">
        <f>IF(OR(EXACT(H111,"JCR-Q1"),EXACT(H111,"JCR-Q2"),EXACT(H111,"JCR-Q3")),(1),(0))</f>
        <v>0</v>
      </c>
      <c r="AJ111" s="19">
        <f>IF(OR(EXACT(H111,"JCR-Q1"),EXACT(H111,"JCR-Q2"),EXACT(H111,"JCR-Q3"),EXACT(H111,"JCR-Q4")),(1),(0))</f>
        <v>0</v>
      </c>
      <c r="AK111" s="19">
        <f>IF(OR(EXACT(H111,"JCR-Q1"),EXACT(H111,"JCR-Q2"),EXACT(H111,"JCR-Q3"),EXACT(H111,"JCR-Q4"),EXACT(H111,"WOS")),(1),(0))</f>
        <v>0</v>
      </c>
      <c r="AL111" s="19">
        <f>IF(OR(EXACT(H111,"JCR-Q1"),EXACT(H111,"JCR-Q2"),EXACT(H111,"JCR-Q3"),EXACT(H111,"JCR-Q4"),EXACT(H111,"WOS"),EXACT(H111,"Scopus")),(1),(0))</f>
        <v>0</v>
      </c>
      <c r="AM111" s="19">
        <f>IF(OR(EXACT(H111,'Data Base'!$B$21),EXACT(H111,'Data Base'!$B$22)),(1),(0))</f>
        <v>0</v>
      </c>
    </row>
    <row r="112" spans="1:83" ht="20.25" customHeight="1">
      <c r="A112" s="1416" t="s">
        <v>29</v>
      </c>
      <c r="B112" s="1417"/>
      <c r="C112" s="1417"/>
      <c r="D112" s="1418"/>
      <c r="E112" s="514" t="s">
        <v>1001</v>
      </c>
      <c r="F112" s="515"/>
      <c r="G112" s="516" t="s">
        <v>801</v>
      </c>
      <c r="H112" s="517"/>
      <c r="I112" s="516" t="s">
        <v>1002</v>
      </c>
      <c r="J112" s="518"/>
      <c r="K112" s="516" t="s">
        <v>1003</v>
      </c>
      <c r="L112" s="519"/>
      <c r="M112" s="516" t="s">
        <v>1004</v>
      </c>
      <c r="N112" s="520"/>
      <c r="O112" s="1266" t="s">
        <v>55</v>
      </c>
      <c r="P112" s="1419"/>
      <c r="Q112" s="1419"/>
      <c r="R112" s="1419"/>
      <c r="S112" s="1419"/>
      <c r="T112" s="1419"/>
      <c r="U112" s="1415"/>
      <c r="AN112" s="19">
        <f>IF(AND(AA111=1,EXACT(J112,"نفر اول")),(1),(0))</f>
        <v>0</v>
      </c>
      <c r="AO112" s="19">
        <f>IF(AN112=1,R111,0)</f>
        <v>0</v>
      </c>
      <c r="AP112" s="19">
        <f>IF(AND(AA111=1,EXACT(J112,"همكار")),(1),(0))</f>
        <v>0</v>
      </c>
      <c r="AQ112" s="19">
        <f>IF(AP112=1,R111,0)</f>
        <v>0</v>
      </c>
      <c r="AV112" s="19">
        <f>IF((AH111=1),R111,0)</f>
        <v>0</v>
      </c>
      <c r="AW112" s="19">
        <f>IF(AND(EXACT(AN112,"1"),EXACT(AH111,"1")),(1),(0))</f>
        <v>0</v>
      </c>
      <c r="AX112" s="19">
        <f>IF((AW112=1),AV112,0)</f>
        <v>0</v>
      </c>
      <c r="BB112" s="19">
        <f>IF((AI111=1),R111,0)</f>
        <v>0</v>
      </c>
      <c r="BC112" s="19">
        <f>IF(AND(EXACT(AI111,"1"),EXACT(AN112,"1")),(1),(0))</f>
        <v>0</v>
      </c>
      <c r="BD112" s="19">
        <f>IF((BC112=1),BB112,0)</f>
        <v>0</v>
      </c>
      <c r="BH112" s="19">
        <f>IF((AJ111=1),R111,0)</f>
        <v>0</v>
      </c>
      <c r="BI112" s="19">
        <f>IF(AND(EXACT(AJ111,"1"),EXACT(AN112,"1")),(1),(0))</f>
        <v>0</v>
      </c>
      <c r="BJ112" s="19">
        <f>IF((BI112=1),BH112,0)</f>
        <v>0</v>
      </c>
      <c r="BN112" s="19">
        <f>IF((AK111=1),R111,0)</f>
        <v>0</v>
      </c>
      <c r="BO112" s="19">
        <f>IF(AND(EXACT(AK111,"1"),EXACT(AN112,"1")),(1),(0))</f>
        <v>0</v>
      </c>
      <c r="BP112" s="19">
        <f>IF((BO112=1),BN112,0)</f>
        <v>0</v>
      </c>
      <c r="BT112" s="19">
        <f>IF((AL111=1),R111,0)</f>
        <v>0</v>
      </c>
      <c r="BU112" s="19">
        <f>IF(AND(EXACT(AN112,"1"),EXACT(AL111,"1")),(1),(0))</f>
        <v>0</v>
      </c>
      <c r="BV112" s="19">
        <f>IF((BU112=1),BT112,0)</f>
        <v>0</v>
      </c>
      <c r="BZ112" s="19">
        <f>IF((AM111=1),R111,0)</f>
        <v>0</v>
      </c>
      <c r="CA112" s="19">
        <f>IF(AND(EXACT(AM111,"1"),EXACT(AN112,"1")),(1),(0))</f>
        <v>0</v>
      </c>
      <c r="CB112" s="19">
        <f>IF((CA112=1),BZ112,0)</f>
        <v>0</v>
      </c>
    </row>
    <row r="113" spans="1:83" ht="20.25">
      <c r="A113" s="1420" t="s">
        <v>30</v>
      </c>
      <c r="B113" s="1421"/>
      <c r="C113" s="1421"/>
      <c r="D113" s="1422"/>
      <c r="E113" s="536" t="s">
        <v>1001</v>
      </c>
      <c r="F113" s="537"/>
      <c r="G113" s="538" t="s">
        <v>801</v>
      </c>
      <c r="H113" s="539"/>
      <c r="I113" s="538" t="s">
        <v>1002</v>
      </c>
      <c r="J113" s="525"/>
      <c r="K113" s="538" t="s">
        <v>1003</v>
      </c>
      <c r="L113" s="540"/>
      <c r="M113" s="538" t="s">
        <v>1004</v>
      </c>
      <c r="N113" s="541"/>
      <c r="O113" s="1266"/>
      <c r="P113" s="1423"/>
      <c r="Q113" s="1423"/>
      <c r="R113" s="1423"/>
      <c r="S113" s="1423"/>
      <c r="T113" s="1423"/>
      <c r="U113" s="1415"/>
      <c r="AR113" s="19">
        <f>IF(AND(AA111=1,EXACT(J113,"نفر اول")),(1),(0))</f>
        <v>0</v>
      </c>
      <c r="AS113" s="19">
        <f>IF(AR113=1,S111,0)</f>
        <v>0</v>
      </c>
      <c r="AT113" s="19">
        <f>IF(AND(AA111=1,EXACT(J113,"همكار")),(1),(0))</f>
        <v>0</v>
      </c>
      <c r="AU113" s="19">
        <f>IF(AT113=1,S111,0)</f>
        <v>0</v>
      </c>
      <c r="AY113" s="19">
        <f>IF((AH111=1),S111,0)</f>
        <v>0</v>
      </c>
      <c r="AZ113" s="19">
        <f>IF(AND(EXACT(AR113,"1"),EXACT(AH111,"1")),(1),(0))</f>
        <v>0</v>
      </c>
      <c r="BA113" s="19">
        <f>IF((AZ113=1),AY113,0)</f>
        <v>0</v>
      </c>
      <c r="BE113" s="19">
        <f>IF((AI111=1),S111,0)</f>
        <v>0</v>
      </c>
      <c r="BF113" s="19">
        <f>IF(AND(EXACT(AI111,"1"),EXACT(AR113,"1")),(1),(0))</f>
        <v>0</v>
      </c>
      <c r="BG113" s="19">
        <f>IF((BF113=1),BE113,0)</f>
        <v>0</v>
      </c>
      <c r="BK113" s="19">
        <f>IF((AJ111=1),S111,0)</f>
        <v>0</v>
      </c>
      <c r="BL113" s="19">
        <f>IF(AND(EXACT(AJ111,"1"),EXACT(AR113,"1")),(1),(0))</f>
        <v>0</v>
      </c>
      <c r="BM113" s="19">
        <f>IF((BL113=1),BK113,0)</f>
        <v>0</v>
      </c>
      <c r="BQ113" s="19">
        <f>IF((AJ111=1),S111,0)</f>
        <v>0</v>
      </c>
      <c r="BR113" s="19">
        <f>IF(AND(EXACT(AJ111,"1"),EXACT(AR113,"1")),(1),(0))</f>
        <v>0</v>
      </c>
      <c r="BS113" s="19">
        <f>IF((BL113=1),BK113,0)</f>
        <v>0</v>
      </c>
      <c r="BW113" s="19">
        <f>IF((AL111=1),S111,0)</f>
        <v>0</v>
      </c>
      <c r="BX113" s="19">
        <f>IF(AND(EXACT(AL111,"1"),EXACT(AR113,"1")),(1),(0))</f>
        <v>0</v>
      </c>
      <c r="BY113" s="19">
        <f>IF((BX113=1),BW113,0)</f>
        <v>0</v>
      </c>
      <c r="CC113" s="19">
        <f>IF((AM111=1),R111,0)</f>
        <v>0</v>
      </c>
      <c r="CD113" s="19">
        <f>IF(AND(EXACT(AM111,"1"),EXACT(AR113,"1")),(1),(0))</f>
        <v>0</v>
      </c>
      <c r="CE113" s="19">
        <f>IF((CD113=1),CC113,0)</f>
        <v>0</v>
      </c>
    </row>
    <row r="114" spans="1:83" ht="20.25">
      <c r="A114" s="12">
        <f>IF(AA114=0,0,IF(AA111=0,Z114,SUM(A111,AA114)))</f>
        <v>0</v>
      </c>
      <c r="B114" s="1157"/>
      <c r="C114" s="1157"/>
      <c r="D114" s="1157"/>
      <c r="E114" s="1182"/>
      <c r="F114" s="1424"/>
      <c r="G114" s="1424"/>
      <c r="H114" s="527"/>
      <c r="I114" s="528"/>
      <c r="J114" s="529"/>
      <c r="K114" s="530"/>
      <c r="L114" s="531"/>
      <c r="M114" s="532"/>
      <c r="N114" s="533"/>
      <c r="O114" s="532"/>
      <c r="P114" s="1182"/>
      <c r="Q114" s="1182"/>
      <c r="R114" s="534">
        <f t="shared" ref="R114" ca="1" si="132">IF(OR(EXACT(H114,""),EXACT(B114,""),EXACT(F115,""),EXACT(H115,""),EXACT(J115,""),EXACT(L115,""),EXACT(N115,""),EXACT(F114,""),EXACT(J114,""),EXACT(M114,""),EXACT(N114,""),EXACT(O114,""),EXACT(P114,"")),0,IF(OR(EXACT(P115,"مقاله پر استناد"),EXACT(P115,"مقاله داغ"),EXACT(P115,"مستخرج از برنامه تحقيقاتي ملي معطوف به رفع مشكلات كشور")),(1.5*(F115*N115*(IF(EXACT(J115,"نفر اول"),INDIRECT(CONCATENATE("'Data Base'!$d",H115)),INDIRECT(CONCATENATE("'Data Base'!$e",H115))))*((100-L115)/100))),IF(EXACT(P115,"Short Article"),(0.5*(F115*N115*(IF(EXACT(J115,"نفر اول"),INDIRECT(CONCATENATE("'Data Base'!$D",H115)),INDIRECT(CONCATENATE("'Data Base'!$E",H115))))*((100-L115)/100))),IF(EXACT(P115,"چاپ شده در نشريات بسيار پر استناد Nature و Science"),(2*(F115*N115*(IF(EXACT(J115,"نفر اول"),INDIRECT(CONCATENATE("'Data Base'!$D",H115)),INDIRECT(CONCATENATE("'Data Base'!$E",H115))))*((100-L115)/100))),IF(OR(EXACT(P115,"مستخرج از طرح پژوهشي محرمانه"),EXACT(P115,"مشترك با اساتيد دانشگاه خارج از كشور")),(1.2*(F115*N115*(IF(EXACT(J115,"نفر اول"),INDIRECT(CONCATENATE("'Data Base'!$D",H115)),INDIRECT(CONCATENATE("'Data Base'!$E",H115))))*((100-L115)/100))),(F115*N115*(IF(EXACT(J115,"نفر اول"),INDIRECT(CONCATENATE("'Data Base'!$d",H115)),INDIRECT(CONCATENATE("'Data Base'!$e",H115))))*((100-L115)/100)))))))</f>
        <v>0</v>
      </c>
      <c r="S114" s="535">
        <f t="shared" ref="S114" ca="1" si="133">IF(OR(EXACT(H114,""),EXACT(B114,""),EXACT(F116,""),EXACT(H116,""),EXACT(J116,""),EXACT(L116,""),EXACT(N116,""),EXACT(F114,""),EXACT(J114,""),EXACT(M114,""),EXACT(N114,""),EXACT(O114,""),EXACT(P114,"")),0,IF(OR(EXACT(P116,"مقاله پر استناد"),EXACT(P116,"مقاله داغ"),EXACT(P116,"مستخرج از برنامه تحقيقاتي ملي معطوف به رفع مشكلات كشور")),(1.5*(F116*N116*(IF(EXACT(J116,"نفر اول"),INDIRECT(CONCATENATE("'Data Base'!$d",H116)),INDIRECT(CONCATENATE("'Data Base'!$E",H116))))*((100-L116)/100))),IF(EXACT(P116,"Short Article"),(0.5*(F116*N116*(IF(EXACT(J116,"نفر اول"),INDIRECT(CONCATENATE("'Data Base'!$D",H116)),INDIRECT(CONCATENATE("'Data Base'!$E",H116))))*((100-L116)/100))),IF(EXACT(P116,"چاپ شده در نشريات بسيار پر استناد Nature و Science"),(2*(F116*N116*(IF(EXACT(J116,"نفر اول"),INDIRECT(CONCATENATE("'Data Base'!$D",H116)),INDIRECT(CONCATENATE("'Data Base'!$E",H116))))*((100-L116)/100))),IF(OR(EXACT(P116,"مستخرج از طرح پژوهشي محرمانه"),EXACT(P116,"مشترك با اساتيد دانشگاه خارج از كشور")),(1.2*(F116*N116*(IF(EXACT(J116,"نفر اول"),INDIRECT(CONCATENATE("'Data Base'!$D",H116)),INDIRECT(CONCATENATE("'Data Base'!$E",H116))))*((100-L116)/100))),(F116*N116*(IF(EXACT(J116,"نفر اول"),INDIRECT(CONCATENATE("'Data Base'!$D",H116)),INDIRECT(CONCATENATE("'Data Base'!$E",H116))))*((100-L116)/100)))))))</f>
        <v>0</v>
      </c>
      <c r="T114" s="147"/>
      <c r="U114" s="1414"/>
      <c r="Z114" s="19">
        <f>SUM(Z111,AA114)</f>
        <v>0</v>
      </c>
      <c r="AA114" s="19">
        <f>IF(OR(OR(B114="",F114="",H114="",J114="",P114=""),AND(M114="",O114="")),0,1)</f>
        <v>0</v>
      </c>
      <c r="AB114" s="19">
        <f t="shared" ref="AB114" ca="1" si="134">IF(AND(AA114=1,S114&gt;0),1,0)</f>
        <v>0</v>
      </c>
      <c r="AC114" s="19">
        <f t="shared" ref="AC114" ca="1" si="135">IF(AND(AA114=1,S114&lt;1),1,0)</f>
        <v>0</v>
      </c>
      <c r="AD114" s="19">
        <f ca="1">IF(AND(AA114=1,S114&gt;=1,AJ114=1),1,0)</f>
        <v>0</v>
      </c>
      <c r="AE114" s="19">
        <f ca="1">IF(AD114=1,S114,0)</f>
        <v>0</v>
      </c>
      <c r="AF114" s="19">
        <f ca="1">IF(AND(AA114=1,S114&gt;=1,AJ114=1,AR116=1),1,0)</f>
        <v>0</v>
      </c>
      <c r="AG114" s="19">
        <f ca="1">IF(AF114=1,S114,0)</f>
        <v>0</v>
      </c>
      <c r="AH114" s="19">
        <f>IF(OR(EXACT(H114,"JCR-Q1"),EXACT(H114,"JCR-Q2")),(1),(0))</f>
        <v>0</v>
      </c>
      <c r="AI114" s="19">
        <f>IF(OR(EXACT(H114,"JCR-Q1"),EXACT(H114,"JCR-Q2"),EXACT(H114,"JCR-Q3")),(1),(0))</f>
        <v>0</v>
      </c>
      <c r="AJ114" s="19">
        <f>IF(OR(EXACT(H114,"JCR-Q1"),EXACT(H114,"JCR-Q2"),EXACT(H114,"JCR-Q3"),EXACT(H114,"JCR-Q4")),(1),(0))</f>
        <v>0</v>
      </c>
      <c r="AK114" s="19">
        <f>IF(OR(EXACT(H114,"JCR-Q1"),EXACT(H114,"JCR-Q2"),EXACT(H114,"JCR-Q3"),EXACT(H114,"JCR-Q4"),EXACT(H114,"WOS")),(1),(0))</f>
        <v>0</v>
      </c>
      <c r="AL114" s="19">
        <f>IF(OR(EXACT(H114,"JCR-Q1"),EXACT(H114,"JCR-Q2"),EXACT(H114,"JCR-Q3"),EXACT(H114,"JCR-Q4"),EXACT(H114,"WOS"),EXACT(H114,"Scopus")),(1),(0))</f>
        <v>0</v>
      </c>
      <c r="AM114" s="19">
        <f>IF(OR(EXACT(H114,'Data Base'!$B$21),EXACT(H114,'Data Base'!$B$22)),(1),(0))</f>
        <v>0</v>
      </c>
    </row>
    <row r="115" spans="1:83" ht="20.25" customHeight="1">
      <c r="A115" s="1416" t="s">
        <v>29</v>
      </c>
      <c r="B115" s="1417"/>
      <c r="C115" s="1417"/>
      <c r="D115" s="1418"/>
      <c r="E115" s="514" t="s">
        <v>1001</v>
      </c>
      <c r="F115" s="515"/>
      <c r="G115" s="516" t="s">
        <v>801</v>
      </c>
      <c r="H115" s="517"/>
      <c r="I115" s="516" t="s">
        <v>1002</v>
      </c>
      <c r="J115" s="518"/>
      <c r="K115" s="516" t="s">
        <v>1003</v>
      </c>
      <c r="L115" s="519"/>
      <c r="M115" s="516" t="s">
        <v>1004</v>
      </c>
      <c r="N115" s="520"/>
      <c r="O115" s="1266" t="s">
        <v>55</v>
      </c>
      <c r="P115" s="1419"/>
      <c r="Q115" s="1419"/>
      <c r="R115" s="1419"/>
      <c r="S115" s="1419"/>
      <c r="T115" s="1419"/>
      <c r="U115" s="1415"/>
      <c r="AN115" s="19">
        <f>IF(AND(AA114=1,EXACT(J115,"نفر اول")),(1),(0))</f>
        <v>0</v>
      </c>
      <c r="AO115" s="19">
        <f>IF(AN115=1,R114,0)</f>
        <v>0</v>
      </c>
      <c r="AP115" s="19">
        <f>IF(AND(AA114=1,EXACT(J115,"همكار")),(1),(0))</f>
        <v>0</v>
      </c>
      <c r="AQ115" s="19">
        <f>IF(AP115=1,R114,0)</f>
        <v>0</v>
      </c>
      <c r="AV115" s="19">
        <f>IF((AH114=1),R114,0)</f>
        <v>0</v>
      </c>
      <c r="AW115" s="19">
        <f>IF(AND(EXACT(AN115,"1"),EXACT(AH114,"1")),(1),(0))</f>
        <v>0</v>
      </c>
      <c r="AX115" s="19">
        <f>IF((AW115=1),AV115,0)</f>
        <v>0</v>
      </c>
      <c r="BB115" s="19">
        <f>IF((AI114=1),R114,0)</f>
        <v>0</v>
      </c>
      <c r="BC115" s="19">
        <f>IF(AND(EXACT(AI114,"1"),EXACT(AN115,"1")),(1),(0))</f>
        <v>0</v>
      </c>
      <c r="BD115" s="19">
        <f>IF((BC115=1),BB115,0)</f>
        <v>0</v>
      </c>
      <c r="BH115" s="19">
        <f>IF((AJ114=1),R114,0)</f>
        <v>0</v>
      </c>
      <c r="BI115" s="19">
        <f>IF(AND(EXACT(AJ114,"1"),EXACT(AN115,"1")),(1),(0))</f>
        <v>0</v>
      </c>
      <c r="BJ115" s="19">
        <f>IF((BI115=1),BH115,0)</f>
        <v>0</v>
      </c>
      <c r="BN115" s="19">
        <f>IF((AK114=1),R114,0)</f>
        <v>0</v>
      </c>
      <c r="BO115" s="19">
        <f>IF(AND(EXACT(AK114,"1"),EXACT(AN115,"1")),(1),(0))</f>
        <v>0</v>
      </c>
      <c r="BP115" s="19">
        <f>IF((BO115=1),BN115,0)</f>
        <v>0</v>
      </c>
      <c r="BT115" s="19">
        <f>IF((AL114=1),R114,0)</f>
        <v>0</v>
      </c>
      <c r="BU115" s="19">
        <f>IF(AND(EXACT(AN115,"1"),EXACT(AL114,"1")),(1),(0))</f>
        <v>0</v>
      </c>
      <c r="BV115" s="19">
        <f>IF((BU115=1),BT115,0)</f>
        <v>0</v>
      </c>
      <c r="BZ115" s="19">
        <f>IF((AM114=1),R114,0)</f>
        <v>0</v>
      </c>
      <c r="CA115" s="19">
        <f>IF(AND(EXACT(AM114,"1"),EXACT(AN115,"1")),(1),(0))</f>
        <v>0</v>
      </c>
      <c r="CB115" s="19">
        <f>IF((CA115=1),BZ115,0)</f>
        <v>0</v>
      </c>
    </row>
    <row r="116" spans="1:83" ht="20.25">
      <c r="A116" s="1420" t="s">
        <v>30</v>
      </c>
      <c r="B116" s="1421"/>
      <c r="C116" s="1421"/>
      <c r="D116" s="1422"/>
      <c r="E116" s="536" t="s">
        <v>1001</v>
      </c>
      <c r="F116" s="537"/>
      <c r="G116" s="538" t="s">
        <v>801</v>
      </c>
      <c r="H116" s="539"/>
      <c r="I116" s="538" t="s">
        <v>1002</v>
      </c>
      <c r="J116" s="525"/>
      <c r="K116" s="538" t="s">
        <v>1003</v>
      </c>
      <c r="L116" s="540"/>
      <c r="M116" s="538" t="s">
        <v>1004</v>
      </c>
      <c r="N116" s="541"/>
      <c r="O116" s="1266"/>
      <c r="P116" s="1423"/>
      <c r="Q116" s="1423"/>
      <c r="R116" s="1423"/>
      <c r="S116" s="1423"/>
      <c r="T116" s="1423"/>
      <c r="U116" s="1415"/>
      <c r="AR116" s="19">
        <f>IF(AND(AA114=1,EXACT(J116,"نفر اول")),(1),(0))</f>
        <v>0</v>
      </c>
      <c r="AS116" s="19">
        <f>IF(AR116=1,S114,0)</f>
        <v>0</v>
      </c>
      <c r="AT116" s="19">
        <f>IF(AND(AA114=1,EXACT(J116,"همكار")),(1),(0))</f>
        <v>0</v>
      </c>
      <c r="AU116" s="19">
        <f>IF(AT116=1,S114,0)</f>
        <v>0</v>
      </c>
      <c r="AY116" s="19">
        <f>IF((AH114=1),S114,0)</f>
        <v>0</v>
      </c>
      <c r="AZ116" s="19">
        <f>IF(AND(EXACT(AR116,"1"),EXACT(AH114,"1")),(1),(0))</f>
        <v>0</v>
      </c>
      <c r="BA116" s="19">
        <f>IF((AZ116=1),AY116,0)</f>
        <v>0</v>
      </c>
      <c r="BE116" s="19">
        <f>IF((AI114=1),S114,0)</f>
        <v>0</v>
      </c>
      <c r="BF116" s="19">
        <f>IF(AND(EXACT(AI114,"1"),EXACT(AR116,"1")),(1),(0))</f>
        <v>0</v>
      </c>
      <c r="BG116" s="19">
        <f>IF((BF116=1),BE116,0)</f>
        <v>0</v>
      </c>
      <c r="BK116" s="19">
        <f>IF((AJ114=1),S114,0)</f>
        <v>0</v>
      </c>
      <c r="BL116" s="19">
        <f>IF(AND(EXACT(AJ114,"1"),EXACT(AR116,"1")),(1),(0))</f>
        <v>0</v>
      </c>
      <c r="BM116" s="19">
        <f>IF((BL116=1),BK116,0)</f>
        <v>0</v>
      </c>
      <c r="BQ116" s="19">
        <f>IF((AJ114=1),S114,0)</f>
        <v>0</v>
      </c>
      <c r="BR116" s="19">
        <f>IF(AND(EXACT(AJ114,"1"),EXACT(AR116,"1")),(1),(0))</f>
        <v>0</v>
      </c>
      <c r="BS116" s="19">
        <f>IF((BL116=1),BK116,0)</f>
        <v>0</v>
      </c>
      <c r="BW116" s="19">
        <f>IF((AL114=1),S114,0)</f>
        <v>0</v>
      </c>
      <c r="BX116" s="19">
        <f>IF(AND(EXACT(AL114,"1"),EXACT(AR116,"1")),(1),(0))</f>
        <v>0</v>
      </c>
      <c r="BY116" s="19">
        <f>IF((BX116=1),BW116,0)</f>
        <v>0</v>
      </c>
      <c r="CC116" s="19">
        <f>IF((AM114=1),R114,0)</f>
        <v>0</v>
      </c>
      <c r="CD116" s="19">
        <f>IF(AND(EXACT(AM114,"1"),EXACT(AR116,"1")),(1),(0))</f>
        <v>0</v>
      </c>
      <c r="CE116" s="19">
        <f>IF((CD116=1),CC116,0)</f>
        <v>0</v>
      </c>
    </row>
    <row r="117" spans="1:83" ht="20.25">
      <c r="A117" s="12">
        <f>IF(AA117=0,0,IF(AA114=0,Z117,SUM(A114,AA117)))</f>
        <v>0</v>
      </c>
      <c r="B117" s="1157"/>
      <c r="C117" s="1157"/>
      <c r="D117" s="1157"/>
      <c r="E117" s="1182"/>
      <c r="F117" s="1424"/>
      <c r="G117" s="1424"/>
      <c r="H117" s="527"/>
      <c r="I117" s="528"/>
      <c r="J117" s="529"/>
      <c r="K117" s="530"/>
      <c r="L117" s="531"/>
      <c r="M117" s="532"/>
      <c r="N117" s="533"/>
      <c r="O117" s="532"/>
      <c r="P117" s="1182"/>
      <c r="Q117" s="1182"/>
      <c r="R117" s="534">
        <f t="shared" ref="R117" ca="1" si="136">IF(OR(EXACT(H117,""),EXACT(B117,""),EXACT(F118,""),EXACT(H118,""),EXACT(J118,""),EXACT(L118,""),EXACT(N118,""),EXACT(F117,""),EXACT(J117,""),EXACT(M117,""),EXACT(N117,""),EXACT(O117,""),EXACT(P117,"")),0,IF(OR(EXACT(P118,"مقاله پر استناد"),EXACT(P118,"مقاله داغ"),EXACT(P118,"مستخرج از برنامه تحقيقاتي ملي معطوف به رفع مشكلات كشور")),(1.5*(F118*N118*(IF(EXACT(J118,"نفر اول"),INDIRECT(CONCATENATE("'Data Base'!$d",H118)),INDIRECT(CONCATENATE("'Data Base'!$e",H118))))*((100-L118)/100))),IF(EXACT(P118,"Short Article"),(0.5*(F118*N118*(IF(EXACT(J118,"نفر اول"),INDIRECT(CONCATENATE("'Data Base'!$D",H118)),INDIRECT(CONCATENATE("'Data Base'!$E",H118))))*((100-L118)/100))),IF(EXACT(P118,"چاپ شده در نشريات بسيار پر استناد Nature و Science"),(2*(F118*N118*(IF(EXACT(J118,"نفر اول"),INDIRECT(CONCATENATE("'Data Base'!$D",H118)),INDIRECT(CONCATENATE("'Data Base'!$E",H118))))*((100-L118)/100))),IF(OR(EXACT(P118,"مستخرج از طرح پژوهشي محرمانه"),EXACT(P118,"مشترك با اساتيد دانشگاه خارج از كشور")),(1.2*(F118*N118*(IF(EXACT(J118,"نفر اول"),INDIRECT(CONCATENATE("'Data Base'!$D",H118)),INDIRECT(CONCATENATE("'Data Base'!$E",H118))))*((100-L118)/100))),(F118*N118*(IF(EXACT(J118,"نفر اول"),INDIRECT(CONCATENATE("'Data Base'!$d",H118)),INDIRECT(CONCATENATE("'Data Base'!$e",H118))))*((100-L118)/100)))))))</f>
        <v>0</v>
      </c>
      <c r="S117" s="535">
        <f t="shared" ref="S117" ca="1" si="137">IF(OR(EXACT(H117,""),EXACT(B117,""),EXACT(F119,""),EXACT(H119,""),EXACT(J119,""),EXACT(L119,""),EXACT(N119,""),EXACT(F117,""),EXACT(J117,""),EXACT(M117,""),EXACT(N117,""),EXACT(O117,""),EXACT(P117,"")),0,IF(OR(EXACT(P119,"مقاله پر استناد"),EXACT(P119,"مقاله داغ"),EXACT(P119,"مستخرج از برنامه تحقيقاتي ملي معطوف به رفع مشكلات كشور")),(1.5*(F119*N119*(IF(EXACT(J119,"نفر اول"),INDIRECT(CONCATENATE("'Data Base'!$d",H119)),INDIRECT(CONCATENATE("'Data Base'!$E",H119))))*((100-L119)/100))),IF(EXACT(P119,"Short Article"),(0.5*(F119*N119*(IF(EXACT(J119,"نفر اول"),INDIRECT(CONCATENATE("'Data Base'!$D",H119)),INDIRECT(CONCATENATE("'Data Base'!$E",H119))))*((100-L119)/100))),IF(EXACT(P119,"چاپ شده در نشريات بسيار پر استناد Nature و Science"),(2*(F119*N119*(IF(EXACT(J119,"نفر اول"),INDIRECT(CONCATENATE("'Data Base'!$D",H119)),INDIRECT(CONCATENATE("'Data Base'!$E",H119))))*((100-L119)/100))),IF(OR(EXACT(P119,"مستخرج از طرح پژوهشي محرمانه"),EXACT(P119,"مشترك با اساتيد دانشگاه خارج از كشور")),(1.2*(F119*N119*(IF(EXACT(J119,"نفر اول"),INDIRECT(CONCATENATE("'Data Base'!$D",H119)),INDIRECT(CONCATENATE("'Data Base'!$E",H119))))*((100-L119)/100))),(F119*N119*(IF(EXACT(J119,"نفر اول"),INDIRECT(CONCATENATE("'Data Base'!$D",H119)),INDIRECT(CONCATENATE("'Data Base'!$E",H119))))*((100-L119)/100)))))))</f>
        <v>0</v>
      </c>
      <c r="T117" s="147"/>
      <c r="U117" s="1414"/>
      <c r="Z117" s="19">
        <f>SUM(Z114,AA117)</f>
        <v>0</v>
      </c>
      <c r="AA117" s="19">
        <f>IF(OR(OR(B117="",F117="",H117="",J117="",P117=""),AND(M117="",O117="")),0,1)</f>
        <v>0</v>
      </c>
      <c r="AB117" s="19">
        <f t="shared" ref="AB117" ca="1" si="138">IF(AND(AA117=1,S117&gt;0),1,0)</f>
        <v>0</v>
      </c>
      <c r="AC117" s="19">
        <f t="shared" ref="AC117" ca="1" si="139">IF(AND(AA117=1,S117&lt;1),1,0)</f>
        <v>0</v>
      </c>
      <c r="AD117" s="19">
        <f ca="1">IF(AND(AA117=1,S117&gt;=1,AJ117=1),1,0)</f>
        <v>0</v>
      </c>
      <c r="AE117" s="19">
        <f ca="1">IF(AD117=1,S117,0)</f>
        <v>0</v>
      </c>
      <c r="AF117" s="19">
        <f ca="1">IF(AND(AA117=1,S117&gt;=1,AJ117=1,AR119=1),1,0)</f>
        <v>0</v>
      </c>
      <c r="AG117" s="19">
        <f ca="1">IF(AF117=1,S117,0)</f>
        <v>0</v>
      </c>
      <c r="AH117" s="19">
        <f>IF(OR(EXACT(H117,"JCR-Q1"),EXACT(H117,"JCR-Q2")),(1),(0))</f>
        <v>0</v>
      </c>
      <c r="AI117" s="19">
        <f>IF(OR(EXACT(H117,"JCR-Q1"),EXACT(H117,"JCR-Q2"),EXACT(H117,"JCR-Q3")),(1),(0))</f>
        <v>0</v>
      </c>
      <c r="AJ117" s="19">
        <f>IF(OR(EXACT(H117,"JCR-Q1"),EXACT(H117,"JCR-Q2"),EXACT(H117,"JCR-Q3"),EXACT(H117,"JCR-Q4")),(1),(0))</f>
        <v>0</v>
      </c>
      <c r="AK117" s="19">
        <f>IF(OR(EXACT(H117,"JCR-Q1"),EXACT(H117,"JCR-Q2"),EXACT(H117,"JCR-Q3"),EXACT(H117,"JCR-Q4"),EXACT(H117,"WOS")),(1),(0))</f>
        <v>0</v>
      </c>
      <c r="AL117" s="19">
        <f>IF(OR(EXACT(H117,"JCR-Q1"),EXACT(H117,"JCR-Q2"),EXACT(H117,"JCR-Q3"),EXACT(H117,"JCR-Q4"),EXACT(H117,"WOS"),EXACT(H117,"Scopus")),(1),(0))</f>
        <v>0</v>
      </c>
      <c r="AM117" s="19">
        <f>IF(OR(EXACT(H117,'Data Base'!$B$21),EXACT(H117,'Data Base'!$B$22)),(1),(0))</f>
        <v>0</v>
      </c>
    </row>
    <row r="118" spans="1:83" ht="20.25" customHeight="1">
      <c r="A118" s="1416" t="s">
        <v>29</v>
      </c>
      <c r="B118" s="1417"/>
      <c r="C118" s="1417"/>
      <c r="D118" s="1418"/>
      <c r="E118" s="514" t="s">
        <v>1001</v>
      </c>
      <c r="F118" s="515"/>
      <c r="G118" s="516" t="s">
        <v>801</v>
      </c>
      <c r="H118" s="517"/>
      <c r="I118" s="516" t="s">
        <v>1002</v>
      </c>
      <c r="J118" s="518"/>
      <c r="K118" s="516" t="s">
        <v>1003</v>
      </c>
      <c r="L118" s="519"/>
      <c r="M118" s="516" t="s">
        <v>1004</v>
      </c>
      <c r="N118" s="520"/>
      <c r="O118" s="1266" t="s">
        <v>55</v>
      </c>
      <c r="P118" s="1419"/>
      <c r="Q118" s="1419"/>
      <c r="R118" s="1419"/>
      <c r="S118" s="1419"/>
      <c r="T118" s="1419"/>
      <c r="U118" s="1415"/>
      <c r="AN118" s="19">
        <f>IF(AND(AA117=1,EXACT(J118,"نفر اول")),(1),(0))</f>
        <v>0</v>
      </c>
      <c r="AO118" s="19">
        <f>IF(AN118=1,R117,0)</f>
        <v>0</v>
      </c>
      <c r="AP118" s="19">
        <f>IF(AND(AA117=1,EXACT(J118,"همكار")),(1),(0))</f>
        <v>0</v>
      </c>
      <c r="AQ118" s="19">
        <f>IF(AP118=1,R117,0)</f>
        <v>0</v>
      </c>
      <c r="AV118" s="19">
        <f>IF((AH117=1),R117,0)</f>
        <v>0</v>
      </c>
      <c r="AW118" s="19">
        <f>IF(AND(EXACT(AN118,"1"),EXACT(AH117,"1")),(1),(0))</f>
        <v>0</v>
      </c>
      <c r="AX118" s="19">
        <f>IF((AW118=1),AV118,0)</f>
        <v>0</v>
      </c>
      <c r="BB118" s="19">
        <f>IF((AI117=1),R117,0)</f>
        <v>0</v>
      </c>
      <c r="BC118" s="19">
        <f>IF(AND(EXACT(AI117,"1"),EXACT(AN118,"1")),(1),(0))</f>
        <v>0</v>
      </c>
      <c r="BD118" s="19">
        <f>IF((BC118=1),BB118,0)</f>
        <v>0</v>
      </c>
      <c r="BH118" s="19">
        <f>IF((AJ117=1),R117,0)</f>
        <v>0</v>
      </c>
      <c r="BI118" s="19">
        <f>IF(AND(EXACT(AJ117,"1"),EXACT(AN118,"1")),(1),(0))</f>
        <v>0</v>
      </c>
      <c r="BJ118" s="19">
        <f>IF((BI118=1),BH118,0)</f>
        <v>0</v>
      </c>
      <c r="BN118" s="19">
        <f>IF((AK117=1),R117,0)</f>
        <v>0</v>
      </c>
      <c r="BO118" s="19">
        <f>IF(AND(EXACT(AK117,"1"),EXACT(AN118,"1")),(1),(0))</f>
        <v>0</v>
      </c>
      <c r="BP118" s="19">
        <f>IF((BO118=1),BN118,0)</f>
        <v>0</v>
      </c>
      <c r="BT118" s="19">
        <f>IF((AL117=1),R117,0)</f>
        <v>0</v>
      </c>
      <c r="BU118" s="19">
        <f>IF(AND(EXACT(AN118,"1"),EXACT(AL117,"1")),(1),(0))</f>
        <v>0</v>
      </c>
      <c r="BV118" s="19">
        <f>IF((BU118=1),BT118,0)</f>
        <v>0</v>
      </c>
      <c r="BZ118" s="19">
        <f>IF((AM117=1),R117,0)</f>
        <v>0</v>
      </c>
      <c r="CA118" s="19">
        <f>IF(AND(EXACT(AM117,"1"),EXACT(AN118,"1")),(1),(0))</f>
        <v>0</v>
      </c>
      <c r="CB118" s="19">
        <f>IF((CA118=1),BZ118,0)</f>
        <v>0</v>
      </c>
    </row>
    <row r="119" spans="1:83" ht="20.25">
      <c r="A119" s="1420" t="s">
        <v>30</v>
      </c>
      <c r="B119" s="1421"/>
      <c r="C119" s="1421"/>
      <c r="D119" s="1422"/>
      <c r="E119" s="536" t="s">
        <v>1001</v>
      </c>
      <c r="F119" s="537"/>
      <c r="G119" s="538" t="s">
        <v>801</v>
      </c>
      <c r="H119" s="539"/>
      <c r="I119" s="538" t="s">
        <v>1002</v>
      </c>
      <c r="J119" s="525"/>
      <c r="K119" s="538" t="s">
        <v>1003</v>
      </c>
      <c r="L119" s="540"/>
      <c r="M119" s="538" t="s">
        <v>1004</v>
      </c>
      <c r="N119" s="541"/>
      <c r="O119" s="1266"/>
      <c r="P119" s="1423"/>
      <c r="Q119" s="1423"/>
      <c r="R119" s="1423"/>
      <c r="S119" s="1423"/>
      <c r="T119" s="1423"/>
      <c r="U119" s="1415"/>
      <c r="AR119" s="19">
        <f>IF(AND(AA117=1,EXACT(J119,"نفر اول")),(1),(0))</f>
        <v>0</v>
      </c>
      <c r="AS119" s="19">
        <f>IF(AR119=1,S117,0)</f>
        <v>0</v>
      </c>
      <c r="AT119" s="19">
        <f>IF(AND(AA117=1,EXACT(J119,"همكار")),(1),(0))</f>
        <v>0</v>
      </c>
      <c r="AU119" s="19">
        <f>IF(AT119=1,S117,0)</f>
        <v>0</v>
      </c>
      <c r="AY119" s="19">
        <f>IF((AH117=1),S117,0)</f>
        <v>0</v>
      </c>
      <c r="AZ119" s="19">
        <f>IF(AND(EXACT(AR119,"1"),EXACT(AH117,"1")),(1),(0))</f>
        <v>0</v>
      </c>
      <c r="BA119" s="19">
        <f>IF((AZ119=1),AY119,0)</f>
        <v>0</v>
      </c>
      <c r="BE119" s="19">
        <f>IF((AI117=1),S117,0)</f>
        <v>0</v>
      </c>
      <c r="BF119" s="19">
        <f>IF(AND(EXACT(AI117,"1"),EXACT(AR119,"1")),(1),(0))</f>
        <v>0</v>
      </c>
      <c r="BG119" s="19">
        <f>IF((BF119=1),BE119,0)</f>
        <v>0</v>
      </c>
      <c r="BK119" s="19">
        <f>IF((AJ117=1),S117,0)</f>
        <v>0</v>
      </c>
      <c r="BL119" s="19">
        <f>IF(AND(EXACT(AJ117,"1"),EXACT(AR119,"1")),(1),(0))</f>
        <v>0</v>
      </c>
      <c r="BM119" s="19">
        <f>IF((BL119=1),BK119,0)</f>
        <v>0</v>
      </c>
      <c r="BQ119" s="19">
        <f>IF((AJ117=1),S117,0)</f>
        <v>0</v>
      </c>
      <c r="BR119" s="19">
        <f>IF(AND(EXACT(AJ117,"1"),EXACT(AR119,"1")),(1),(0))</f>
        <v>0</v>
      </c>
      <c r="BS119" s="19">
        <f>IF((BL119=1),BK119,0)</f>
        <v>0</v>
      </c>
      <c r="BW119" s="19">
        <f>IF((AL117=1),S117,0)</f>
        <v>0</v>
      </c>
      <c r="BX119" s="19">
        <f>IF(AND(EXACT(AL117,"1"),EXACT(AR119,"1")),(1),(0))</f>
        <v>0</v>
      </c>
      <c r="BY119" s="19">
        <f>IF((BX119=1),BW119,0)</f>
        <v>0</v>
      </c>
      <c r="CC119" s="19">
        <f>IF((AM117=1),R117,0)</f>
        <v>0</v>
      </c>
      <c r="CD119" s="19">
        <f>IF(AND(EXACT(AM117,"1"),EXACT(AR119,"1")),(1),(0))</f>
        <v>0</v>
      </c>
      <c r="CE119" s="19">
        <f>IF((CD119=1),CC119,0)</f>
        <v>0</v>
      </c>
    </row>
    <row r="120" spans="1:83" ht="20.25">
      <c r="A120" s="12">
        <f>IF(AA120=0,0,IF(AA117=0,Z120,SUM(A117,AA120)))</f>
        <v>0</v>
      </c>
      <c r="B120" s="1157"/>
      <c r="C120" s="1157"/>
      <c r="D120" s="1157"/>
      <c r="E120" s="1182"/>
      <c r="F120" s="1424"/>
      <c r="G120" s="1424"/>
      <c r="H120" s="527"/>
      <c r="I120" s="528"/>
      <c r="J120" s="529"/>
      <c r="K120" s="530"/>
      <c r="L120" s="531"/>
      <c r="M120" s="532"/>
      <c r="N120" s="533"/>
      <c r="O120" s="532"/>
      <c r="P120" s="1182"/>
      <c r="Q120" s="1182"/>
      <c r="R120" s="534">
        <f t="shared" ref="R120" ca="1" si="140">IF(OR(EXACT(H120,""),EXACT(B120,""),EXACT(F121,""),EXACT(H121,""),EXACT(J121,""),EXACT(L121,""),EXACT(N121,""),EXACT(F120,""),EXACT(J120,""),EXACT(M120,""),EXACT(N120,""),EXACT(O120,""),EXACT(P120,"")),0,IF(OR(EXACT(P121,"مقاله پر استناد"),EXACT(P121,"مقاله داغ"),EXACT(P121,"مستخرج از برنامه تحقيقاتي ملي معطوف به رفع مشكلات كشور")),(1.5*(F121*N121*(IF(EXACT(J121,"نفر اول"),INDIRECT(CONCATENATE("'Data Base'!$d",H121)),INDIRECT(CONCATENATE("'Data Base'!$e",H121))))*((100-L121)/100))),IF(EXACT(P121,"Short Article"),(0.5*(F121*N121*(IF(EXACT(J121,"نفر اول"),INDIRECT(CONCATENATE("'Data Base'!$D",H121)),INDIRECT(CONCATENATE("'Data Base'!$E",H121))))*((100-L121)/100))),IF(EXACT(P121,"چاپ شده در نشريات بسيار پر استناد Nature و Science"),(2*(F121*N121*(IF(EXACT(J121,"نفر اول"),INDIRECT(CONCATENATE("'Data Base'!$D",H121)),INDIRECT(CONCATENATE("'Data Base'!$E",H121))))*((100-L121)/100))),IF(OR(EXACT(P121,"مستخرج از طرح پژوهشي محرمانه"),EXACT(P121,"مشترك با اساتيد دانشگاه خارج از كشور")),(1.2*(F121*N121*(IF(EXACT(J121,"نفر اول"),INDIRECT(CONCATENATE("'Data Base'!$D",H121)),INDIRECT(CONCATENATE("'Data Base'!$E",H121))))*((100-L121)/100))),(F121*N121*(IF(EXACT(J121,"نفر اول"),INDIRECT(CONCATENATE("'Data Base'!$d",H121)),INDIRECT(CONCATENATE("'Data Base'!$e",H121))))*((100-L121)/100)))))))</f>
        <v>0</v>
      </c>
      <c r="S120" s="535">
        <f t="shared" ref="S120" ca="1" si="141">IF(OR(EXACT(H120,""),EXACT(B120,""),EXACT(F122,""),EXACT(H122,""),EXACT(J122,""),EXACT(L122,""),EXACT(N122,""),EXACT(F120,""),EXACT(J120,""),EXACT(M120,""),EXACT(N120,""),EXACT(O120,""),EXACT(P120,"")),0,IF(OR(EXACT(P122,"مقاله پر استناد"),EXACT(P122,"مقاله داغ"),EXACT(P122,"مستخرج از برنامه تحقيقاتي ملي معطوف به رفع مشكلات كشور")),(1.5*(F122*N122*(IF(EXACT(J122,"نفر اول"),INDIRECT(CONCATENATE("'Data Base'!$d",H122)),INDIRECT(CONCATENATE("'Data Base'!$E",H122))))*((100-L122)/100))),IF(EXACT(P122,"Short Article"),(0.5*(F122*N122*(IF(EXACT(J122,"نفر اول"),INDIRECT(CONCATENATE("'Data Base'!$D",H122)),INDIRECT(CONCATENATE("'Data Base'!$E",H122))))*((100-L122)/100))),IF(EXACT(P122,"چاپ شده در نشريات بسيار پر استناد Nature و Science"),(2*(F122*N122*(IF(EXACT(J122,"نفر اول"),INDIRECT(CONCATENATE("'Data Base'!$D",H122)),INDIRECT(CONCATENATE("'Data Base'!$E",H122))))*((100-L122)/100))),IF(OR(EXACT(P122,"مستخرج از طرح پژوهشي محرمانه"),EXACT(P122,"مشترك با اساتيد دانشگاه خارج از كشور")),(1.2*(F122*N122*(IF(EXACT(J122,"نفر اول"),INDIRECT(CONCATENATE("'Data Base'!$D",H122)),INDIRECT(CONCATENATE("'Data Base'!$E",H122))))*((100-L122)/100))),(F122*N122*(IF(EXACT(J122,"نفر اول"),INDIRECT(CONCATENATE("'Data Base'!$D",H122)),INDIRECT(CONCATENATE("'Data Base'!$E",H122))))*((100-L122)/100)))))))</f>
        <v>0</v>
      </c>
      <c r="T120" s="147"/>
      <c r="U120" s="1414"/>
      <c r="Z120" s="19">
        <f>SUM(Z117,AA120)</f>
        <v>0</v>
      </c>
      <c r="AA120" s="19">
        <f>IF(OR(OR(B120="",F120="",H120="",J120="",P120=""),AND(M120="",O120="")),0,1)</f>
        <v>0</v>
      </c>
      <c r="AB120" s="19">
        <f t="shared" ref="AB120" ca="1" si="142">IF(AND(AA120=1,S120&gt;0),1,0)</f>
        <v>0</v>
      </c>
      <c r="AC120" s="19">
        <f t="shared" ref="AC120" ca="1" si="143">IF(AND(AA120=1,S120&lt;1),1,0)</f>
        <v>0</v>
      </c>
      <c r="AD120" s="19">
        <f ca="1">IF(AND(AA120=1,S120&gt;=1,AJ120=1),1,0)</f>
        <v>0</v>
      </c>
      <c r="AE120" s="19">
        <f ca="1">IF(AD120=1,S120,0)</f>
        <v>0</v>
      </c>
      <c r="AF120" s="19">
        <f ca="1">IF(AND(AA120=1,S120&gt;=1,AJ120=1,AR122=1),1,0)</f>
        <v>0</v>
      </c>
      <c r="AG120" s="19">
        <f ca="1">IF(AF120=1,S120,0)</f>
        <v>0</v>
      </c>
      <c r="AH120" s="19">
        <f>IF(OR(EXACT(H120,"JCR-Q1"),EXACT(H120,"JCR-Q2")),(1),(0))</f>
        <v>0</v>
      </c>
      <c r="AI120" s="19">
        <f>IF(OR(EXACT(H120,"JCR-Q1"),EXACT(H120,"JCR-Q2"),EXACT(H120,"JCR-Q3")),(1),(0))</f>
        <v>0</v>
      </c>
      <c r="AJ120" s="19">
        <f>IF(OR(EXACT(H120,"JCR-Q1"),EXACT(H120,"JCR-Q2"),EXACT(H120,"JCR-Q3"),EXACT(H120,"JCR-Q4")),(1),(0))</f>
        <v>0</v>
      </c>
      <c r="AK120" s="19">
        <f>IF(OR(EXACT(H120,"JCR-Q1"),EXACT(H120,"JCR-Q2"),EXACT(H120,"JCR-Q3"),EXACT(H120,"JCR-Q4"),EXACT(H120,"WOS")),(1),(0))</f>
        <v>0</v>
      </c>
      <c r="AL120" s="19">
        <f>IF(OR(EXACT(H120,"JCR-Q1"),EXACT(H120,"JCR-Q2"),EXACT(H120,"JCR-Q3"),EXACT(H120,"JCR-Q4"),EXACT(H120,"WOS"),EXACT(H120,"Scopus")),(1),(0))</f>
        <v>0</v>
      </c>
      <c r="AM120" s="19">
        <f>IF(OR(EXACT(H120,'Data Base'!$B$21),EXACT(H120,'Data Base'!$B$22)),(1),(0))</f>
        <v>0</v>
      </c>
    </row>
    <row r="121" spans="1:83" ht="20.25" customHeight="1">
      <c r="A121" s="1416" t="s">
        <v>29</v>
      </c>
      <c r="B121" s="1417"/>
      <c r="C121" s="1417"/>
      <c r="D121" s="1418"/>
      <c r="E121" s="514" t="s">
        <v>1001</v>
      </c>
      <c r="F121" s="515"/>
      <c r="G121" s="516" t="s">
        <v>801</v>
      </c>
      <c r="H121" s="517"/>
      <c r="I121" s="516" t="s">
        <v>1002</v>
      </c>
      <c r="J121" s="518"/>
      <c r="K121" s="516" t="s">
        <v>1003</v>
      </c>
      <c r="L121" s="519"/>
      <c r="M121" s="516" t="s">
        <v>1004</v>
      </c>
      <c r="N121" s="520"/>
      <c r="O121" s="1266" t="s">
        <v>55</v>
      </c>
      <c r="P121" s="1419"/>
      <c r="Q121" s="1419"/>
      <c r="R121" s="1419"/>
      <c r="S121" s="1419"/>
      <c r="T121" s="1419"/>
      <c r="U121" s="1415"/>
      <c r="AN121" s="19">
        <f>IF(AND(AA120=1,EXACT(J121,"نفر اول")),(1),(0))</f>
        <v>0</v>
      </c>
      <c r="AO121" s="19">
        <f>IF(AN121=1,R120,0)</f>
        <v>0</v>
      </c>
      <c r="AP121" s="19">
        <f>IF(AND(AA120=1,EXACT(J121,"همكار")),(1),(0))</f>
        <v>0</v>
      </c>
      <c r="AQ121" s="19">
        <f>IF(AP121=1,R120,0)</f>
        <v>0</v>
      </c>
      <c r="AV121" s="19">
        <f>IF((AH120=1),R120,0)</f>
        <v>0</v>
      </c>
      <c r="AW121" s="19">
        <f>IF(AND(EXACT(AN121,"1"),EXACT(AH120,"1")),(1),(0))</f>
        <v>0</v>
      </c>
      <c r="AX121" s="19">
        <f>IF((AW121=1),AV121,0)</f>
        <v>0</v>
      </c>
      <c r="BB121" s="19">
        <f>IF((AI120=1),R120,0)</f>
        <v>0</v>
      </c>
      <c r="BC121" s="19">
        <f>IF(AND(EXACT(AI120,"1"),EXACT(AN121,"1")),(1),(0))</f>
        <v>0</v>
      </c>
      <c r="BD121" s="19">
        <f>IF((BC121=1),BB121,0)</f>
        <v>0</v>
      </c>
      <c r="BH121" s="19">
        <f>IF((AJ120=1),R120,0)</f>
        <v>0</v>
      </c>
      <c r="BI121" s="19">
        <f>IF(AND(EXACT(AJ120,"1"),EXACT(AN121,"1")),(1),(0))</f>
        <v>0</v>
      </c>
      <c r="BJ121" s="19">
        <f>IF((BI121=1),BH121,0)</f>
        <v>0</v>
      </c>
      <c r="BN121" s="19">
        <f>IF((AK120=1),R120,0)</f>
        <v>0</v>
      </c>
      <c r="BO121" s="19">
        <f>IF(AND(EXACT(AK120,"1"),EXACT(AN121,"1")),(1),(0))</f>
        <v>0</v>
      </c>
      <c r="BP121" s="19">
        <f>IF((BO121=1),BN121,0)</f>
        <v>0</v>
      </c>
      <c r="BT121" s="19">
        <f>IF((AL120=1),R120,0)</f>
        <v>0</v>
      </c>
      <c r="BU121" s="19">
        <f>IF(AND(EXACT(AN121,"1"),EXACT(AL120,"1")),(1),(0))</f>
        <v>0</v>
      </c>
      <c r="BV121" s="19">
        <f>IF((BU121=1),BT121,0)</f>
        <v>0</v>
      </c>
      <c r="BZ121" s="19">
        <f>IF((AM120=1),R120,0)</f>
        <v>0</v>
      </c>
      <c r="CA121" s="19">
        <f>IF(AND(EXACT(AM120,"1"),EXACT(AN121,"1")),(1),(0))</f>
        <v>0</v>
      </c>
      <c r="CB121" s="19">
        <f>IF((CA121=1),BZ121,0)</f>
        <v>0</v>
      </c>
    </row>
    <row r="122" spans="1:83" ht="20.25">
      <c r="A122" s="1420" t="s">
        <v>30</v>
      </c>
      <c r="B122" s="1421"/>
      <c r="C122" s="1421"/>
      <c r="D122" s="1422"/>
      <c r="E122" s="536" t="s">
        <v>1001</v>
      </c>
      <c r="F122" s="537"/>
      <c r="G122" s="538" t="s">
        <v>801</v>
      </c>
      <c r="H122" s="539"/>
      <c r="I122" s="538" t="s">
        <v>1002</v>
      </c>
      <c r="J122" s="525"/>
      <c r="K122" s="538" t="s">
        <v>1003</v>
      </c>
      <c r="L122" s="540"/>
      <c r="M122" s="538" t="s">
        <v>1004</v>
      </c>
      <c r="N122" s="541"/>
      <c r="O122" s="1266"/>
      <c r="P122" s="1423"/>
      <c r="Q122" s="1423"/>
      <c r="R122" s="1423"/>
      <c r="S122" s="1423"/>
      <c r="T122" s="1423"/>
      <c r="U122" s="1415"/>
      <c r="AR122" s="19">
        <f>IF(AND(AA120=1,EXACT(J122,"نفر اول")),(1),(0))</f>
        <v>0</v>
      </c>
      <c r="AS122" s="19">
        <f>IF(AR122=1,S120,0)</f>
        <v>0</v>
      </c>
      <c r="AT122" s="19">
        <f>IF(AND(AA120=1,EXACT(J122,"همكار")),(1),(0))</f>
        <v>0</v>
      </c>
      <c r="AU122" s="19">
        <f>IF(AT122=1,S120,0)</f>
        <v>0</v>
      </c>
      <c r="AY122" s="19">
        <f>IF((AH120=1),S120,0)</f>
        <v>0</v>
      </c>
      <c r="AZ122" s="19">
        <f>IF(AND(EXACT(AR122,"1"),EXACT(AH120,"1")),(1),(0))</f>
        <v>0</v>
      </c>
      <c r="BA122" s="19">
        <f>IF((AZ122=1),AY122,0)</f>
        <v>0</v>
      </c>
      <c r="BE122" s="19">
        <f>IF((AI120=1),S120,0)</f>
        <v>0</v>
      </c>
      <c r="BF122" s="19">
        <f>IF(AND(EXACT(AI120,"1"),EXACT(AR122,"1")),(1),(0))</f>
        <v>0</v>
      </c>
      <c r="BG122" s="19">
        <f>IF((BF122=1),BE122,0)</f>
        <v>0</v>
      </c>
      <c r="BK122" s="19">
        <f>IF((AJ120=1),S120,0)</f>
        <v>0</v>
      </c>
      <c r="BL122" s="19">
        <f>IF(AND(EXACT(AJ120,"1"),EXACT(AR122,"1")),(1),(0))</f>
        <v>0</v>
      </c>
      <c r="BM122" s="19">
        <f>IF((BL122=1),BK122,0)</f>
        <v>0</v>
      </c>
      <c r="BQ122" s="19">
        <f>IF((AJ120=1),S120,0)</f>
        <v>0</v>
      </c>
      <c r="BR122" s="19">
        <f>IF(AND(EXACT(AJ120,"1"),EXACT(AR122,"1")),(1),(0))</f>
        <v>0</v>
      </c>
      <c r="BS122" s="19">
        <f>IF((BL122=1),BK122,0)</f>
        <v>0</v>
      </c>
      <c r="BW122" s="19">
        <f>IF((AL120=1),S120,0)</f>
        <v>0</v>
      </c>
      <c r="BX122" s="19">
        <f>IF(AND(EXACT(AL120,"1"),EXACT(AR122,"1")),(1),(0))</f>
        <v>0</v>
      </c>
      <c r="BY122" s="19">
        <f>IF((BX122=1),BW122,0)</f>
        <v>0</v>
      </c>
      <c r="CC122" s="19">
        <f>IF((AM120=1),R120,0)</f>
        <v>0</v>
      </c>
      <c r="CD122" s="19">
        <f>IF(AND(EXACT(AM120,"1"),EXACT(AR122,"1")),(1),(0))</f>
        <v>0</v>
      </c>
      <c r="CE122" s="19">
        <f>IF((CD122=1),CC122,0)</f>
        <v>0</v>
      </c>
    </row>
    <row r="123" spans="1:83" ht="20.25">
      <c r="A123" s="12">
        <f>IF(AA123=0,0,IF(AA120=0,Z123,SUM(A120,AA123)))</f>
        <v>0</v>
      </c>
      <c r="B123" s="1157"/>
      <c r="C123" s="1157"/>
      <c r="D123" s="1157"/>
      <c r="E123" s="1182"/>
      <c r="F123" s="1424"/>
      <c r="G123" s="1424"/>
      <c r="H123" s="527"/>
      <c r="I123" s="528"/>
      <c r="J123" s="529"/>
      <c r="K123" s="530"/>
      <c r="L123" s="531"/>
      <c r="M123" s="532"/>
      <c r="N123" s="533"/>
      <c r="O123" s="532"/>
      <c r="P123" s="1182"/>
      <c r="Q123" s="1182"/>
      <c r="R123" s="534">
        <f t="shared" ref="R123" ca="1" si="144">IF(OR(EXACT(H123,""),EXACT(B123,""),EXACT(F124,""),EXACT(H124,""),EXACT(J124,""),EXACT(L124,""),EXACT(N124,""),EXACT(F123,""),EXACT(J123,""),EXACT(M123,""),EXACT(N123,""),EXACT(O123,""),EXACT(P123,"")),0,IF(OR(EXACT(P124,"مقاله پر استناد"),EXACT(P124,"مقاله داغ"),EXACT(P124,"مستخرج از برنامه تحقيقاتي ملي معطوف به رفع مشكلات كشور")),(1.5*(F124*N124*(IF(EXACT(J124,"نفر اول"),INDIRECT(CONCATENATE("'Data Base'!$d",H124)),INDIRECT(CONCATENATE("'Data Base'!$e",H124))))*((100-L124)/100))),IF(EXACT(P124,"Short Article"),(0.5*(F124*N124*(IF(EXACT(J124,"نفر اول"),INDIRECT(CONCATENATE("'Data Base'!$D",H124)),INDIRECT(CONCATENATE("'Data Base'!$E",H124))))*((100-L124)/100))),IF(EXACT(P124,"چاپ شده در نشريات بسيار پر استناد Nature و Science"),(2*(F124*N124*(IF(EXACT(J124,"نفر اول"),INDIRECT(CONCATENATE("'Data Base'!$D",H124)),INDIRECT(CONCATENATE("'Data Base'!$E",H124))))*((100-L124)/100))),IF(OR(EXACT(P124,"مستخرج از طرح پژوهشي محرمانه"),EXACT(P124,"مشترك با اساتيد دانشگاه خارج از كشور")),(1.2*(F124*N124*(IF(EXACT(J124,"نفر اول"),INDIRECT(CONCATENATE("'Data Base'!$D",H124)),INDIRECT(CONCATENATE("'Data Base'!$E",H124))))*((100-L124)/100))),(F124*N124*(IF(EXACT(J124,"نفر اول"),INDIRECT(CONCATENATE("'Data Base'!$d",H124)),INDIRECT(CONCATENATE("'Data Base'!$e",H124))))*((100-L124)/100)))))))</f>
        <v>0</v>
      </c>
      <c r="S123" s="535">
        <f t="shared" ref="S123" ca="1" si="145">IF(OR(EXACT(H123,""),EXACT(B123,""),EXACT(F125,""),EXACT(H125,""),EXACT(J125,""),EXACT(L125,""),EXACT(N125,""),EXACT(F123,""),EXACT(J123,""),EXACT(M123,""),EXACT(N123,""),EXACT(O123,""),EXACT(P123,"")),0,IF(OR(EXACT(P125,"مقاله پر استناد"),EXACT(P125,"مقاله داغ"),EXACT(P125,"مستخرج از برنامه تحقيقاتي ملي معطوف به رفع مشكلات كشور")),(1.5*(F125*N125*(IF(EXACT(J125,"نفر اول"),INDIRECT(CONCATENATE("'Data Base'!$d",H125)),INDIRECT(CONCATENATE("'Data Base'!$E",H125))))*((100-L125)/100))),IF(EXACT(P125,"Short Article"),(0.5*(F125*N125*(IF(EXACT(J125,"نفر اول"),INDIRECT(CONCATENATE("'Data Base'!$D",H125)),INDIRECT(CONCATENATE("'Data Base'!$E",H125))))*((100-L125)/100))),IF(EXACT(P125,"چاپ شده در نشريات بسيار پر استناد Nature و Science"),(2*(F125*N125*(IF(EXACT(J125,"نفر اول"),INDIRECT(CONCATENATE("'Data Base'!$D",H125)),INDIRECT(CONCATENATE("'Data Base'!$E",H125))))*((100-L125)/100))),IF(OR(EXACT(P125,"مستخرج از طرح پژوهشي محرمانه"),EXACT(P125,"مشترك با اساتيد دانشگاه خارج از كشور")),(1.2*(F125*N125*(IF(EXACT(J125,"نفر اول"),INDIRECT(CONCATENATE("'Data Base'!$D",H125)),INDIRECT(CONCATENATE("'Data Base'!$E",H125))))*((100-L125)/100))),(F125*N125*(IF(EXACT(J125,"نفر اول"),INDIRECT(CONCATENATE("'Data Base'!$D",H125)),INDIRECT(CONCATENATE("'Data Base'!$E",H125))))*((100-L125)/100)))))))</f>
        <v>0</v>
      </c>
      <c r="T123" s="147"/>
      <c r="U123" s="1414"/>
      <c r="Z123" s="19">
        <f>SUM(Z120,AA123)</f>
        <v>0</v>
      </c>
      <c r="AA123" s="19">
        <f>IF(OR(OR(B123="",F123="",H123="",J123="",P123=""),AND(M123="",O123="")),0,1)</f>
        <v>0</v>
      </c>
      <c r="AB123" s="19">
        <f t="shared" ref="AB123" ca="1" si="146">IF(AND(AA123=1,S123&gt;0),1,0)</f>
        <v>0</v>
      </c>
      <c r="AC123" s="19">
        <f t="shared" ref="AC123" ca="1" si="147">IF(AND(AA123=1,S123&lt;1),1,0)</f>
        <v>0</v>
      </c>
      <c r="AD123" s="19">
        <f ca="1">IF(AND(AA123=1,S123&gt;=1,AJ123=1),1,0)</f>
        <v>0</v>
      </c>
      <c r="AE123" s="19">
        <f ca="1">IF(AD123=1,S123,0)</f>
        <v>0</v>
      </c>
      <c r="AF123" s="19">
        <f ca="1">IF(AND(AA123=1,S123&gt;=1,AJ123=1,AR125=1),1,0)</f>
        <v>0</v>
      </c>
      <c r="AG123" s="19">
        <f ca="1">IF(AF123=1,S123,0)</f>
        <v>0</v>
      </c>
      <c r="AH123" s="19">
        <f>IF(OR(EXACT(H123,"JCR-Q1"),EXACT(H123,"JCR-Q2")),(1),(0))</f>
        <v>0</v>
      </c>
      <c r="AI123" s="19">
        <f>IF(OR(EXACT(H123,"JCR-Q1"),EXACT(H123,"JCR-Q2"),EXACT(H123,"JCR-Q3")),(1),(0))</f>
        <v>0</v>
      </c>
      <c r="AJ123" s="19">
        <f>IF(OR(EXACT(H123,"JCR-Q1"),EXACT(H123,"JCR-Q2"),EXACT(H123,"JCR-Q3"),EXACT(H123,"JCR-Q4")),(1),(0))</f>
        <v>0</v>
      </c>
      <c r="AK123" s="19">
        <f>IF(OR(EXACT(H123,"JCR-Q1"),EXACT(H123,"JCR-Q2"),EXACT(H123,"JCR-Q3"),EXACT(H123,"JCR-Q4"),EXACT(H123,"WOS")),(1),(0))</f>
        <v>0</v>
      </c>
      <c r="AL123" s="19">
        <f>IF(OR(EXACT(H123,"JCR-Q1"),EXACT(H123,"JCR-Q2"),EXACT(H123,"JCR-Q3"),EXACT(H123,"JCR-Q4"),EXACT(H123,"WOS"),EXACT(H123,"Scopus")),(1),(0))</f>
        <v>0</v>
      </c>
      <c r="AM123" s="19">
        <f>IF(OR(EXACT(H123,'Data Base'!$B$21),EXACT(H123,'Data Base'!$B$22)),(1),(0))</f>
        <v>0</v>
      </c>
    </row>
    <row r="124" spans="1:83" ht="20.25" customHeight="1">
      <c r="A124" s="1416" t="s">
        <v>29</v>
      </c>
      <c r="B124" s="1417"/>
      <c r="C124" s="1417"/>
      <c r="D124" s="1418"/>
      <c r="E124" s="514" t="s">
        <v>1001</v>
      </c>
      <c r="F124" s="515"/>
      <c r="G124" s="516" t="s">
        <v>801</v>
      </c>
      <c r="H124" s="517"/>
      <c r="I124" s="516" t="s">
        <v>1002</v>
      </c>
      <c r="J124" s="518"/>
      <c r="K124" s="516" t="s">
        <v>1003</v>
      </c>
      <c r="L124" s="519"/>
      <c r="M124" s="516" t="s">
        <v>1004</v>
      </c>
      <c r="N124" s="520"/>
      <c r="O124" s="1266" t="s">
        <v>55</v>
      </c>
      <c r="P124" s="1419"/>
      <c r="Q124" s="1419"/>
      <c r="R124" s="1419"/>
      <c r="S124" s="1419"/>
      <c r="T124" s="1419"/>
      <c r="U124" s="1415"/>
      <c r="AN124" s="19">
        <f>IF(AND(AA123=1,EXACT(J124,"نفر اول")),(1),(0))</f>
        <v>0</v>
      </c>
      <c r="AO124" s="19">
        <f>IF(AN124=1,R123,0)</f>
        <v>0</v>
      </c>
      <c r="AP124" s="19">
        <f>IF(AND(AA123=1,EXACT(J124,"همكار")),(1),(0))</f>
        <v>0</v>
      </c>
      <c r="AQ124" s="19">
        <f>IF(AP124=1,R123,0)</f>
        <v>0</v>
      </c>
      <c r="AV124" s="19">
        <f>IF((AH123=1),R123,0)</f>
        <v>0</v>
      </c>
      <c r="AW124" s="19">
        <f>IF(AND(EXACT(AN124,"1"),EXACT(AH123,"1")),(1),(0))</f>
        <v>0</v>
      </c>
      <c r="AX124" s="19">
        <f>IF((AW124=1),AV124,0)</f>
        <v>0</v>
      </c>
      <c r="BB124" s="19">
        <f>IF((AI123=1),R123,0)</f>
        <v>0</v>
      </c>
      <c r="BC124" s="19">
        <f>IF(AND(EXACT(AI123,"1"),EXACT(AN124,"1")),(1),(0))</f>
        <v>0</v>
      </c>
      <c r="BD124" s="19">
        <f>IF((BC124=1),BB124,0)</f>
        <v>0</v>
      </c>
      <c r="BH124" s="19">
        <f>IF((AJ123=1),R123,0)</f>
        <v>0</v>
      </c>
      <c r="BI124" s="19">
        <f>IF(AND(EXACT(AJ123,"1"),EXACT(AN124,"1")),(1),(0))</f>
        <v>0</v>
      </c>
      <c r="BJ124" s="19">
        <f>IF((BI124=1),BH124,0)</f>
        <v>0</v>
      </c>
      <c r="BN124" s="19">
        <f>IF((AK123=1),R123,0)</f>
        <v>0</v>
      </c>
      <c r="BO124" s="19">
        <f>IF(AND(EXACT(AK123,"1"),EXACT(AN124,"1")),(1),(0))</f>
        <v>0</v>
      </c>
      <c r="BP124" s="19">
        <f>IF((BO124=1),BN124,0)</f>
        <v>0</v>
      </c>
      <c r="BT124" s="19">
        <f>IF((AL123=1),R123,0)</f>
        <v>0</v>
      </c>
      <c r="BU124" s="19">
        <f>IF(AND(EXACT(AN124,"1"),EXACT(AL123,"1")),(1),(0))</f>
        <v>0</v>
      </c>
      <c r="BV124" s="19">
        <f>IF((BU124=1),BT124,0)</f>
        <v>0</v>
      </c>
      <c r="BZ124" s="19">
        <f>IF((AM123=1),R123,0)</f>
        <v>0</v>
      </c>
      <c r="CA124" s="19">
        <f>IF(AND(EXACT(AM123,"1"),EXACT(AN124,"1")),(1),(0))</f>
        <v>0</v>
      </c>
      <c r="CB124" s="19">
        <f>IF((CA124=1),BZ124,0)</f>
        <v>0</v>
      </c>
    </row>
    <row r="125" spans="1:83" ht="20.25">
      <c r="A125" s="1420" t="s">
        <v>30</v>
      </c>
      <c r="B125" s="1421"/>
      <c r="C125" s="1421"/>
      <c r="D125" s="1422"/>
      <c r="E125" s="536" t="s">
        <v>1001</v>
      </c>
      <c r="F125" s="537"/>
      <c r="G125" s="538" t="s">
        <v>801</v>
      </c>
      <c r="H125" s="539"/>
      <c r="I125" s="538" t="s">
        <v>1002</v>
      </c>
      <c r="J125" s="525"/>
      <c r="K125" s="538" t="s">
        <v>1003</v>
      </c>
      <c r="L125" s="540"/>
      <c r="M125" s="538" t="s">
        <v>1004</v>
      </c>
      <c r="N125" s="541"/>
      <c r="O125" s="1266"/>
      <c r="P125" s="1423"/>
      <c r="Q125" s="1423"/>
      <c r="R125" s="1423"/>
      <c r="S125" s="1423"/>
      <c r="T125" s="1423"/>
      <c r="U125" s="1415"/>
      <c r="AR125" s="19">
        <f>IF(AND(AA123=1,EXACT(J125,"نفر اول")),(1),(0))</f>
        <v>0</v>
      </c>
      <c r="AS125" s="19">
        <f>IF(AR125=1,S123,0)</f>
        <v>0</v>
      </c>
      <c r="AT125" s="19">
        <f>IF(AND(AA123=1,EXACT(J125,"همكار")),(1),(0))</f>
        <v>0</v>
      </c>
      <c r="AU125" s="19">
        <f>IF(AT125=1,S123,0)</f>
        <v>0</v>
      </c>
      <c r="AY125" s="19">
        <f>IF((AH123=1),S123,0)</f>
        <v>0</v>
      </c>
      <c r="AZ125" s="19">
        <f>IF(AND(EXACT(AR125,"1"),EXACT(AH123,"1")),(1),(0))</f>
        <v>0</v>
      </c>
      <c r="BA125" s="19">
        <f>IF((AZ125=1),AY125,0)</f>
        <v>0</v>
      </c>
      <c r="BE125" s="19">
        <f>IF((AI123=1),S123,0)</f>
        <v>0</v>
      </c>
      <c r="BF125" s="19">
        <f>IF(AND(EXACT(AI123,"1"),EXACT(AR125,"1")),(1),(0))</f>
        <v>0</v>
      </c>
      <c r="BG125" s="19">
        <f>IF((BF125=1),BE125,0)</f>
        <v>0</v>
      </c>
      <c r="BK125" s="19">
        <f>IF((AJ123=1),S123,0)</f>
        <v>0</v>
      </c>
      <c r="BL125" s="19">
        <f>IF(AND(EXACT(AJ123,"1"),EXACT(AR125,"1")),(1),(0))</f>
        <v>0</v>
      </c>
      <c r="BM125" s="19">
        <f>IF((BL125=1),BK125,0)</f>
        <v>0</v>
      </c>
      <c r="BQ125" s="19">
        <f>IF((AJ123=1),S123,0)</f>
        <v>0</v>
      </c>
      <c r="BR125" s="19">
        <f>IF(AND(EXACT(AJ123,"1"),EXACT(AR125,"1")),(1),(0))</f>
        <v>0</v>
      </c>
      <c r="BS125" s="19">
        <f>IF((BL125=1),BK125,0)</f>
        <v>0</v>
      </c>
      <c r="BW125" s="19">
        <f>IF((AL123=1),S123,0)</f>
        <v>0</v>
      </c>
      <c r="BX125" s="19">
        <f>IF(AND(EXACT(AL123,"1"),EXACT(AR125,"1")),(1),(0))</f>
        <v>0</v>
      </c>
      <c r="BY125" s="19">
        <f>IF((BX125=1),BW125,0)</f>
        <v>0</v>
      </c>
      <c r="CC125" s="19">
        <f>IF((AM123=1),R123,0)</f>
        <v>0</v>
      </c>
      <c r="CD125" s="19">
        <f>IF(AND(EXACT(AM123,"1"),EXACT(AR125,"1")),(1),(0))</f>
        <v>0</v>
      </c>
      <c r="CE125" s="19">
        <f>IF((CD125=1),CC125,0)</f>
        <v>0</v>
      </c>
    </row>
    <row r="126" spans="1:83" ht="20.25">
      <c r="A126" s="12">
        <f>IF(AA126=0,0,IF(AA123=0,Z126,SUM(A123,AA126)))</f>
        <v>0</v>
      </c>
      <c r="B126" s="1157"/>
      <c r="C126" s="1157"/>
      <c r="D126" s="1157"/>
      <c r="E126" s="1182"/>
      <c r="F126" s="1424"/>
      <c r="G126" s="1424"/>
      <c r="H126" s="527"/>
      <c r="I126" s="528"/>
      <c r="J126" s="529"/>
      <c r="K126" s="530"/>
      <c r="L126" s="531"/>
      <c r="M126" s="532"/>
      <c r="N126" s="533"/>
      <c r="O126" s="532"/>
      <c r="P126" s="1182"/>
      <c r="Q126" s="1182"/>
      <c r="R126" s="534">
        <f t="shared" ref="R126" ca="1" si="148">IF(OR(EXACT(H126,""),EXACT(B126,""),EXACT(F127,""),EXACT(H127,""),EXACT(J127,""),EXACT(L127,""),EXACT(N127,""),EXACT(F126,""),EXACT(J126,""),EXACT(M126,""),EXACT(N126,""),EXACT(O126,""),EXACT(P126,"")),0,IF(OR(EXACT(P127,"مقاله پر استناد"),EXACT(P127,"مقاله داغ"),EXACT(P127,"مستخرج از برنامه تحقيقاتي ملي معطوف به رفع مشكلات كشور")),(1.5*(F127*N127*(IF(EXACT(J127,"نفر اول"),INDIRECT(CONCATENATE("'Data Base'!$d",H127)),INDIRECT(CONCATENATE("'Data Base'!$e",H127))))*((100-L127)/100))),IF(EXACT(P127,"Short Article"),(0.5*(F127*N127*(IF(EXACT(J127,"نفر اول"),INDIRECT(CONCATENATE("'Data Base'!$D",H127)),INDIRECT(CONCATENATE("'Data Base'!$E",H127))))*((100-L127)/100))),IF(EXACT(P127,"چاپ شده در نشريات بسيار پر استناد Nature و Science"),(2*(F127*N127*(IF(EXACT(J127,"نفر اول"),INDIRECT(CONCATENATE("'Data Base'!$D",H127)),INDIRECT(CONCATENATE("'Data Base'!$E",H127))))*((100-L127)/100))),IF(OR(EXACT(P127,"مستخرج از طرح پژوهشي محرمانه"),EXACT(P127,"مشترك با اساتيد دانشگاه خارج از كشور")),(1.2*(F127*N127*(IF(EXACT(J127,"نفر اول"),INDIRECT(CONCATENATE("'Data Base'!$D",H127)),INDIRECT(CONCATENATE("'Data Base'!$E",H127))))*((100-L127)/100))),(F127*N127*(IF(EXACT(J127,"نفر اول"),INDIRECT(CONCATENATE("'Data Base'!$d",H127)),INDIRECT(CONCATENATE("'Data Base'!$e",H127))))*((100-L127)/100)))))))</f>
        <v>0</v>
      </c>
      <c r="S126" s="535">
        <f t="shared" ref="S126" ca="1" si="149">IF(OR(EXACT(H126,""),EXACT(B126,""),EXACT(F128,""),EXACT(H128,""),EXACT(J128,""),EXACT(L128,""),EXACT(N128,""),EXACT(F126,""),EXACT(J126,""),EXACT(M126,""),EXACT(N126,""),EXACT(O126,""),EXACT(P126,"")),0,IF(OR(EXACT(P128,"مقاله پر استناد"),EXACT(P128,"مقاله داغ"),EXACT(P128,"مستخرج از برنامه تحقيقاتي ملي معطوف به رفع مشكلات كشور")),(1.5*(F128*N128*(IF(EXACT(J128,"نفر اول"),INDIRECT(CONCATENATE("'Data Base'!$d",H128)),INDIRECT(CONCATENATE("'Data Base'!$E",H128))))*((100-L128)/100))),IF(EXACT(P128,"Short Article"),(0.5*(F128*N128*(IF(EXACT(J128,"نفر اول"),INDIRECT(CONCATENATE("'Data Base'!$D",H128)),INDIRECT(CONCATENATE("'Data Base'!$E",H128))))*((100-L128)/100))),IF(EXACT(P128,"چاپ شده در نشريات بسيار پر استناد Nature و Science"),(2*(F128*N128*(IF(EXACT(J128,"نفر اول"),INDIRECT(CONCATENATE("'Data Base'!$D",H128)),INDIRECT(CONCATENATE("'Data Base'!$E",H128))))*((100-L128)/100))),IF(OR(EXACT(P128,"مستخرج از طرح پژوهشي محرمانه"),EXACT(P128,"مشترك با اساتيد دانشگاه خارج از كشور")),(1.2*(F128*N128*(IF(EXACT(J128,"نفر اول"),INDIRECT(CONCATENATE("'Data Base'!$D",H128)),INDIRECT(CONCATENATE("'Data Base'!$E",H128))))*((100-L128)/100))),(F128*N128*(IF(EXACT(J128,"نفر اول"),INDIRECT(CONCATENATE("'Data Base'!$D",H128)),INDIRECT(CONCATENATE("'Data Base'!$E",H128))))*((100-L128)/100)))))))</f>
        <v>0</v>
      </c>
      <c r="T126" s="147"/>
      <c r="U126" s="1414"/>
      <c r="Z126" s="19">
        <f>SUM(Z123,AA126)</f>
        <v>0</v>
      </c>
      <c r="AA126" s="19">
        <f>IF(OR(OR(B126="",F126="",H126="",J126="",P126=""),AND(M126="",O126="")),0,1)</f>
        <v>0</v>
      </c>
      <c r="AB126" s="19">
        <f t="shared" ref="AB126" ca="1" si="150">IF(AND(AA126=1,S126&gt;0),1,0)</f>
        <v>0</v>
      </c>
      <c r="AC126" s="19">
        <f t="shared" ref="AC126" ca="1" si="151">IF(AND(AA126=1,S126&lt;1),1,0)</f>
        <v>0</v>
      </c>
      <c r="AD126" s="19">
        <f ca="1">IF(AND(AA126=1,S126&gt;=1,AJ126=1),1,0)</f>
        <v>0</v>
      </c>
      <c r="AE126" s="19">
        <f ca="1">IF(AD126=1,S126,0)</f>
        <v>0</v>
      </c>
      <c r="AF126" s="19">
        <f ca="1">IF(AND(AA126=1,S126&gt;=1,AJ126=1,AR128=1),1,0)</f>
        <v>0</v>
      </c>
      <c r="AG126" s="19">
        <f ca="1">IF(AF126=1,S126,0)</f>
        <v>0</v>
      </c>
      <c r="AH126" s="19">
        <f>IF(OR(EXACT(H126,"JCR-Q1"),EXACT(H126,"JCR-Q2")),(1),(0))</f>
        <v>0</v>
      </c>
      <c r="AI126" s="19">
        <f>IF(OR(EXACT(H126,"JCR-Q1"),EXACT(H126,"JCR-Q2"),EXACT(H126,"JCR-Q3")),(1),(0))</f>
        <v>0</v>
      </c>
      <c r="AJ126" s="19">
        <f>IF(OR(EXACT(H126,"JCR-Q1"),EXACT(H126,"JCR-Q2"),EXACT(H126,"JCR-Q3"),EXACT(H126,"JCR-Q4")),(1),(0))</f>
        <v>0</v>
      </c>
      <c r="AK126" s="19">
        <f>IF(OR(EXACT(H126,"JCR-Q1"),EXACT(H126,"JCR-Q2"),EXACT(H126,"JCR-Q3"),EXACT(H126,"JCR-Q4"),EXACT(H126,"WOS")),(1),(0))</f>
        <v>0</v>
      </c>
      <c r="AL126" s="19">
        <f>IF(OR(EXACT(H126,"JCR-Q1"),EXACT(H126,"JCR-Q2"),EXACT(H126,"JCR-Q3"),EXACT(H126,"JCR-Q4"),EXACT(H126,"WOS"),EXACT(H126,"Scopus")),(1),(0))</f>
        <v>0</v>
      </c>
      <c r="AM126" s="19">
        <f>IF(OR(EXACT(H126,'Data Base'!$B$21),EXACT(H126,'Data Base'!$B$22)),(1),(0))</f>
        <v>0</v>
      </c>
    </row>
    <row r="127" spans="1:83" ht="20.25" customHeight="1">
      <c r="A127" s="1416" t="s">
        <v>29</v>
      </c>
      <c r="B127" s="1417"/>
      <c r="C127" s="1417"/>
      <c r="D127" s="1418"/>
      <c r="E127" s="514" t="s">
        <v>1001</v>
      </c>
      <c r="F127" s="515"/>
      <c r="G127" s="516" t="s">
        <v>801</v>
      </c>
      <c r="H127" s="517"/>
      <c r="I127" s="516" t="s">
        <v>1002</v>
      </c>
      <c r="J127" s="518"/>
      <c r="K127" s="516" t="s">
        <v>1003</v>
      </c>
      <c r="L127" s="519"/>
      <c r="M127" s="516" t="s">
        <v>1004</v>
      </c>
      <c r="N127" s="520"/>
      <c r="O127" s="1266" t="s">
        <v>55</v>
      </c>
      <c r="P127" s="1419"/>
      <c r="Q127" s="1419"/>
      <c r="R127" s="1419"/>
      <c r="S127" s="1419"/>
      <c r="T127" s="1419"/>
      <c r="U127" s="1415"/>
      <c r="AN127" s="19">
        <f>IF(AND(AA126=1,EXACT(J127,"نفر اول")),(1),(0))</f>
        <v>0</v>
      </c>
      <c r="AO127" s="19">
        <f>IF(AN127=1,R126,0)</f>
        <v>0</v>
      </c>
      <c r="AP127" s="19">
        <f>IF(AND(AA126=1,EXACT(J127,"همكار")),(1),(0))</f>
        <v>0</v>
      </c>
      <c r="AQ127" s="19">
        <f>IF(AP127=1,R126,0)</f>
        <v>0</v>
      </c>
      <c r="AV127" s="19">
        <f>IF((AH126=1),R126,0)</f>
        <v>0</v>
      </c>
      <c r="AW127" s="19">
        <f>IF(AND(EXACT(AN127,"1"),EXACT(AH126,"1")),(1),(0))</f>
        <v>0</v>
      </c>
      <c r="AX127" s="19">
        <f>IF((AW127=1),AV127,0)</f>
        <v>0</v>
      </c>
      <c r="BB127" s="19">
        <f>IF((AI126=1),R126,0)</f>
        <v>0</v>
      </c>
      <c r="BC127" s="19">
        <f>IF(AND(EXACT(AI126,"1"),EXACT(AN127,"1")),(1),(0))</f>
        <v>0</v>
      </c>
      <c r="BD127" s="19">
        <f>IF((BC127=1),BB127,0)</f>
        <v>0</v>
      </c>
      <c r="BH127" s="19">
        <f>IF((AJ126=1),R126,0)</f>
        <v>0</v>
      </c>
      <c r="BI127" s="19">
        <f>IF(AND(EXACT(AJ126,"1"),EXACT(AN127,"1")),(1),(0))</f>
        <v>0</v>
      </c>
      <c r="BJ127" s="19">
        <f>IF((BI127=1),BH127,0)</f>
        <v>0</v>
      </c>
      <c r="BN127" s="19">
        <f>IF((AK126=1),R126,0)</f>
        <v>0</v>
      </c>
      <c r="BO127" s="19">
        <f>IF(AND(EXACT(AK126,"1"),EXACT(AN127,"1")),(1),(0))</f>
        <v>0</v>
      </c>
      <c r="BP127" s="19">
        <f>IF((BO127=1),BN127,0)</f>
        <v>0</v>
      </c>
      <c r="BT127" s="19">
        <f>IF((AL126=1),R126,0)</f>
        <v>0</v>
      </c>
      <c r="BU127" s="19">
        <f>IF(AND(EXACT(AN127,"1"),EXACT(AL126,"1")),(1),(0))</f>
        <v>0</v>
      </c>
      <c r="BV127" s="19">
        <f>IF((BU127=1),BT127,0)</f>
        <v>0</v>
      </c>
      <c r="BZ127" s="19">
        <f>IF((AM126=1),R126,0)</f>
        <v>0</v>
      </c>
      <c r="CA127" s="19">
        <f>IF(AND(EXACT(AM126,"1"),EXACT(AN127,"1")),(1),(0))</f>
        <v>0</v>
      </c>
      <c r="CB127" s="19">
        <f>IF((CA127=1),BZ127,0)</f>
        <v>0</v>
      </c>
    </row>
    <row r="128" spans="1:83" ht="20.25">
      <c r="A128" s="1420" t="s">
        <v>30</v>
      </c>
      <c r="B128" s="1421"/>
      <c r="C128" s="1421"/>
      <c r="D128" s="1422"/>
      <c r="E128" s="536" t="s">
        <v>1001</v>
      </c>
      <c r="F128" s="537"/>
      <c r="G128" s="538" t="s">
        <v>801</v>
      </c>
      <c r="H128" s="539"/>
      <c r="I128" s="538" t="s">
        <v>1002</v>
      </c>
      <c r="J128" s="525"/>
      <c r="K128" s="538" t="s">
        <v>1003</v>
      </c>
      <c r="L128" s="540"/>
      <c r="M128" s="538" t="s">
        <v>1004</v>
      </c>
      <c r="N128" s="541"/>
      <c r="O128" s="1266"/>
      <c r="P128" s="1423"/>
      <c r="Q128" s="1423"/>
      <c r="R128" s="1423"/>
      <c r="S128" s="1423"/>
      <c r="T128" s="1423"/>
      <c r="U128" s="1415"/>
      <c r="AR128" s="19">
        <f>IF(AND(AA126=1,EXACT(J128,"نفر اول")),(1),(0))</f>
        <v>0</v>
      </c>
      <c r="AS128" s="19">
        <f>IF(AR128=1,S126,0)</f>
        <v>0</v>
      </c>
      <c r="AT128" s="19">
        <f>IF(AND(AA126=1,EXACT(J128,"همكار")),(1),(0))</f>
        <v>0</v>
      </c>
      <c r="AU128" s="19">
        <f>IF(AT128=1,S126,0)</f>
        <v>0</v>
      </c>
      <c r="AY128" s="19">
        <f>IF((AH126=1),S126,0)</f>
        <v>0</v>
      </c>
      <c r="AZ128" s="19">
        <f>IF(AND(EXACT(AR128,"1"),EXACT(AH126,"1")),(1),(0))</f>
        <v>0</v>
      </c>
      <c r="BA128" s="19">
        <f>IF((AZ128=1),AY128,0)</f>
        <v>0</v>
      </c>
      <c r="BE128" s="19">
        <f>IF((AI126=1),S126,0)</f>
        <v>0</v>
      </c>
      <c r="BF128" s="19">
        <f>IF(AND(EXACT(AI126,"1"),EXACT(AR128,"1")),(1),(0))</f>
        <v>0</v>
      </c>
      <c r="BG128" s="19">
        <f>IF((BF128=1),BE128,0)</f>
        <v>0</v>
      </c>
      <c r="BK128" s="19">
        <f>IF((AJ126=1),S126,0)</f>
        <v>0</v>
      </c>
      <c r="BL128" s="19">
        <f>IF(AND(EXACT(AJ126,"1"),EXACT(AR128,"1")),(1),(0))</f>
        <v>0</v>
      </c>
      <c r="BM128" s="19">
        <f>IF((BL128=1),BK128,0)</f>
        <v>0</v>
      </c>
      <c r="BQ128" s="19">
        <f>IF((AJ126=1),S126,0)</f>
        <v>0</v>
      </c>
      <c r="BR128" s="19">
        <f>IF(AND(EXACT(AJ126,"1"),EXACT(AR128,"1")),(1),(0))</f>
        <v>0</v>
      </c>
      <c r="BS128" s="19">
        <f>IF((BL128=1),BK128,0)</f>
        <v>0</v>
      </c>
      <c r="BW128" s="19">
        <f>IF((AL126=1),S126,0)</f>
        <v>0</v>
      </c>
      <c r="BX128" s="19">
        <f>IF(AND(EXACT(AL126,"1"),EXACT(AR128,"1")),(1),(0))</f>
        <v>0</v>
      </c>
      <c r="BY128" s="19">
        <f>IF((BX128=1),BW128,0)</f>
        <v>0</v>
      </c>
      <c r="CC128" s="19">
        <f>IF((AM126=1),R126,0)</f>
        <v>0</v>
      </c>
      <c r="CD128" s="19">
        <f>IF(AND(EXACT(AM126,"1"),EXACT(AR128,"1")),(1),(0))</f>
        <v>0</v>
      </c>
      <c r="CE128" s="19">
        <f>IF((CD128=1),CC128,0)</f>
        <v>0</v>
      </c>
    </row>
    <row r="129" spans="1:83" ht="20.25">
      <c r="A129" s="12">
        <f>IF(AA129=0,0,IF(AA126=0,Z129,SUM(A126,AA129)))</f>
        <v>0</v>
      </c>
      <c r="B129" s="1157"/>
      <c r="C129" s="1157"/>
      <c r="D129" s="1157"/>
      <c r="E129" s="1182"/>
      <c r="F129" s="1424"/>
      <c r="G129" s="1424"/>
      <c r="H129" s="527"/>
      <c r="I129" s="528"/>
      <c r="J129" s="529"/>
      <c r="K129" s="530"/>
      <c r="L129" s="531"/>
      <c r="M129" s="532"/>
      <c r="N129" s="533"/>
      <c r="O129" s="532"/>
      <c r="P129" s="1182"/>
      <c r="Q129" s="1182"/>
      <c r="R129" s="534">
        <f t="shared" ref="R129" ca="1" si="152">IF(OR(EXACT(H129,""),EXACT(B129,""),EXACT(F130,""),EXACT(H130,""),EXACT(J130,""),EXACT(L130,""),EXACT(N130,""),EXACT(F129,""),EXACT(J129,""),EXACT(M129,""),EXACT(N129,""),EXACT(O129,""),EXACT(P129,"")),0,IF(OR(EXACT(P130,"مقاله پر استناد"),EXACT(P130,"مقاله داغ"),EXACT(P130,"مستخرج از برنامه تحقيقاتي ملي معطوف به رفع مشكلات كشور")),(1.5*(F130*N130*(IF(EXACT(J130,"نفر اول"),INDIRECT(CONCATENATE("'Data Base'!$d",H130)),INDIRECT(CONCATENATE("'Data Base'!$e",H130))))*((100-L130)/100))),IF(EXACT(P130,"Short Article"),(0.5*(F130*N130*(IF(EXACT(J130,"نفر اول"),INDIRECT(CONCATENATE("'Data Base'!$D",H130)),INDIRECT(CONCATENATE("'Data Base'!$E",H130))))*((100-L130)/100))),IF(EXACT(P130,"چاپ شده در نشريات بسيار پر استناد Nature و Science"),(2*(F130*N130*(IF(EXACT(J130,"نفر اول"),INDIRECT(CONCATENATE("'Data Base'!$D",H130)),INDIRECT(CONCATENATE("'Data Base'!$E",H130))))*((100-L130)/100))),IF(OR(EXACT(P130,"مستخرج از طرح پژوهشي محرمانه"),EXACT(P130,"مشترك با اساتيد دانشگاه خارج از كشور")),(1.2*(F130*N130*(IF(EXACT(J130,"نفر اول"),INDIRECT(CONCATENATE("'Data Base'!$D",H130)),INDIRECT(CONCATENATE("'Data Base'!$E",H130))))*((100-L130)/100))),(F130*N130*(IF(EXACT(J130,"نفر اول"),INDIRECT(CONCATENATE("'Data Base'!$d",H130)),INDIRECT(CONCATENATE("'Data Base'!$e",H130))))*((100-L130)/100)))))))</f>
        <v>0</v>
      </c>
      <c r="S129" s="535">
        <f t="shared" ref="S129" ca="1" si="153">IF(OR(EXACT(H129,""),EXACT(B129,""),EXACT(F131,""),EXACT(H131,""),EXACT(J131,""),EXACT(L131,""),EXACT(N131,""),EXACT(F129,""),EXACT(J129,""),EXACT(M129,""),EXACT(N129,""),EXACT(O129,""),EXACT(P129,"")),0,IF(OR(EXACT(P131,"مقاله پر استناد"),EXACT(P131,"مقاله داغ"),EXACT(P131,"مستخرج از برنامه تحقيقاتي ملي معطوف به رفع مشكلات كشور")),(1.5*(F131*N131*(IF(EXACT(J131,"نفر اول"),INDIRECT(CONCATENATE("'Data Base'!$d",H131)),INDIRECT(CONCATENATE("'Data Base'!$E",H131))))*((100-L131)/100))),IF(EXACT(P131,"Short Article"),(0.5*(F131*N131*(IF(EXACT(J131,"نفر اول"),INDIRECT(CONCATENATE("'Data Base'!$D",H131)),INDIRECT(CONCATENATE("'Data Base'!$E",H131))))*((100-L131)/100))),IF(EXACT(P131,"چاپ شده در نشريات بسيار پر استناد Nature و Science"),(2*(F131*N131*(IF(EXACT(J131,"نفر اول"),INDIRECT(CONCATENATE("'Data Base'!$D",H131)),INDIRECT(CONCATENATE("'Data Base'!$E",H131))))*((100-L131)/100))),IF(OR(EXACT(P131,"مستخرج از طرح پژوهشي محرمانه"),EXACT(P131,"مشترك با اساتيد دانشگاه خارج از كشور")),(1.2*(F131*N131*(IF(EXACT(J131,"نفر اول"),INDIRECT(CONCATENATE("'Data Base'!$D",H131)),INDIRECT(CONCATENATE("'Data Base'!$E",H131))))*((100-L131)/100))),(F131*N131*(IF(EXACT(J131,"نفر اول"),INDIRECT(CONCATENATE("'Data Base'!$D",H131)),INDIRECT(CONCATENATE("'Data Base'!$E",H131))))*((100-L131)/100)))))))</f>
        <v>0</v>
      </c>
      <c r="T129" s="147"/>
      <c r="U129" s="1414"/>
      <c r="Z129" s="19">
        <f>SUM(Z126,AA129)</f>
        <v>0</v>
      </c>
      <c r="AA129" s="19">
        <f>IF(OR(OR(B129="",F129="",H129="",J129="",P129=""),AND(M129="",O129="")),0,1)</f>
        <v>0</v>
      </c>
      <c r="AB129" s="19">
        <f t="shared" ref="AB129" ca="1" si="154">IF(AND(AA129=1,S129&gt;0),1,0)</f>
        <v>0</v>
      </c>
      <c r="AC129" s="19">
        <f t="shared" ref="AC129" ca="1" si="155">IF(AND(AA129=1,S129&lt;1),1,0)</f>
        <v>0</v>
      </c>
      <c r="AD129" s="19">
        <f ca="1">IF(AND(AA129=1,S129&gt;=1,AJ129=1),1,0)</f>
        <v>0</v>
      </c>
      <c r="AE129" s="19">
        <f ca="1">IF(AD129=1,S129,0)</f>
        <v>0</v>
      </c>
      <c r="AF129" s="19">
        <f ca="1">IF(AND(AA129=1,S129&gt;=1,AJ129=1,AR131=1),1,0)</f>
        <v>0</v>
      </c>
      <c r="AG129" s="19">
        <f ca="1">IF(AF129=1,S129,0)</f>
        <v>0</v>
      </c>
      <c r="AH129" s="19">
        <f>IF(OR(EXACT(H129,"JCR-Q1"),EXACT(H129,"JCR-Q2")),(1),(0))</f>
        <v>0</v>
      </c>
      <c r="AI129" s="19">
        <f>IF(OR(EXACT(H129,"JCR-Q1"),EXACT(H129,"JCR-Q2"),EXACT(H129,"JCR-Q3")),(1),(0))</f>
        <v>0</v>
      </c>
      <c r="AJ129" s="19">
        <f>IF(OR(EXACT(H129,"JCR-Q1"),EXACT(H129,"JCR-Q2"),EXACT(H129,"JCR-Q3"),EXACT(H129,"JCR-Q4")),(1),(0))</f>
        <v>0</v>
      </c>
      <c r="AK129" s="19">
        <f>IF(OR(EXACT(H129,"JCR-Q1"),EXACT(H129,"JCR-Q2"),EXACT(H129,"JCR-Q3"),EXACT(H129,"JCR-Q4"),EXACT(H129,"WOS")),(1),(0))</f>
        <v>0</v>
      </c>
      <c r="AL129" s="19">
        <f>IF(OR(EXACT(H129,"JCR-Q1"),EXACT(H129,"JCR-Q2"),EXACT(H129,"JCR-Q3"),EXACT(H129,"JCR-Q4"),EXACT(H129,"WOS"),EXACT(H129,"Scopus")),(1),(0))</f>
        <v>0</v>
      </c>
      <c r="AM129" s="19">
        <f>IF(OR(EXACT(H129,'Data Base'!$B$21),EXACT(H129,'Data Base'!$B$22)),(1),(0))</f>
        <v>0</v>
      </c>
    </row>
    <row r="130" spans="1:83" ht="20.25" customHeight="1">
      <c r="A130" s="1416" t="s">
        <v>29</v>
      </c>
      <c r="B130" s="1417"/>
      <c r="C130" s="1417"/>
      <c r="D130" s="1418"/>
      <c r="E130" s="514" t="s">
        <v>1001</v>
      </c>
      <c r="F130" s="515"/>
      <c r="G130" s="516" t="s">
        <v>801</v>
      </c>
      <c r="H130" s="517"/>
      <c r="I130" s="516" t="s">
        <v>1002</v>
      </c>
      <c r="J130" s="518"/>
      <c r="K130" s="516" t="s">
        <v>1003</v>
      </c>
      <c r="L130" s="519"/>
      <c r="M130" s="516" t="s">
        <v>1004</v>
      </c>
      <c r="N130" s="520"/>
      <c r="O130" s="1266" t="s">
        <v>55</v>
      </c>
      <c r="P130" s="1419"/>
      <c r="Q130" s="1419"/>
      <c r="R130" s="1419"/>
      <c r="S130" s="1419"/>
      <c r="T130" s="1419"/>
      <c r="U130" s="1415"/>
      <c r="AN130" s="19">
        <f>IF(AND(AA129=1,EXACT(J130,"نفر اول")),(1),(0))</f>
        <v>0</v>
      </c>
      <c r="AO130" s="19">
        <f>IF(AN130=1,R129,0)</f>
        <v>0</v>
      </c>
      <c r="AP130" s="19">
        <f>IF(AND(AA129=1,EXACT(J130,"همكار")),(1),(0))</f>
        <v>0</v>
      </c>
      <c r="AQ130" s="19">
        <f>IF(AP130=1,R129,0)</f>
        <v>0</v>
      </c>
      <c r="AV130" s="19">
        <f>IF((AH129=1),R129,0)</f>
        <v>0</v>
      </c>
      <c r="AW130" s="19">
        <f>IF(AND(EXACT(AN130,"1"),EXACT(AH129,"1")),(1),(0))</f>
        <v>0</v>
      </c>
      <c r="AX130" s="19">
        <f>IF((AW130=1),AV130,0)</f>
        <v>0</v>
      </c>
      <c r="BB130" s="19">
        <f>IF((AI129=1),R129,0)</f>
        <v>0</v>
      </c>
      <c r="BC130" s="19">
        <f>IF(AND(EXACT(AI129,"1"),EXACT(AN130,"1")),(1),(0))</f>
        <v>0</v>
      </c>
      <c r="BD130" s="19">
        <f>IF((BC130=1),BB130,0)</f>
        <v>0</v>
      </c>
      <c r="BH130" s="19">
        <f>IF((AJ129=1),R129,0)</f>
        <v>0</v>
      </c>
      <c r="BI130" s="19">
        <f>IF(AND(EXACT(AJ129,"1"),EXACT(AN130,"1")),(1),(0))</f>
        <v>0</v>
      </c>
      <c r="BJ130" s="19">
        <f>IF((BI130=1),BH130,0)</f>
        <v>0</v>
      </c>
      <c r="BN130" s="19">
        <f>IF((AK129=1),R129,0)</f>
        <v>0</v>
      </c>
      <c r="BO130" s="19">
        <f>IF(AND(EXACT(AK129,"1"),EXACT(AN130,"1")),(1),(0))</f>
        <v>0</v>
      </c>
      <c r="BP130" s="19">
        <f>IF((BO130=1),BN130,0)</f>
        <v>0</v>
      </c>
      <c r="BT130" s="19">
        <f>IF((AL129=1),R129,0)</f>
        <v>0</v>
      </c>
      <c r="BU130" s="19">
        <f>IF(AND(EXACT(AN130,"1"),EXACT(AL129,"1")),(1),(0))</f>
        <v>0</v>
      </c>
      <c r="BV130" s="19">
        <f>IF((BU130=1),BT130,0)</f>
        <v>0</v>
      </c>
      <c r="BZ130" s="19">
        <f>IF((AM129=1),R129,0)</f>
        <v>0</v>
      </c>
      <c r="CA130" s="19">
        <f>IF(AND(EXACT(AM129,"1"),EXACT(AN130,"1")),(1),(0))</f>
        <v>0</v>
      </c>
      <c r="CB130" s="19">
        <f>IF((CA130=1),BZ130,0)</f>
        <v>0</v>
      </c>
    </row>
    <row r="131" spans="1:83" ht="20.25">
      <c r="A131" s="1420" t="s">
        <v>30</v>
      </c>
      <c r="B131" s="1421"/>
      <c r="C131" s="1421"/>
      <c r="D131" s="1422"/>
      <c r="E131" s="536" t="s">
        <v>1001</v>
      </c>
      <c r="F131" s="537"/>
      <c r="G131" s="538" t="s">
        <v>801</v>
      </c>
      <c r="H131" s="539"/>
      <c r="I131" s="538" t="s">
        <v>1002</v>
      </c>
      <c r="J131" s="525"/>
      <c r="K131" s="538" t="s">
        <v>1003</v>
      </c>
      <c r="L131" s="540"/>
      <c r="M131" s="538" t="s">
        <v>1004</v>
      </c>
      <c r="N131" s="541"/>
      <c r="O131" s="1266"/>
      <c r="P131" s="1423"/>
      <c r="Q131" s="1423"/>
      <c r="R131" s="1423"/>
      <c r="S131" s="1423"/>
      <c r="T131" s="1423"/>
      <c r="U131" s="1415"/>
      <c r="AR131" s="19">
        <f>IF(AND(AA129=1,EXACT(J131,"نفر اول")),(1),(0))</f>
        <v>0</v>
      </c>
      <c r="AS131" s="19">
        <f>IF(AR131=1,S129,0)</f>
        <v>0</v>
      </c>
      <c r="AT131" s="19">
        <f>IF(AND(AA129=1,EXACT(J131,"همكار")),(1),(0))</f>
        <v>0</v>
      </c>
      <c r="AU131" s="19">
        <f>IF(AT131=1,S129,0)</f>
        <v>0</v>
      </c>
      <c r="AY131" s="19">
        <f>IF((AH129=1),S129,0)</f>
        <v>0</v>
      </c>
      <c r="AZ131" s="19">
        <f>IF(AND(EXACT(AR131,"1"),EXACT(AH129,"1")),(1),(0))</f>
        <v>0</v>
      </c>
      <c r="BA131" s="19">
        <f>IF((AZ131=1),AY131,0)</f>
        <v>0</v>
      </c>
      <c r="BE131" s="19">
        <f>IF((AI129=1),S129,0)</f>
        <v>0</v>
      </c>
      <c r="BF131" s="19">
        <f>IF(AND(EXACT(AI129,"1"),EXACT(AR131,"1")),(1),(0))</f>
        <v>0</v>
      </c>
      <c r="BG131" s="19">
        <f>IF((BF131=1),BE131,0)</f>
        <v>0</v>
      </c>
      <c r="BK131" s="19">
        <f>IF((AJ129=1),S129,0)</f>
        <v>0</v>
      </c>
      <c r="BL131" s="19">
        <f>IF(AND(EXACT(AJ129,"1"),EXACT(AR131,"1")),(1),(0))</f>
        <v>0</v>
      </c>
      <c r="BM131" s="19">
        <f>IF((BL131=1),BK131,0)</f>
        <v>0</v>
      </c>
      <c r="BQ131" s="19">
        <f>IF((AJ129=1),S129,0)</f>
        <v>0</v>
      </c>
      <c r="BR131" s="19">
        <f>IF(AND(EXACT(AJ129,"1"),EXACT(AR131,"1")),(1),(0))</f>
        <v>0</v>
      </c>
      <c r="BS131" s="19">
        <f>IF((BL131=1),BK131,0)</f>
        <v>0</v>
      </c>
      <c r="BW131" s="19">
        <f>IF((AL129=1),S129,0)</f>
        <v>0</v>
      </c>
      <c r="BX131" s="19">
        <f>IF(AND(EXACT(AL129,"1"),EXACT(AR131,"1")),(1),(0))</f>
        <v>0</v>
      </c>
      <c r="BY131" s="19">
        <f>IF((BX131=1),BW131,0)</f>
        <v>0</v>
      </c>
      <c r="CC131" s="19">
        <f>IF((AM129=1),R129,0)</f>
        <v>0</v>
      </c>
      <c r="CD131" s="19">
        <f>IF(AND(EXACT(AM129,"1"),EXACT(AR131,"1")),(1),(0))</f>
        <v>0</v>
      </c>
      <c r="CE131" s="19">
        <f>IF((CD131=1),CC131,0)</f>
        <v>0</v>
      </c>
    </row>
    <row r="132" spans="1:83" ht="20.25">
      <c r="A132" s="12">
        <f>IF(AA132=0,0,IF(AA129=0,Z132,SUM(A129,AA132)))</f>
        <v>0</v>
      </c>
      <c r="B132" s="1157"/>
      <c r="C132" s="1157"/>
      <c r="D132" s="1157"/>
      <c r="E132" s="1182"/>
      <c r="F132" s="1424"/>
      <c r="G132" s="1424"/>
      <c r="H132" s="527"/>
      <c r="I132" s="528"/>
      <c r="J132" s="529"/>
      <c r="K132" s="530"/>
      <c r="L132" s="531"/>
      <c r="M132" s="532"/>
      <c r="N132" s="533"/>
      <c r="O132" s="532"/>
      <c r="P132" s="1182"/>
      <c r="Q132" s="1182"/>
      <c r="R132" s="534">
        <f t="shared" ref="R132" ca="1" si="156">IF(OR(EXACT(H132,""),EXACT(B132,""),EXACT(F133,""),EXACT(H133,""),EXACT(J133,""),EXACT(L133,""),EXACT(N133,""),EXACT(F132,""),EXACT(J132,""),EXACT(M132,""),EXACT(N132,""),EXACT(O132,""),EXACT(P132,"")),0,IF(OR(EXACT(P133,"مقاله پر استناد"),EXACT(P133,"مقاله داغ"),EXACT(P133,"مستخرج از برنامه تحقيقاتي ملي معطوف به رفع مشكلات كشور")),(1.5*(F133*N133*(IF(EXACT(J133,"نفر اول"),INDIRECT(CONCATENATE("'Data Base'!$d",H133)),INDIRECT(CONCATENATE("'Data Base'!$e",H133))))*((100-L133)/100))),IF(EXACT(P133,"Short Article"),(0.5*(F133*N133*(IF(EXACT(J133,"نفر اول"),INDIRECT(CONCATENATE("'Data Base'!$D",H133)),INDIRECT(CONCATENATE("'Data Base'!$E",H133))))*((100-L133)/100))),IF(EXACT(P133,"چاپ شده در نشريات بسيار پر استناد Nature و Science"),(2*(F133*N133*(IF(EXACT(J133,"نفر اول"),INDIRECT(CONCATENATE("'Data Base'!$D",H133)),INDIRECT(CONCATENATE("'Data Base'!$E",H133))))*((100-L133)/100))),IF(OR(EXACT(P133,"مستخرج از طرح پژوهشي محرمانه"),EXACT(P133,"مشترك با اساتيد دانشگاه خارج از كشور")),(1.2*(F133*N133*(IF(EXACT(J133,"نفر اول"),INDIRECT(CONCATENATE("'Data Base'!$D",H133)),INDIRECT(CONCATENATE("'Data Base'!$E",H133))))*((100-L133)/100))),(F133*N133*(IF(EXACT(J133,"نفر اول"),INDIRECT(CONCATENATE("'Data Base'!$d",H133)),INDIRECT(CONCATENATE("'Data Base'!$e",H133))))*((100-L133)/100)))))))</f>
        <v>0</v>
      </c>
      <c r="S132" s="535">
        <f t="shared" ref="S132" ca="1" si="157">IF(OR(EXACT(H132,""),EXACT(B132,""),EXACT(F134,""),EXACT(H134,""),EXACT(J134,""),EXACT(L134,""),EXACT(N134,""),EXACT(F132,""),EXACT(J132,""),EXACT(M132,""),EXACT(N132,""),EXACT(O132,""),EXACT(P132,"")),0,IF(OR(EXACT(P134,"مقاله پر استناد"),EXACT(P134,"مقاله داغ"),EXACT(P134,"مستخرج از برنامه تحقيقاتي ملي معطوف به رفع مشكلات كشور")),(1.5*(F134*N134*(IF(EXACT(J134,"نفر اول"),INDIRECT(CONCATENATE("'Data Base'!$d",H134)),INDIRECT(CONCATENATE("'Data Base'!$E",H134))))*((100-L134)/100))),IF(EXACT(P134,"Short Article"),(0.5*(F134*N134*(IF(EXACT(J134,"نفر اول"),INDIRECT(CONCATENATE("'Data Base'!$D",H134)),INDIRECT(CONCATENATE("'Data Base'!$E",H134))))*((100-L134)/100))),IF(EXACT(P134,"چاپ شده در نشريات بسيار پر استناد Nature و Science"),(2*(F134*N134*(IF(EXACT(J134,"نفر اول"),INDIRECT(CONCATENATE("'Data Base'!$D",H134)),INDIRECT(CONCATENATE("'Data Base'!$E",H134))))*((100-L134)/100))),IF(OR(EXACT(P134,"مستخرج از طرح پژوهشي محرمانه"),EXACT(P134,"مشترك با اساتيد دانشگاه خارج از كشور")),(1.2*(F134*N134*(IF(EXACT(J134,"نفر اول"),INDIRECT(CONCATENATE("'Data Base'!$D",H134)),INDIRECT(CONCATENATE("'Data Base'!$E",H134))))*((100-L134)/100))),(F134*N134*(IF(EXACT(J134,"نفر اول"),INDIRECT(CONCATENATE("'Data Base'!$D",H134)),INDIRECT(CONCATENATE("'Data Base'!$E",H134))))*((100-L134)/100)))))))</f>
        <v>0</v>
      </c>
      <c r="T132" s="147"/>
      <c r="U132" s="1414"/>
      <c r="Z132" s="19">
        <f>SUM(Z129,AA132)</f>
        <v>0</v>
      </c>
      <c r="AA132" s="19">
        <f>IF(OR(OR(B132="",F132="",H132="",J132="",P132=""),AND(M132="",O132="")),0,1)</f>
        <v>0</v>
      </c>
      <c r="AB132" s="19">
        <f t="shared" ref="AB132" ca="1" si="158">IF(AND(AA132=1,S132&gt;0),1,0)</f>
        <v>0</v>
      </c>
      <c r="AC132" s="19">
        <f t="shared" ref="AC132" ca="1" si="159">IF(AND(AA132=1,S132&lt;1),1,0)</f>
        <v>0</v>
      </c>
      <c r="AD132" s="19">
        <f ca="1">IF(AND(AA132=1,S132&gt;=1,AJ132=1),1,0)</f>
        <v>0</v>
      </c>
      <c r="AE132" s="19">
        <f ca="1">IF(AD132=1,S132,0)</f>
        <v>0</v>
      </c>
      <c r="AF132" s="19">
        <f ca="1">IF(AND(AA132=1,S132&gt;=1,AJ132=1,AR134=1),1,0)</f>
        <v>0</v>
      </c>
      <c r="AG132" s="19">
        <f ca="1">IF(AF132=1,S132,0)</f>
        <v>0</v>
      </c>
      <c r="AH132" s="19">
        <f>IF(OR(EXACT(H132,"JCR-Q1"),EXACT(H132,"JCR-Q2")),(1),(0))</f>
        <v>0</v>
      </c>
      <c r="AI132" s="19">
        <f>IF(OR(EXACT(H132,"JCR-Q1"),EXACT(H132,"JCR-Q2"),EXACT(H132,"JCR-Q3")),(1),(0))</f>
        <v>0</v>
      </c>
      <c r="AJ132" s="19">
        <f>IF(OR(EXACT(H132,"JCR-Q1"),EXACT(H132,"JCR-Q2"),EXACT(H132,"JCR-Q3"),EXACT(H132,"JCR-Q4")),(1),(0))</f>
        <v>0</v>
      </c>
      <c r="AK132" s="19">
        <f>IF(OR(EXACT(H132,"JCR-Q1"),EXACT(H132,"JCR-Q2"),EXACT(H132,"JCR-Q3"),EXACT(H132,"JCR-Q4"),EXACT(H132,"WOS")),(1),(0))</f>
        <v>0</v>
      </c>
      <c r="AL132" s="19">
        <f>IF(OR(EXACT(H132,"JCR-Q1"),EXACT(H132,"JCR-Q2"),EXACT(H132,"JCR-Q3"),EXACT(H132,"JCR-Q4"),EXACT(H132,"WOS"),EXACT(H132,"Scopus")),(1),(0))</f>
        <v>0</v>
      </c>
      <c r="AM132" s="19">
        <f>IF(OR(EXACT(H132,'Data Base'!$B$21),EXACT(H132,'Data Base'!$B$22)),(1),(0))</f>
        <v>0</v>
      </c>
    </row>
    <row r="133" spans="1:83" ht="20.25" customHeight="1">
      <c r="A133" s="1416" t="s">
        <v>29</v>
      </c>
      <c r="B133" s="1417"/>
      <c r="C133" s="1417"/>
      <c r="D133" s="1418"/>
      <c r="E133" s="514" t="s">
        <v>1001</v>
      </c>
      <c r="F133" s="515"/>
      <c r="G133" s="516" t="s">
        <v>801</v>
      </c>
      <c r="H133" s="517"/>
      <c r="I133" s="516" t="s">
        <v>1002</v>
      </c>
      <c r="J133" s="518"/>
      <c r="K133" s="516" t="s">
        <v>1003</v>
      </c>
      <c r="L133" s="519"/>
      <c r="M133" s="516" t="s">
        <v>1004</v>
      </c>
      <c r="N133" s="520"/>
      <c r="O133" s="1266" t="s">
        <v>55</v>
      </c>
      <c r="P133" s="1419"/>
      <c r="Q133" s="1419"/>
      <c r="R133" s="1419"/>
      <c r="S133" s="1419"/>
      <c r="T133" s="1419"/>
      <c r="U133" s="1415"/>
      <c r="AN133" s="19">
        <f>IF(AND(AA132=1,EXACT(J133,"نفر اول")),(1),(0))</f>
        <v>0</v>
      </c>
      <c r="AO133" s="19">
        <f>IF(AN133=1,R132,0)</f>
        <v>0</v>
      </c>
      <c r="AP133" s="19">
        <f>IF(AND(AA132=1,EXACT(J133,"همكار")),(1),(0))</f>
        <v>0</v>
      </c>
      <c r="AQ133" s="19">
        <f>IF(AP133=1,R132,0)</f>
        <v>0</v>
      </c>
      <c r="AV133" s="19">
        <f>IF((AH132=1),R132,0)</f>
        <v>0</v>
      </c>
      <c r="AW133" s="19">
        <f>IF(AND(EXACT(AN133,"1"),EXACT(AH132,"1")),(1),(0))</f>
        <v>0</v>
      </c>
      <c r="AX133" s="19">
        <f>IF((AW133=1),AV133,0)</f>
        <v>0</v>
      </c>
      <c r="BB133" s="19">
        <f>IF((AI132=1),R132,0)</f>
        <v>0</v>
      </c>
      <c r="BC133" s="19">
        <f>IF(AND(EXACT(AI132,"1"),EXACT(AN133,"1")),(1),(0))</f>
        <v>0</v>
      </c>
      <c r="BD133" s="19">
        <f>IF((BC133=1),BB133,0)</f>
        <v>0</v>
      </c>
      <c r="BH133" s="19">
        <f>IF((AJ132=1),R132,0)</f>
        <v>0</v>
      </c>
      <c r="BI133" s="19">
        <f>IF(AND(EXACT(AJ132,"1"),EXACT(AN133,"1")),(1),(0))</f>
        <v>0</v>
      </c>
      <c r="BJ133" s="19">
        <f>IF((BI133=1),BH133,0)</f>
        <v>0</v>
      </c>
      <c r="BN133" s="19">
        <f>IF((AK132=1),R132,0)</f>
        <v>0</v>
      </c>
      <c r="BO133" s="19">
        <f>IF(AND(EXACT(AK132,"1"),EXACT(AN133,"1")),(1),(0))</f>
        <v>0</v>
      </c>
      <c r="BP133" s="19">
        <f>IF((BO133=1),BN133,0)</f>
        <v>0</v>
      </c>
      <c r="BT133" s="19">
        <f>IF((AL132=1),R132,0)</f>
        <v>0</v>
      </c>
      <c r="BU133" s="19">
        <f>IF(AND(EXACT(AN133,"1"),EXACT(AL132,"1")),(1),(0))</f>
        <v>0</v>
      </c>
      <c r="BV133" s="19">
        <f>IF((BU133=1),BT133,0)</f>
        <v>0</v>
      </c>
      <c r="BZ133" s="19">
        <f>IF((AM132=1),R132,0)</f>
        <v>0</v>
      </c>
      <c r="CA133" s="19">
        <f>IF(AND(EXACT(AM132,"1"),EXACT(AN133,"1")),(1),(0))</f>
        <v>0</v>
      </c>
      <c r="CB133" s="19">
        <f>IF((CA133=1),BZ133,0)</f>
        <v>0</v>
      </c>
    </row>
    <row r="134" spans="1:83" ht="20.25">
      <c r="A134" s="1420" t="s">
        <v>30</v>
      </c>
      <c r="B134" s="1421"/>
      <c r="C134" s="1421"/>
      <c r="D134" s="1422"/>
      <c r="E134" s="536" t="s">
        <v>1001</v>
      </c>
      <c r="F134" s="537"/>
      <c r="G134" s="538" t="s">
        <v>801</v>
      </c>
      <c r="H134" s="539"/>
      <c r="I134" s="538" t="s">
        <v>1002</v>
      </c>
      <c r="J134" s="525"/>
      <c r="K134" s="538" t="s">
        <v>1003</v>
      </c>
      <c r="L134" s="540"/>
      <c r="M134" s="538" t="s">
        <v>1004</v>
      </c>
      <c r="N134" s="541"/>
      <c r="O134" s="1266"/>
      <c r="P134" s="1423"/>
      <c r="Q134" s="1423"/>
      <c r="R134" s="1423"/>
      <c r="S134" s="1423"/>
      <c r="T134" s="1423"/>
      <c r="U134" s="1415"/>
      <c r="AR134" s="19">
        <f>IF(AND(AA132=1,EXACT(J134,"نفر اول")),(1),(0))</f>
        <v>0</v>
      </c>
      <c r="AS134" s="19">
        <f>IF(AR134=1,S132,0)</f>
        <v>0</v>
      </c>
      <c r="AT134" s="19">
        <f>IF(AND(AA132=1,EXACT(J134,"همكار")),(1),(0))</f>
        <v>0</v>
      </c>
      <c r="AU134" s="19">
        <f>IF(AT134=1,S132,0)</f>
        <v>0</v>
      </c>
      <c r="AY134" s="19">
        <f>IF((AH132=1),S132,0)</f>
        <v>0</v>
      </c>
      <c r="AZ134" s="19">
        <f>IF(AND(EXACT(AR134,"1"),EXACT(AH132,"1")),(1),(0))</f>
        <v>0</v>
      </c>
      <c r="BA134" s="19">
        <f>IF((AZ134=1),AY134,0)</f>
        <v>0</v>
      </c>
      <c r="BE134" s="19">
        <f>IF((AI132=1),S132,0)</f>
        <v>0</v>
      </c>
      <c r="BF134" s="19">
        <f>IF(AND(EXACT(AI132,"1"),EXACT(AR134,"1")),(1),(0))</f>
        <v>0</v>
      </c>
      <c r="BG134" s="19">
        <f>IF((BF134=1),BE134,0)</f>
        <v>0</v>
      </c>
      <c r="BK134" s="19">
        <f>IF((AJ132=1),S132,0)</f>
        <v>0</v>
      </c>
      <c r="BL134" s="19">
        <f>IF(AND(EXACT(AJ132,"1"),EXACT(AR134,"1")),(1),(0))</f>
        <v>0</v>
      </c>
      <c r="BM134" s="19">
        <f>IF((BL134=1),BK134,0)</f>
        <v>0</v>
      </c>
      <c r="BQ134" s="19">
        <f>IF((AJ132=1),S132,0)</f>
        <v>0</v>
      </c>
      <c r="BR134" s="19">
        <f>IF(AND(EXACT(AJ132,"1"),EXACT(AR134,"1")),(1),(0))</f>
        <v>0</v>
      </c>
      <c r="BS134" s="19">
        <f>IF((BL134=1),BK134,0)</f>
        <v>0</v>
      </c>
      <c r="BW134" s="19">
        <f>IF((AL132=1),S132,0)</f>
        <v>0</v>
      </c>
      <c r="BX134" s="19">
        <f>IF(AND(EXACT(AL132,"1"),EXACT(AR134,"1")),(1),(0))</f>
        <v>0</v>
      </c>
      <c r="BY134" s="19">
        <f>IF((BX134=1),BW134,0)</f>
        <v>0</v>
      </c>
      <c r="CC134" s="19">
        <f>IF((AM132=1),R132,0)</f>
        <v>0</v>
      </c>
      <c r="CD134" s="19">
        <f>IF(AND(EXACT(AM132,"1"),EXACT(AR134,"1")),(1),(0))</f>
        <v>0</v>
      </c>
      <c r="CE134" s="19">
        <f>IF((CD134=1),CC134,0)</f>
        <v>0</v>
      </c>
    </row>
    <row r="135" spans="1:83" ht="20.25">
      <c r="A135" s="12">
        <f>IF(AA135=0,0,IF(AA132=0,Z135,SUM(A132,AA135)))</f>
        <v>0</v>
      </c>
      <c r="B135" s="1157"/>
      <c r="C135" s="1157"/>
      <c r="D135" s="1157"/>
      <c r="E135" s="1182"/>
      <c r="F135" s="1424"/>
      <c r="G135" s="1424"/>
      <c r="H135" s="527"/>
      <c r="I135" s="528"/>
      <c r="J135" s="529"/>
      <c r="K135" s="530"/>
      <c r="L135" s="531"/>
      <c r="M135" s="532"/>
      <c r="N135" s="533"/>
      <c r="O135" s="532"/>
      <c r="P135" s="1182"/>
      <c r="Q135" s="1182"/>
      <c r="R135" s="534">
        <f t="shared" ref="R135" ca="1" si="160">IF(OR(EXACT(H135,""),EXACT(B135,""),EXACT(F136,""),EXACT(H136,""),EXACT(J136,""),EXACT(L136,""),EXACT(N136,""),EXACT(F135,""),EXACT(J135,""),EXACT(M135,""),EXACT(N135,""),EXACT(O135,""),EXACT(P135,"")),0,IF(OR(EXACT(P136,"مقاله پر استناد"),EXACT(P136,"مقاله داغ"),EXACT(P136,"مستخرج از برنامه تحقيقاتي ملي معطوف به رفع مشكلات كشور")),(1.5*(F136*N136*(IF(EXACT(J136,"نفر اول"),INDIRECT(CONCATENATE("'Data Base'!$d",H136)),INDIRECT(CONCATENATE("'Data Base'!$e",H136))))*((100-L136)/100))),IF(EXACT(P136,"Short Article"),(0.5*(F136*N136*(IF(EXACT(J136,"نفر اول"),INDIRECT(CONCATENATE("'Data Base'!$D",H136)),INDIRECT(CONCATENATE("'Data Base'!$E",H136))))*((100-L136)/100))),IF(EXACT(P136,"چاپ شده در نشريات بسيار پر استناد Nature و Science"),(2*(F136*N136*(IF(EXACT(J136,"نفر اول"),INDIRECT(CONCATENATE("'Data Base'!$D",H136)),INDIRECT(CONCATENATE("'Data Base'!$E",H136))))*((100-L136)/100))),IF(OR(EXACT(P136,"مستخرج از طرح پژوهشي محرمانه"),EXACT(P136,"مشترك با اساتيد دانشگاه خارج از كشور")),(1.2*(F136*N136*(IF(EXACT(J136,"نفر اول"),INDIRECT(CONCATENATE("'Data Base'!$D",H136)),INDIRECT(CONCATENATE("'Data Base'!$E",H136))))*((100-L136)/100))),(F136*N136*(IF(EXACT(J136,"نفر اول"),INDIRECT(CONCATENATE("'Data Base'!$d",H136)),INDIRECT(CONCATENATE("'Data Base'!$e",H136))))*((100-L136)/100)))))))</f>
        <v>0</v>
      </c>
      <c r="S135" s="535">
        <f t="shared" ref="S135" ca="1" si="161">IF(OR(EXACT(H135,""),EXACT(B135,""),EXACT(F137,""),EXACT(H137,""),EXACT(J137,""),EXACT(L137,""),EXACT(N137,""),EXACT(F135,""),EXACT(J135,""),EXACT(M135,""),EXACT(N135,""),EXACT(O135,""),EXACT(P135,"")),0,IF(OR(EXACT(P137,"مقاله پر استناد"),EXACT(P137,"مقاله داغ"),EXACT(P137,"مستخرج از برنامه تحقيقاتي ملي معطوف به رفع مشكلات كشور")),(1.5*(F137*N137*(IF(EXACT(J137,"نفر اول"),INDIRECT(CONCATENATE("'Data Base'!$d",H137)),INDIRECT(CONCATENATE("'Data Base'!$E",H137))))*((100-L137)/100))),IF(EXACT(P137,"Short Article"),(0.5*(F137*N137*(IF(EXACT(J137,"نفر اول"),INDIRECT(CONCATENATE("'Data Base'!$D",H137)),INDIRECT(CONCATENATE("'Data Base'!$E",H137))))*((100-L137)/100))),IF(EXACT(P137,"چاپ شده در نشريات بسيار پر استناد Nature و Science"),(2*(F137*N137*(IF(EXACT(J137,"نفر اول"),INDIRECT(CONCATENATE("'Data Base'!$D",H137)),INDIRECT(CONCATENATE("'Data Base'!$E",H137))))*((100-L137)/100))),IF(OR(EXACT(P137,"مستخرج از طرح پژوهشي محرمانه"),EXACT(P137,"مشترك با اساتيد دانشگاه خارج از كشور")),(1.2*(F137*N137*(IF(EXACT(J137,"نفر اول"),INDIRECT(CONCATENATE("'Data Base'!$D",H137)),INDIRECT(CONCATENATE("'Data Base'!$E",H137))))*((100-L137)/100))),(F137*N137*(IF(EXACT(J137,"نفر اول"),INDIRECT(CONCATENATE("'Data Base'!$D",H137)),INDIRECT(CONCATENATE("'Data Base'!$E",H137))))*((100-L137)/100)))))))</f>
        <v>0</v>
      </c>
      <c r="T135" s="147"/>
      <c r="U135" s="1414"/>
      <c r="Z135" s="19">
        <f>SUM(Z132,AA135)</f>
        <v>0</v>
      </c>
      <c r="AA135" s="19">
        <f>IF(OR(OR(B135="",F135="",H135="",J135="",P135=""),AND(M135="",O135="")),0,1)</f>
        <v>0</v>
      </c>
      <c r="AB135" s="19">
        <f t="shared" ref="AB135" ca="1" si="162">IF(AND(AA135=1,S135&gt;0),1,0)</f>
        <v>0</v>
      </c>
      <c r="AC135" s="19">
        <f t="shared" ref="AC135" ca="1" si="163">IF(AND(AA135=1,S135&lt;1),1,0)</f>
        <v>0</v>
      </c>
      <c r="AD135" s="19">
        <f ca="1">IF(AND(AA135=1,S135&gt;=1,AJ135=1),1,0)</f>
        <v>0</v>
      </c>
      <c r="AE135" s="19">
        <f ca="1">IF(AD135=1,S135,0)</f>
        <v>0</v>
      </c>
      <c r="AF135" s="19">
        <f ca="1">IF(AND(AA135=1,S135&gt;=1,AJ135=1,AR137=1),1,0)</f>
        <v>0</v>
      </c>
      <c r="AG135" s="19">
        <f ca="1">IF(AF135=1,S135,0)</f>
        <v>0</v>
      </c>
      <c r="AH135" s="19">
        <f>IF(OR(EXACT(H135,"JCR-Q1"),EXACT(H135,"JCR-Q2")),(1),(0))</f>
        <v>0</v>
      </c>
      <c r="AI135" s="19">
        <f>IF(OR(EXACT(H135,"JCR-Q1"),EXACT(H135,"JCR-Q2"),EXACT(H135,"JCR-Q3")),(1),(0))</f>
        <v>0</v>
      </c>
      <c r="AJ135" s="19">
        <f>IF(OR(EXACT(H135,"JCR-Q1"),EXACT(H135,"JCR-Q2"),EXACT(H135,"JCR-Q3"),EXACT(H135,"JCR-Q4")),(1),(0))</f>
        <v>0</v>
      </c>
      <c r="AK135" s="19">
        <f>IF(OR(EXACT(H135,"JCR-Q1"),EXACT(H135,"JCR-Q2"),EXACT(H135,"JCR-Q3"),EXACT(H135,"JCR-Q4"),EXACT(H135,"WOS")),(1),(0))</f>
        <v>0</v>
      </c>
      <c r="AL135" s="19">
        <f>IF(OR(EXACT(H135,"JCR-Q1"),EXACT(H135,"JCR-Q2"),EXACT(H135,"JCR-Q3"),EXACT(H135,"JCR-Q4"),EXACT(H135,"WOS"),EXACT(H135,"Scopus")),(1),(0))</f>
        <v>0</v>
      </c>
      <c r="AM135" s="19">
        <f>IF(OR(EXACT(H135,'Data Base'!$B$21),EXACT(H135,'Data Base'!$B$22)),(1),(0))</f>
        <v>0</v>
      </c>
    </row>
    <row r="136" spans="1:83" ht="20.25" customHeight="1">
      <c r="A136" s="1416" t="s">
        <v>29</v>
      </c>
      <c r="B136" s="1417"/>
      <c r="C136" s="1417"/>
      <c r="D136" s="1418"/>
      <c r="E136" s="514" t="s">
        <v>1001</v>
      </c>
      <c r="F136" s="515"/>
      <c r="G136" s="516" t="s">
        <v>801</v>
      </c>
      <c r="H136" s="517"/>
      <c r="I136" s="516" t="s">
        <v>1002</v>
      </c>
      <c r="J136" s="518"/>
      <c r="K136" s="516" t="s">
        <v>1003</v>
      </c>
      <c r="L136" s="519"/>
      <c r="M136" s="516" t="s">
        <v>1004</v>
      </c>
      <c r="N136" s="520"/>
      <c r="O136" s="1266" t="s">
        <v>55</v>
      </c>
      <c r="P136" s="1419"/>
      <c r="Q136" s="1419"/>
      <c r="R136" s="1419"/>
      <c r="S136" s="1419"/>
      <c r="T136" s="1419"/>
      <c r="U136" s="1415"/>
      <c r="AN136" s="19">
        <f>IF(AND(AA135=1,EXACT(J136,"نفر اول")),(1),(0))</f>
        <v>0</v>
      </c>
      <c r="AO136" s="19">
        <f>IF(AN136=1,R135,0)</f>
        <v>0</v>
      </c>
      <c r="AP136" s="19">
        <f>IF(AND(AA135=1,EXACT(J136,"همكار")),(1),(0))</f>
        <v>0</v>
      </c>
      <c r="AQ136" s="19">
        <f>IF(AP136=1,R135,0)</f>
        <v>0</v>
      </c>
      <c r="AV136" s="19">
        <f>IF((AH135=1),R135,0)</f>
        <v>0</v>
      </c>
      <c r="AW136" s="19">
        <f>IF(AND(EXACT(AN136,"1"),EXACT(AH135,"1")),(1),(0))</f>
        <v>0</v>
      </c>
      <c r="AX136" s="19">
        <f>IF((AW136=1),AV136,0)</f>
        <v>0</v>
      </c>
      <c r="BB136" s="19">
        <f>IF((AI135=1),R135,0)</f>
        <v>0</v>
      </c>
      <c r="BC136" s="19">
        <f>IF(AND(EXACT(AI135,"1"),EXACT(AN136,"1")),(1),(0))</f>
        <v>0</v>
      </c>
      <c r="BD136" s="19">
        <f>IF((BC136=1),BB136,0)</f>
        <v>0</v>
      </c>
      <c r="BH136" s="19">
        <f>IF((AJ135=1),R135,0)</f>
        <v>0</v>
      </c>
      <c r="BI136" s="19">
        <f>IF(AND(EXACT(AJ135,"1"),EXACT(AN136,"1")),(1),(0))</f>
        <v>0</v>
      </c>
      <c r="BJ136" s="19">
        <f>IF((BI136=1),BH136,0)</f>
        <v>0</v>
      </c>
      <c r="BN136" s="19">
        <f>IF((AK135=1),R135,0)</f>
        <v>0</v>
      </c>
      <c r="BO136" s="19">
        <f>IF(AND(EXACT(AK135,"1"),EXACT(AN136,"1")),(1),(0))</f>
        <v>0</v>
      </c>
      <c r="BP136" s="19">
        <f>IF((BO136=1),BN136,0)</f>
        <v>0</v>
      </c>
      <c r="BT136" s="19">
        <f>IF((AL135=1),R135,0)</f>
        <v>0</v>
      </c>
      <c r="BU136" s="19">
        <f>IF(AND(EXACT(AN136,"1"),EXACT(AL135,"1")),(1),(0))</f>
        <v>0</v>
      </c>
      <c r="BV136" s="19">
        <f>IF((BU136=1),BT136,0)</f>
        <v>0</v>
      </c>
      <c r="BZ136" s="19">
        <f>IF((AM135=1),R135,0)</f>
        <v>0</v>
      </c>
      <c r="CA136" s="19">
        <f>IF(AND(EXACT(AM135,"1"),EXACT(AN136,"1")),(1),(0))</f>
        <v>0</v>
      </c>
      <c r="CB136" s="19">
        <f>IF((CA136=1),BZ136,0)</f>
        <v>0</v>
      </c>
    </row>
    <row r="137" spans="1:83" ht="20.25">
      <c r="A137" s="1420" t="s">
        <v>30</v>
      </c>
      <c r="B137" s="1421"/>
      <c r="C137" s="1421"/>
      <c r="D137" s="1422"/>
      <c r="E137" s="536" t="s">
        <v>1001</v>
      </c>
      <c r="F137" s="537"/>
      <c r="G137" s="538" t="s">
        <v>801</v>
      </c>
      <c r="H137" s="539"/>
      <c r="I137" s="538" t="s">
        <v>1002</v>
      </c>
      <c r="J137" s="525"/>
      <c r="K137" s="538" t="s">
        <v>1003</v>
      </c>
      <c r="L137" s="540"/>
      <c r="M137" s="538" t="s">
        <v>1004</v>
      </c>
      <c r="N137" s="541"/>
      <c r="O137" s="1266"/>
      <c r="P137" s="1423"/>
      <c r="Q137" s="1423"/>
      <c r="R137" s="1423"/>
      <c r="S137" s="1423"/>
      <c r="T137" s="1423"/>
      <c r="U137" s="1415"/>
      <c r="AR137" s="19">
        <f>IF(AND(AA135=1,EXACT(J137,"نفر اول")),(1),(0))</f>
        <v>0</v>
      </c>
      <c r="AS137" s="19">
        <f>IF(AR137=1,S135,0)</f>
        <v>0</v>
      </c>
      <c r="AT137" s="19">
        <f>IF(AND(AA135=1,EXACT(J137,"همكار")),(1),(0))</f>
        <v>0</v>
      </c>
      <c r="AU137" s="19">
        <f>IF(AT137=1,S135,0)</f>
        <v>0</v>
      </c>
      <c r="AY137" s="19">
        <f>IF((AH135=1),S135,0)</f>
        <v>0</v>
      </c>
      <c r="AZ137" s="19">
        <f>IF(AND(EXACT(AR137,"1"),EXACT(AH135,"1")),(1),(0))</f>
        <v>0</v>
      </c>
      <c r="BA137" s="19">
        <f>IF((AZ137=1),AY137,0)</f>
        <v>0</v>
      </c>
      <c r="BE137" s="19">
        <f>IF((AI135=1),S135,0)</f>
        <v>0</v>
      </c>
      <c r="BF137" s="19">
        <f>IF(AND(EXACT(AI135,"1"),EXACT(AR137,"1")),(1),(0))</f>
        <v>0</v>
      </c>
      <c r="BG137" s="19">
        <f>IF((BF137=1),BE137,0)</f>
        <v>0</v>
      </c>
      <c r="BK137" s="19">
        <f>IF((AJ135=1),S135,0)</f>
        <v>0</v>
      </c>
      <c r="BL137" s="19">
        <f>IF(AND(EXACT(AJ135,"1"),EXACT(AR137,"1")),(1),(0))</f>
        <v>0</v>
      </c>
      <c r="BM137" s="19">
        <f>IF((BL137=1),BK137,0)</f>
        <v>0</v>
      </c>
      <c r="BQ137" s="19">
        <f>IF((AJ135=1),S135,0)</f>
        <v>0</v>
      </c>
      <c r="BR137" s="19">
        <f>IF(AND(EXACT(AJ135,"1"),EXACT(AR137,"1")),(1),(0))</f>
        <v>0</v>
      </c>
      <c r="BS137" s="19">
        <f>IF((BL137=1),BK137,0)</f>
        <v>0</v>
      </c>
      <c r="BW137" s="19">
        <f>IF((AL135=1),S135,0)</f>
        <v>0</v>
      </c>
      <c r="BX137" s="19">
        <f>IF(AND(EXACT(AL135,"1"),EXACT(AR137,"1")),(1),(0))</f>
        <v>0</v>
      </c>
      <c r="BY137" s="19">
        <f>IF((BX137=1),BW137,0)</f>
        <v>0</v>
      </c>
      <c r="CC137" s="19">
        <f>IF((AM135=1),R135,0)</f>
        <v>0</v>
      </c>
      <c r="CD137" s="19">
        <f>IF(AND(EXACT(AM135,"1"),EXACT(AR137,"1")),(1),(0))</f>
        <v>0</v>
      </c>
      <c r="CE137" s="19">
        <f>IF((CD137=1),CC137,0)</f>
        <v>0</v>
      </c>
    </row>
    <row r="138" spans="1:83" ht="20.25">
      <c r="A138" s="12">
        <f>IF(AA138=0,0,IF(AA135=0,Z138,SUM(A135,AA138)))</f>
        <v>0</v>
      </c>
      <c r="B138" s="1157"/>
      <c r="C138" s="1157"/>
      <c r="D138" s="1157"/>
      <c r="E138" s="1182"/>
      <c r="F138" s="1424"/>
      <c r="G138" s="1424"/>
      <c r="H138" s="527"/>
      <c r="I138" s="528"/>
      <c r="J138" s="529"/>
      <c r="K138" s="530"/>
      <c r="L138" s="531"/>
      <c r="M138" s="532"/>
      <c r="N138" s="533"/>
      <c r="O138" s="532"/>
      <c r="P138" s="1182"/>
      <c r="Q138" s="1182"/>
      <c r="R138" s="534">
        <f t="shared" ref="R138" ca="1" si="164">IF(OR(EXACT(H138,""),EXACT(B138,""),EXACT(F139,""),EXACT(H139,""),EXACT(J139,""),EXACT(L139,""),EXACT(N139,""),EXACT(F138,""),EXACT(J138,""),EXACT(M138,""),EXACT(N138,""),EXACT(O138,""),EXACT(P138,"")),0,IF(OR(EXACT(P139,"مقاله پر استناد"),EXACT(P139,"مقاله داغ"),EXACT(P139,"مستخرج از برنامه تحقيقاتي ملي معطوف به رفع مشكلات كشور")),(1.5*(F139*N139*(IF(EXACT(J139,"نفر اول"),INDIRECT(CONCATENATE("'Data Base'!$d",H139)),INDIRECT(CONCATENATE("'Data Base'!$e",H139))))*((100-L139)/100))),IF(EXACT(P139,"Short Article"),(0.5*(F139*N139*(IF(EXACT(J139,"نفر اول"),INDIRECT(CONCATENATE("'Data Base'!$D",H139)),INDIRECT(CONCATENATE("'Data Base'!$E",H139))))*((100-L139)/100))),IF(EXACT(P139,"چاپ شده در نشريات بسيار پر استناد Nature و Science"),(2*(F139*N139*(IF(EXACT(J139,"نفر اول"),INDIRECT(CONCATENATE("'Data Base'!$D",H139)),INDIRECT(CONCATENATE("'Data Base'!$E",H139))))*((100-L139)/100))),IF(OR(EXACT(P139,"مستخرج از طرح پژوهشي محرمانه"),EXACT(P139,"مشترك با اساتيد دانشگاه خارج از كشور")),(1.2*(F139*N139*(IF(EXACT(J139,"نفر اول"),INDIRECT(CONCATENATE("'Data Base'!$D",H139)),INDIRECT(CONCATENATE("'Data Base'!$E",H139))))*((100-L139)/100))),(F139*N139*(IF(EXACT(J139,"نفر اول"),INDIRECT(CONCATENATE("'Data Base'!$d",H139)),INDIRECT(CONCATENATE("'Data Base'!$e",H139))))*((100-L139)/100)))))))</f>
        <v>0</v>
      </c>
      <c r="S138" s="535">
        <f t="shared" ref="S138" ca="1" si="165">IF(OR(EXACT(H138,""),EXACT(B138,""),EXACT(F140,""),EXACT(H140,""),EXACT(J140,""),EXACT(L140,""),EXACT(N140,""),EXACT(F138,""),EXACT(J138,""),EXACT(M138,""),EXACT(N138,""),EXACT(O138,""),EXACT(P138,"")),0,IF(OR(EXACT(P140,"مقاله پر استناد"),EXACT(P140,"مقاله داغ"),EXACT(P140,"مستخرج از برنامه تحقيقاتي ملي معطوف به رفع مشكلات كشور")),(1.5*(F140*N140*(IF(EXACT(J140,"نفر اول"),INDIRECT(CONCATENATE("'Data Base'!$d",H140)),INDIRECT(CONCATENATE("'Data Base'!$E",H140))))*((100-L140)/100))),IF(EXACT(P140,"Short Article"),(0.5*(F140*N140*(IF(EXACT(J140,"نفر اول"),INDIRECT(CONCATENATE("'Data Base'!$D",H140)),INDIRECT(CONCATENATE("'Data Base'!$E",H140))))*((100-L140)/100))),IF(EXACT(P140,"چاپ شده در نشريات بسيار پر استناد Nature و Science"),(2*(F140*N140*(IF(EXACT(J140,"نفر اول"),INDIRECT(CONCATENATE("'Data Base'!$D",H140)),INDIRECT(CONCATENATE("'Data Base'!$E",H140))))*((100-L140)/100))),IF(OR(EXACT(P140,"مستخرج از طرح پژوهشي محرمانه"),EXACT(P140,"مشترك با اساتيد دانشگاه خارج از كشور")),(1.2*(F140*N140*(IF(EXACT(J140,"نفر اول"),INDIRECT(CONCATENATE("'Data Base'!$D",H140)),INDIRECT(CONCATENATE("'Data Base'!$E",H140))))*((100-L140)/100))),(F140*N140*(IF(EXACT(J140,"نفر اول"),INDIRECT(CONCATENATE("'Data Base'!$D",H140)),INDIRECT(CONCATENATE("'Data Base'!$E",H140))))*((100-L140)/100)))))))</f>
        <v>0</v>
      </c>
      <c r="T138" s="147"/>
      <c r="U138" s="1414"/>
      <c r="Z138" s="19">
        <f>SUM(Z135,AA138)</f>
        <v>0</v>
      </c>
      <c r="AA138" s="19">
        <f>IF(OR(OR(B138="",F138="",H138="",J138="",P138=""),AND(M138="",O138="")),0,1)</f>
        <v>0</v>
      </c>
      <c r="AB138" s="19">
        <f t="shared" ref="AB138" ca="1" si="166">IF(AND(AA138=1,S138&gt;0),1,0)</f>
        <v>0</v>
      </c>
      <c r="AC138" s="19">
        <f t="shared" ref="AC138" ca="1" si="167">IF(AND(AA138=1,S138&lt;1),1,0)</f>
        <v>0</v>
      </c>
      <c r="AD138" s="19">
        <f ca="1">IF(AND(AA138=1,S138&gt;=1,AJ138=1),1,0)</f>
        <v>0</v>
      </c>
      <c r="AE138" s="19">
        <f ca="1">IF(AD138=1,S138,0)</f>
        <v>0</v>
      </c>
      <c r="AF138" s="19">
        <f ca="1">IF(AND(AA138=1,S138&gt;=1,AJ138=1,AR140=1),1,0)</f>
        <v>0</v>
      </c>
      <c r="AG138" s="19">
        <f ca="1">IF(AF138=1,S138,0)</f>
        <v>0</v>
      </c>
      <c r="AH138" s="19">
        <f>IF(OR(EXACT(H138,"JCR-Q1"),EXACT(H138,"JCR-Q2")),(1),(0))</f>
        <v>0</v>
      </c>
      <c r="AI138" s="19">
        <f>IF(OR(EXACT(H138,"JCR-Q1"),EXACT(H138,"JCR-Q2"),EXACT(H138,"JCR-Q3")),(1),(0))</f>
        <v>0</v>
      </c>
      <c r="AJ138" s="19">
        <f>IF(OR(EXACT(H138,"JCR-Q1"),EXACT(H138,"JCR-Q2"),EXACT(H138,"JCR-Q3"),EXACT(H138,"JCR-Q4")),(1),(0))</f>
        <v>0</v>
      </c>
      <c r="AK138" s="19">
        <f>IF(OR(EXACT(H138,"JCR-Q1"),EXACT(H138,"JCR-Q2"),EXACT(H138,"JCR-Q3"),EXACT(H138,"JCR-Q4"),EXACT(H138,"WOS")),(1),(0))</f>
        <v>0</v>
      </c>
      <c r="AL138" s="19">
        <f>IF(OR(EXACT(H138,"JCR-Q1"),EXACT(H138,"JCR-Q2"),EXACT(H138,"JCR-Q3"),EXACT(H138,"JCR-Q4"),EXACT(H138,"WOS"),EXACT(H138,"Scopus")),(1),(0))</f>
        <v>0</v>
      </c>
      <c r="AM138" s="19">
        <f>IF(OR(EXACT(H138,'Data Base'!$B$21),EXACT(H138,'Data Base'!$B$22)),(1),(0))</f>
        <v>0</v>
      </c>
    </row>
    <row r="139" spans="1:83" ht="20.25" customHeight="1">
      <c r="A139" s="1416" t="s">
        <v>29</v>
      </c>
      <c r="B139" s="1417"/>
      <c r="C139" s="1417"/>
      <c r="D139" s="1418"/>
      <c r="E139" s="514" t="s">
        <v>1001</v>
      </c>
      <c r="F139" s="515"/>
      <c r="G139" s="516" t="s">
        <v>801</v>
      </c>
      <c r="H139" s="517"/>
      <c r="I139" s="516" t="s">
        <v>1002</v>
      </c>
      <c r="J139" s="518"/>
      <c r="K139" s="516" t="s">
        <v>1003</v>
      </c>
      <c r="L139" s="519"/>
      <c r="M139" s="516" t="s">
        <v>1004</v>
      </c>
      <c r="N139" s="520"/>
      <c r="O139" s="1266" t="s">
        <v>55</v>
      </c>
      <c r="P139" s="1419"/>
      <c r="Q139" s="1419"/>
      <c r="R139" s="1419"/>
      <c r="S139" s="1419"/>
      <c r="T139" s="1419"/>
      <c r="U139" s="1415"/>
      <c r="AN139" s="19">
        <f>IF(AND(AA138=1,EXACT(J139,"نفر اول")),(1),(0))</f>
        <v>0</v>
      </c>
      <c r="AO139" s="19">
        <f>IF(AN139=1,R138,0)</f>
        <v>0</v>
      </c>
      <c r="AP139" s="19">
        <f>IF(AND(AA138=1,EXACT(J139,"همكار")),(1),(0))</f>
        <v>0</v>
      </c>
      <c r="AQ139" s="19">
        <f>IF(AP139=1,R138,0)</f>
        <v>0</v>
      </c>
      <c r="AV139" s="19">
        <f>IF((AH138=1),R138,0)</f>
        <v>0</v>
      </c>
      <c r="AW139" s="19">
        <f>IF(AND(EXACT(AN139,"1"),EXACT(AH138,"1")),(1),(0))</f>
        <v>0</v>
      </c>
      <c r="AX139" s="19">
        <f>IF((AW139=1),AV139,0)</f>
        <v>0</v>
      </c>
      <c r="BB139" s="19">
        <f>IF((AI138=1),R138,0)</f>
        <v>0</v>
      </c>
      <c r="BC139" s="19">
        <f>IF(AND(EXACT(AI138,"1"),EXACT(AN139,"1")),(1),(0))</f>
        <v>0</v>
      </c>
      <c r="BD139" s="19">
        <f>IF((BC139=1),BB139,0)</f>
        <v>0</v>
      </c>
      <c r="BH139" s="19">
        <f>IF((AJ138=1),R138,0)</f>
        <v>0</v>
      </c>
      <c r="BI139" s="19">
        <f>IF(AND(EXACT(AJ138,"1"),EXACT(AN139,"1")),(1),(0))</f>
        <v>0</v>
      </c>
      <c r="BJ139" s="19">
        <f>IF((BI139=1),BH139,0)</f>
        <v>0</v>
      </c>
      <c r="BN139" s="19">
        <f>IF((AK138=1),R138,0)</f>
        <v>0</v>
      </c>
      <c r="BO139" s="19">
        <f>IF(AND(EXACT(AK138,"1"),EXACT(AN139,"1")),(1),(0))</f>
        <v>0</v>
      </c>
      <c r="BP139" s="19">
        <f>IF((BO139=1),BN139,0)</f>
        <v>0</v>
      </c>
      <c r="BT139" s="19">
        <f>IF((AL138=1),R138,0)</f>
        <v>0</v>
      </c>
      <c r="BU139" s="19">
        <f>IF(AND(EXACT(AN139,"1"),EXACT(AL138,"1")),(1),(0))</f>
        <v>0</v>
      </c>
      <c r="BV139" s="19">
        <f>IF((BU139=1),BT139,0)</f>
        <v>0</v>
      </c>
      <c r="BZ139" s="19">
        <f>IF((AM138=1),R138,0)</f>
        <v>0</v>
      </c>
      <c r="CA139" s="19">
        <f>IF(AND(EXACT(AM138,"1"),EXACT(AN139,"1")),(1),(0))</f>
        <v>0</v>
      </c>
      <c r="CB139" s="19">
        <f>IF((CA139=1),BZ139,0)</f>
        <v>0</v>
      </c>
    </row>
    <row r="140" spans="1:83" ht="20.25">
      <c r="A140" s="1420" t="s">
        <v>30</v>
      </c>
      <c r="B140" s="1421"/>
      <c r="C140" s="1421"/>
      <c r="D140" s="1422"/>
      <c r="E140" s="536" t="s">
        <v>1001</v>
      </c>
      <c r="F140" s="537"/>
      <c r="G140" s="538" t="s">
        <v>801</v>
      </c>
      <c r="H140" s="539"/>
      <c r="I140" s="538" t="s">
        <v>1002</v>
      </c>
      <c r="J140" s="525"/>
      <c r="K140" s="538" t="s">
        <v>1003</v>
      </c>
      <c r="L140" s="540"/>
      <c r="M140" s="538" t="s">
        <v>1004</v>
      </c>
      <c r="N140" s="541"/>
      <c r="O140" s="1266"/>
      <c r="P140" s="1423"/>
      <c r="Q140" s="1423"/>
      <c r="R140" s="1423"/>
      <c r="S140" s="1423"/>
      <c r="T140" s="1423"/>
      <c r="U140" s="1415"/>
      <c r="AR140" s="19">
        <f>IF(AND(AA138=1,EXACT(J140,"نفر اول")),(1),(0))</f>
        <v>0</v>
      </c>
      <c r="AS140" s="19">
        <f>IF(AR140=1,S138,0)</f>
        <v>0</v>
      </c>
      <c r="AT140" s="19">
        <f>IF(AND(AA138=1,EXACT(J140,"همكار")),(1),(0))</f>
        <v>0</v>
      </c>
      <c r="AU140" s="19">
        <f>IF(AT140=1,S138,0)</f>
        <v>0</v>
      </c>
      <c r="AY140" s="19">
        <f>IF((AH138=1),S138,0)</f>
        <v>0</v>
      </c>
      <c r="AZ140" s="19">
        <f>IF(AND(EXACT(AR140,"1"),EXACT(AH138,"1")),(1),(0))</f>
        <v>0</v>
      </c>
      <c r="BA140" s="19">
        <f>IF((AZ140=1),AY140,0)</f>
        <v>0</v>
      </c>
      <c r="BE140" s="19">
        <f>IF((AI138=1),S138,0)</f>
        <v>0</v>
      </c>
      <c r="BF140" s="19">
        <f>IF(AND(EXACT(AI138,"1"),EXACT(AR140,"1")),(1),(0))</f>
        <v>0</v>
      </c>
      <c r="BG140" s="19">
        <f>IF((BF140=1),BE140,0)</f>
        <v>0</v>
      </c>
      <c r="BK140" s="19">
        <f>IF((AJ138=1),S138,0)</f>
        <v>0</v>
      </c>
      <c r="BL140" s="19">
        <f>IF(AND(EXACT(AJ138,"1"),EXACT(AR140,"1")),(1),(0))</f>
        <v>0</v>
      </c>
      <c r="BM140" s="19">
        <f>IF((BL140=1),BK140,0)</f>
        <v>0</v>
      </c>
      <c r="BQ140" s="19">
        <f>IF((AJ138=1),S138,0)</f>
        <v>0</v>
      </c>
      <c r="BR140" s="19">
        <f>IF(AND(EXACT(AJ138,"1"),EXACT(AR140,"1")),(1),(0))</f>
        <v>0</v>
      </c>
      <c r="BS140" s="19">
        <f>IF((BL140=1),BK140,0)</f>
        <v>0</v>
      </c>
      <c r="BW140" s="19">
        <f>IF((AL138=1),S138,0)</f>
        <v>0</v>
      </c>
      <c r="BX140" s="19">
        <f>IF(AND(EXACT(AL138,"1"),EXACT(AR140,"1")),(1),(0))</f>
        <v>0</v>
      </c>
      <c r="BY140" s="19">
        <f>IF((BX140=1),BW140,0)</f>
        <v>0</v>
      </c>
      <c r="CC140" s="19">
        <f>IF((AM138=1),R138,0)</f>
        <v>0</v>
      </c>
      <c r="CD140" s="19">
        <f>IF(AND(EXACT(AM138,"1"),EXACT(AR140,"1")),(1),(0))</f>
        <v>0</v>
      </c>
      <c r="CE140" s="19">
        <f>IF((CD140=1),CC140,0)</f>
        <v>0</v>
      </c>
    </row>
    <row r="141" spans="1:83" ht="20.25">
      <c r="A141" s="12">
        <f>IF(AA141=0,0,IF(AA138=0,Z141,SUM(A138,AA141)))</f>
        <v>0</v>
      </c>
      <c r="B141" s="1157"/>
      <c r="C141" s="1157"/>
      <c r="D141" s="1157"/>
      <c r="E141" s="1182"/>
      <c r="F141" s="1424"/>
      <c r="G141" s="1424"/>
      <c r="H141" s="527"/>
      <c r="I141" s="528"/>
      <c r="J141" s="529"/>
      <c r="K141" s="530"/>
      <c r="L141" s="531"/>
      <c r="M141" s="532"/>
      <c r="N141" s="533"/>
      <c r="O141" s="532"/>
      <c r="P141" s="1182"/>
      <c r="Q141" s="1182"/>
      <c r="R141" s="534">
        <f t="shared" ref="R141" ca="1" si="168">IF(OR(EXACT(H141,""),EXACT(B141,""),EXACT(F142,""),EXACT(H142,""),EXACT(J142,""),EXACT(L142,""),EXACT(N142,""),EXACT(F141,""),EXACT(J141,""),EXACT(M141,""),EXACT(N141,""),EXACT(O141,""),EXACT(P141,"")),0,IF(OR(EXACT(P142,"مقاله پر استناد"),EXACT(P142,"مقاله داغ"),EXACT(P142,"مستخرج از برنامه تحقيقاتي ملي معطوف به رفع مشكلات كشور")),(1.5*(F142*N142*(IF(EXACT(J142,"نفر اول"),INDIRECT(CONCATENATE("'Data Base'!$d",H142)),INDIRECT(CONCATENATE("'Data Base'!$e",H142))))*((100-L142)/100))),IF(EXACT(P142,"Short Article"),(0.5*(F142*N142*(IF(EXACT(J142,"نفر اول"),INDIRECT(CONCATENATE("'Data Base'!$D",H142)),INDIRECT(CONCATENATE("'Data Base'!$E",H142))))*((100-L142)/100))),IF(EXACT(P142,"چاپ شده در نشريات بسيار پر استناد Nature و Science"),(2*(F142*N142*(IF(EXACT(J142,"نفر اول"),INDIRECT(CONCATENATE("'Data Base'!$D",H142)),INDIRECT(CONCATENATE("'Data Base'!$E",H142))))*((100-L142)/100))),IF(OR(EXACT(P142,"مستخرج از طرح پژوهشي محرمانه"),EXACT(P142,"مشترك با اساتيد دانشگاه خارج از كشور")),(1.2*(F142*N142*(IF(EXACT(J142,"نفر اول"),INDIRECT(CONCATENATE("'Data Base'!$D",H142)),INDIRECT(CONCATENATE("'Data Base'!$E",H142))))*((100-L142)/100))),(F142*N142*(IF(EXACT(J142,"نفر اول"),INDIRECT(CONCATENATE("'Data Base'!$d",H142)),INDIRECT(CONCATENATE("'Data Base'!$e",H142))))*((100-L142)/100)))))))</f>
        <v>0</v>
      </c>
      <c r="S141" s="535">
        <f t="shared" ref="S141" ca="1" si="169">IF(OR(EXACT(H141,""),EXACT(B141,""),EXACT(F143,""),EXACT(H143,""),EXACT(J143,""),EXACT(L143,""),EXACT(N143,""),EXACT(F141,""),EXACT(J141,""),EXACT(M141,""),EXACT(N141,""),EXACT(O141,""),EXACT(P141,"")),0,IF(OR(EXACT(P143,"مقاله پر استناد"),EXACT(P143,"مقاله داغ"),EXACT(P143,"مستخرج از برنامه تحقيقاتي ملي معطوف به رفع مشكلات كشور")),(1.5*(F143*N143*(IF(EXACT(J143,"نفر اول"),INDIRECT(CONCATENATE("'Data Base'!$d",H143)),INDIRECT(CONCATENATE("'Data Base'!$E",H143))))*((100-L143)/100))),IF(EXACT(P143,"Short Article"),(0.5*(F143*N143*(IF(EXACT(J143,"نفر اول"),INDIRECT(CONCATENATE("'Data Base'!$D",H143)),INDIRECT(CONCATENATE("'Data Base'!$E",H143))))*((100-L143)/100))),IF(EXACT(P143,"چاپ شده در نشريات بسيار پر استناد Nature و Science"),(2*(F143*N143*(IF(EXACT(J143,"نفر اول"),INDIRECT(CONCATENATE("'Data Base'!$D",H143)),INDIRECT(CONCATENATE("'Data Base'!$E",H143))))*((100-L143)/100))),IF(OR(EXACT(P143,"مستخرج از طرح پژوهشي محرمانه"),EXACT(P143,"مشترك با اساتيد دانشگاه خارج از كشور")),(1.2*(F143*N143*(IF(EXACT(J143,"نفر اول"),INDIRECT(CONCATENATE("'Data Base'!$D",H143)),INDIRECT(CONCATENATE("'Data Base'!$E",H143))))*((100-L143)/100))),(F143*N143*(IF(EXACT(J143,"نفر اول"),INDIRECT(CONCATENATE("'Data Base'!$D",H143)),INDIRECT(CONCATENATE("'Data Base'!$E",H143))))*((100-L143)/100)))))))</f>
        <v>0</v>
      </c>
      <c r="T141" s="147"/>
      <c r="U141" s="1414"/>
      <c r="Z141" s="19">
        <f>SUM(Z138,AA141)</f>
        <v>0</v>
      </c>
      <c r="AA141" s="19">
        <f>IF(OR(OR(B141="",F141="",H141="",J141="",P141=""),AND(M141="",O141="")),0,1)</f>
        <v>0</v>
      </c>
      <c r="AB141" s="19">
        <f t="shared" ref="AB141" ca="1" si="170">IF(AND(AA141=1,S141&gt;0),1,0)</f>
        <v>0</v>
      </c>
      <c r="AC141" s="19">
        <f t="shared" ref="AC141" ca="1" si="171">IF(AND(AA141=1,S141&lt;1),1,0)</f>
        <v>0</v>
      </c>
      <c r="AD141" s="19">
        <f ca="1">IF(AND(AA141=1,S141&gt;=1,AJ141=1),1,0)</f>
        <v>0</v>
      </c>
      <c r="AE141" s="19">
        <f ca="1">IF(AD141=1,S141,0)</f>
        <v>0</v>
      </c>
      <c r="AF141" s="19">
        <f ca="1">IF(AND(AA141=1,S141&gt;=1,AJ141=1,AR143=1),1,0)</f>
        <v>0</v>
      </c>
      <c r="AG141" s="19">
        <f ca="1">IF(AF141=1,S141,0)</f>
        <v>0</v>
      </c>
      <c r="AH141" s="19">
        <f>IF(OR(EXACT(H141,"JCR-Q1"),EXACT(H141,"JCR-Q2")),(1),(0))</f>
        <v>0</v>
      </c>
      <c r="AI141" s="19">
        <f>IF(OR(EXACT(H141,"JCR-Q1"),EXACT(H141,"JCR-Q2"),EXACT(H141,"JCR-Q3")),(1),(0))</f>
        <v>0</v>
      </c>
      <c r="AJ141" s="19">
        <f>IF(OR(EXACT(H141,"JCR-Q1"),EXACT(H141,"JCR-Q2"),EXACT(H141,"JCR-Q3"),EXACT(H141,"JCR-Q4")),(1),(0))</f>
        <v>0</v>
      </c>
      <c r="AK141" s="19">
        <f>IF(OR(EXACT(H141,"JCR-Q1"),EXACT(H141,"JCR-Q2"),EXACT(H141,"JCR-Q3"),EXACT(H141,"JCR-Q4"),EXACT(H141,"WOS")),(1),(0))</f>
        <v>0</v>
      </c>
      <c r="AL141" s="19">
        <f>IF(OR(EXACT(H141,"JCR-Q1"),EXACT(H141,"JCR-Q2"),EXACT(H141,"JCR-Q3"),EXACT(H141,"JCR-Q4"),EXACT(H141,"WOS"),EXACT(H141,"Scopus")),(1),(0))</f>
        <v>0</v>
      </c>
      <c r="AM141" s="19">
        <f>IF(OR(EXACT(H141,'Data Base'!$B$21),EXACT(H141,'Data Base'!$B$22)),(1),(0))</f>
        <v>0</v>
      </c>
    </row>
    <row r="142" spans="1:83" ht="20.25" customHeight="1">
      <c r="A142" s="1416" t="s">
        <v>29</v>
      </c>
      <c r="B142" s="1417"/>
      <c r="C142" s="1417"/>
      <c r="D142" s="1418"/>
      <c r="E142" s="514" t="s">
        <v>1001</v>
      </c>
      <c r="F142" s="515"/>
      <c r="G142" s="516" t="s">
        <v>801</v>
      </c>
      <c r="H142" s="517"/>
      <c r="I142" s="516" t="s">
        <v>1002</v>
      </c>
      <c r="J142" s="518"/>
      <c r="K142" s="516" t="s">
        <v>1003</v>
      </c>
      <c r="L142" s="519"/>
      <c r="M142" s="516" t="s">
        <v>1004</v>
      </c>
      <c r="N142" s="520"/>
      <c r="O142" s="1266" t="s">
        <v>55</v>
      </c>
      <c r="P142" s="1419"/>
      <c r="Q142" s="1419"/>
      <c r="R142" s="1419"/>
      <c r="S142" s="1419"/>
      <c r="T142" s="1419"/>
      <c r="U142" s="1415"/>
      <c r="AN142" s="19">
        <f>IF(AND(AA141=1,EXACT(J142,"نفر اول")),(1),(0))</f>
        <v>0</v>
      </c>
      <c r="AO142" s="19">
        <f>IF(AN142=1,R141,0)</f>
        <v>0</v>
      </c>
      <c r="AP142" s="19">
        <f>IF(AND(AA141=1,EXACT(J142,"همكار")),(1),(0))</f>
        <v>0</v>
      </c>
      <c r="AQ142" s="19">
        <f>IF(AP142=1,R141,0)</f>
        <v>0</v>
      </c>
      <c r="AV142" s="19">
        <f>IF((AH141=1),R141,0)</f>
        <v>0</v>
      </c>
      <c r="AW142" s="19">
        <f>IF(AND(EXACT(AN142,"1"),EXACT(AH141,"1")),(1),(0))</f>
        <v>0</v>
      </c>
      <c r="AX142" s="19">
        <f>IF((AW142=1),AV142,0)</f>
        <v>0</v>
      </c>
      <c r="BB142" s="19">
        <f>IF((AI141=1),R141,0)</f>
        <v>0</v>
      </c>
      <c r="BC142" s="19">
        <f>IF(AND(EXACT(AI141,"1"),EXACT(AN142,"1")),(1),(0))</f>
        <v>0</v>
      </c>
      <c r="BD142" s="19">
        <f>IF((BC142=1),BB142,0)</f>
        <v>0</v>
      </c>
      <c r="BH142" s="19">
        <f>IF((AJ141=1),R141,0)</f>
        <v>0</v>
      </c>
      <c r="BI142" s="19">
        <f>IF(AND(EXACT(AJ141,"1"),EXACT(AN142,"1")),(1),(0))</f>
        <v>0</v>
      </c>
      <c r="BJ142" s="19">
        <f>IF((BI142=1),BH142,0)</f>
        <v>0</v>
      </c>
      <c r="BN142" s="19">
        <f>IF((AK141=1),R141,0)</f>
        <v>0</v>
      </c>
      <c r="BO142" s="19">
        <f>IF(AND(EXACT(AK141,"1"),EXACT(AN142,"1")),(1),(0))</f>
        <v>0</v>
      </c>
      <c r="BP142" s="19">
        <f>IF((BO142=1),BN142,0)</f>
        <v>0</v>
      </c>
      <c r="BT142" s="19">
        <f>IF((AL141=1),R141,0)</f>
        <v>0</v>
      </c>
      <c r="BU142" s="19">
        <f>IF(AND(EXACT(AN142,"1"),EXACT(AL141,"1")),(1),(0))</f>
        <v>0</v>
      </c>
      <c r="BV142" s="19">
        <f>IF((BU142=1),BT142,0)</f>
        <v>0</v>
      </c>
      <c r="BZ142" s="19">
        <f>IF((AM141=1),R141,0)</f>
        <v>0</v>
      </c>
      <c r="CA142" s="19">
        <f>IF(AND(EXACT(AM141,"1"),EXACT(AN142,"1")),(1),(0))</f>
        <v>0</v>
      </c>
      <c r="CB142" s="19">
        <f>IF((CA142=1),BZ142,0)</f>
        <v>0</v>
      </c>
    </row>
    <row r="143" spans="1:83" ht="20.25">
      <c r="A143" s="1420" t="s">
        <v>30</v>
      </c>
      <c r="B143" s="1421"/>
      <c r="C143" s="1421"/>
      <c r="D143" s="1422"/>
      <c r="E143" s="536" t="s">
        <v>1001</v>
      </c>
      <c r="F143" s="537"/>
      <c r="G143" s="538" t="s">
        <v>801</v>
      </c>
      <c r="H143" s="539"/>
      <c r="I143" s="538" t="s">
        <v>1002</v>
      </c>
      <c r="J143" s="525"/>
      <c r="K143" s="538" t="s">
        <v>1003</v>
      </c>
      <c r="L143" s="540"/>
      <c r="M143" s="538" t="s">
        <v>1004</v>
      </c>
      <c r="N143" s="541"/>
      <c r="O143" s="1266"/>
      <c r="P143" s="1423"/>
      <c r="Q143" s="1423"/>
      <c r="R143" s="1423"/>
      <c r="S143" s="1423"/>
      <c r="T143" s="1423"/>
      <c r="U143" s="1415"/>
      <c r="AR143" s="19">
        <f>IF(AND(AA141=1,EXACT(J143,"نفر اول")),(1),(0))</f>
        <v>0</v>
      </c>
      <c r="AS143" s="19">
        <f>IF(AR143=1,S141,0)</f>
        <v>0</v>
      </c>
      <c r="AT143" s="19">
        <f>IF(AND(AA141=1,EXACT(J143,"همكار")),(1),(0))</f>
        <v>0</v>
      </c>
      <c r="AU143" s="19">
        <f>IF(AT143=1,S141,0)</f>
        <v>0</v>
      </c>
      <c r="AY143" s="19">
        <f>IF((AH141=1),S141,0)</f>
        <v>0</v>
      </c>
      <c r="AZ143" s="19">
        <f>IF(AND(EXACT(AR143,"1"),EXACT(AH141,"1")),(1),(0))</f>
        <v>0</v>
      </c>
      <c r="BA143" s="19">
        <f>IF((AZ143=1),AY143,0)</f>
        <v>0</v>
      </c>
      <c r="BE143" s="19">
        <f>IF((AI141=1),S141,0)</f>
        <v>0</v>
      </c>
      <c r="BF143" s="19">
        <f>IF(AND(EXACT(AI141,"1"),EXACT(AR143,"1")),(1),(0))</f>
        <v>0</v>
      </c>
      <c r="BG143" s="19">
        <f>IF((BF143=1),BE143,0)</f>
        <v>0</v>
      </c>
      <c r="BK143" s="19">
        <f>IF((AJ141=1),S141,0)</f>
        <v>0</v>
      </c>
      <c r="BL143" s="19">
        <f>IF(AND(EXACT(AJ141,"1"),EXACT(AR143,"1")),(1),(0))</f>
        <v>0</v>
      </c>
      <c r="BM143" s="19">
        <f>IF((BL143=1),BK143,0)</f>
        <v>0</v>
      </c>
      <c r="BQ143" s="19">
        <f>IF((AJ141=1),S141,0)</f>
        <v>0</v>
      </c>
      <c r="BR143" s="19">
        <f>IF(AND(EXACT(AJ141,"1"),EXACT(AR143,"1")),(1),(0))</f>
        <v>0</v>
      </c>
      <c r="BS143" s="19">
        <f>IF((BL143=1),BK143,0)</f>
        <v>0</v>
      </c>
      <c r="BW143" s="19">
        <f>IF((AL141=1),S141,0)</f>
        <v>0</v>
      </c>
      <c r="BX143" s="19">
        <f>IF(AND(EXACT(AL141,"1"),EXACT(AR143,"1")),(1),(0))</f>
        <v>0</v>
      </c>
      <c r="BY143" s="19">
        <f>IF((BX143=1),BW143,0)</f>
        <v>0</v>
      </c>
      <c r="CC143" s="19">
        <f>IF((AM141=1),R141,0)</f>
        <v>0</v>
      </c>
      <c r="CD143" s="19">
        <f>IF(AND(EXACT(AM141,"1"),EXACT(AR143,"1")),(1),(0))</f>
        <v>0</v>
      </c>
      <c r="CE143" s="19">
        <f>IF((CD143=1),CC143,0)</f>
        <v>0</v>
      </c>
    </row>
    <row r="144" spans="1:83" ht="20.25">
      <c r="A144" s="12">
        <f>IF(AA144=0,0,IF(AA141=0,Z144,SUM(A141,AA144)))</f>
        <v>0</v>
      </c>
      <c r="B144" s="1157"/>
      <c r="C144" s="1157"/>
      <c r="D144" s="1157"/>
      <c r="E144" s="1182"/>
      <c r="F144" s="1424"/>
      <c r="G144" s="1424"/>
      <c r="H144" s="527"/>
      <c r="I144" s="528"/>
      <c r="J144" s="529"/>
      <c r="K144" s="530"/>
      <c r="L144" s="531"/>
      <c r="M144" s="532"/>
      <c r="N144" s="533"/>
      <c r="O144" s="532"/>
      <c r="P144" s="1182"/>
      <c r="Q144" s="1182"/>
      <c r="R144" s="534">
        <f t="shared" ref="R144" ca="1" si="172">IF(OR(EXACT(H144,""),EXACT(B144,""),EXACT(F145,""),EXACT(H145,""),EXACT(J145,""),EXACT(L145,""),EXACT(N145,""),EXACT(F144,""),EXACT(J144,""),EXACT(M144,""),EXACT(N144,""),EXACT(O144,""),EXACT(P144,"")),0,IF(OR(EXACT(P145,"مقاله پر استناد"),EXACT(P145,"مقاله داغ"),EXACT(P145,"مستخرج از برنامه تحقيقاتي ملي معطوف به رفع مشكلات كشور")),(1.5*(F145*N145*(IF(EXACT(J145,"نفر اول"),INDIRECT(CONCATENATE("'Data Base'!$d",H145)),INDIRECT(CONCATENATE("'Data Base'!$e",H145))))*((100-L145)/100))),IF(EXACT(P145,"Short Article"),(0.5*(F145*N145*(IF(EXACT(J145,"نفر اول"),INDIRECT(CONCATENATE("'Data Base'!$D",H145)),INDIRECT(CONCATENATE("'Data Base'!$E",H145))))*((100-L145)/100))),IF(EXACT(P145,"چاپ شده در نشريات بسيار پر استناد Nature و Science"),(2*(F145*N145*(IF(EXACT(J145,"نفر اول"),INDIRECT(CONCATENATE("'Data Base'!$D",H145)),INDIRECT(CONCATENATE("'Data Base'!$E",H145))))*((100-L145)/100))),IF(OR(EXACT(P145,"مستخرج از طرح پژوهشي محرمانه"),EXACT(P145,"مشترك با اساتيد دانشگاه خارج از كشور")),(1.2*(F145*N145*(IF(EXACT(J145,"نفر اول"),INDIRECT(CONCATENATE("'Data Base'!$D",H145)),INDIRECT(CONCATENATE("'Data Base'!$E",H145))))*((100-L145)/100))),(F145*N145*(IF(EXACT(J145,"نفر اول"),INDIRECT(CONCATENATE("'Data Base'!$d",H145)),INDIRECT(CONCATENATE("'Data Base'!$e",H145))))*((100-L145)/100)))))))</f>
        <v>0</v>
      </c>
      <c r="S144" s="535">
        <f t="shared" ref="S144" ca="1" si="173">IF(OR(EXACT(H144,""),EXACT(B144,""),EXACT(F146,""),EXACT(H146,""),EXACT(J146,""),EXACT(L146,""),EXACT(N146,""),EXACT(F144,""),EXACT(J144,""),EXACT(M144,""),EXACT(N144,""),EXACT(O144,""),EXACT(P144,"")),0,IF(OR(EXACT(P146,"مقاله پر استناد"),EXACT(P146,"مقاله داغ"),EXACT(P146,"مستخرج از برنامه تحقيقاتي ملي معطوف به رفع مشكلات كشور")),(1.5*(F146*N146*(IF(EXACT(J146,"نفر اول"),INDIRECT(CONCATENATE("'Data Base'!$d",H146)),INDIRECT(CONCATENATE("'Data Base'!$E",H146))))*((100-L146)/100))),IF(EXACT(P146,"Short Article"),(0.5*(F146*N146*(IF(EXACT(J146,"نفر اول"),INDIRECT(CONCATENATE("'Data Base'!$D",H146)),INDIRECT(CONCATENATE("'Data Base'!$E",H146))))*((100-L146)/100))),IF(EXACT(P146,"چاپ شده در نشريات بسيار پر استناد Nature و Science"),(2*(F146*N146*(IF(EXACT(J146,"نفر اول"),INDIRECT(CONCATENATE("'Data Base'!$D",H146)),INDIRECT(CONCATENATE("'Data Base'!$E",H146))))*((100-L146)/100))),IF(OR(EXACT(P146,"مستخرج از طرح پژوهشي محرمانه"),EXACT(P146,"مشترك با اساتيد دانشگاه خارج از كشور")),(1.2*(F146*N146*(IF(EXACT(J146,"نفر اول"),INDIRECT(CONCATENATE("'Data Base'!$D",H146)),INDIRECT(CONCATENATE("'Data Base'!$E",H146))))*((100-L146)/100))),(F146*N146*(IF(EXACT(J146,"نفر اول"),INDIRECT(CONCATENATE("'Data Base'!$D",H146)),INDIRECT(CONCATENATE("'Data Base'!$E",H146))))*((100-L146)/100)))))))</f>
        <v>0</v>
      </c>
      <c r="T144" s="147"/>
      <c r="U144" s="1414"/>
      <c r="Z144" s="19">
        <f>SUM(Z141,AA144)</f>
        <v>0</v>
      </c>
      <c r="AA144" s="19">
        <f>IF(OR(OR(B144="",F144="",H144="",J144="",P144=""),AND(M144="",O144="")),0,1)</f>
        <v>0</v>
      </c>
      <c r="AB144" s="19">
        <f t="shared" ref="AB144" ca="1" si="174">IF(AND(AA144=1,S144&gt;0),1,0)</f>
        <v>0</v>
      </c>
      <c r="AC144" s="19">
        <f t="shared" ref="AC144" ca="1" si="175">IF(AND(AA144=1,S144&lt;1),1,0)</f>
        <v>0</v>
      </c>
      <c r="AD144" s="19">
        <f ca="1">IF(AND(AA144=1,S144&gt;=1,AJ144=1),1,0)</f>
        <v>0</v>
      </c>
      <c r="AE144" s="19">
        <f ca="1">IF(AD144=1,S144,0)</f>
        <v>0</v>
      </c>
      <c r="AF144" s="19">
        <f ca="1">IF(AND(AA144=1,S144&gt;=1,AJ144=1,AR146=1),1,0)</f>
        <v>0</v>
      </c>
      <c r="AG144" s="19">
        <f ca="1">IF(AF144=1,S144,0)</f>
        <v>0</v>
      </c>
      <c r="AH144" s="19">
        <f>IF(OR(EXACT(H144,"JCR-Q1"),EXACT(H144,"JCR-Q2")),(1),(0))</f>
        <v>0</v>
      </c>
      <c r="AI144" s="19">
        <f>IF(OR(EXACT(H144,"JCR-Q1"),EXACT(H144,"JCR-Q2"),EXACT(H144,"JCR-Q3")),(1),(0))</f>
        <v>0</v>
      </c>
      <c r="AJ144" s="19">
        <f>IF(OR(EXACT(H144,"JCR-Q1"),EXACT(H144,"JCR-Q2"),EXACT(H144,"JCR-Q3"),EXACT(H144,"JCR-Q4")),(1),(0))</f>
        <v>0</v>
      </c>
      <c r="AK144" s="19">
        <f>IF(OR(EXACT(H144,"JCR-Q1"),EXACT(H144,"JCR-Q2"),EXACT(H144,"JCR-Q3"),EXACT(H144,"JCR-Q4"),EXACT(H144,"WOS")),(1),(0))</f>
        <v>0</v>
      </c>
      <c r="AL144" s="19">
        <f>IF(OR(EXACT(H144,"JCR-Q1"),EXACT(H144,"JCR-Q2"),EXACT(H144,"JCR-Q3"),EXACT(H144,"JCR-Q4"),EXACT(H144,"WOS"),EXACT(H144,"Scopus")),(1),(0))</f>
        <v>0</v>
      </c>
      <c r="AM144" s="19">
        <f>IF(OR(EXACT(H144,'Data Base'!$B$21),EXACT(H144,'Data Base'!$B$22)),(1),(0))</f>
        <v>0</v>
      </c>
    </row>
    <row r="145" spans="1:83" ht="20.25" customHeight="1">
      <c r="A145" s="1416" t="s">
        <v>29</v>
      </c>
      <c r="B145" s="1417"/>
      <c r="C145" s="1417"/>
      <c r="D145" s="1418"/>
      <c r="E145" s="514" t="s">
        <v>1001</v>
      </c>
      <c r="F145" s="515"/>
      <c r="G145" s="516" t="s">
        <v>801</v>
      </c>
      <c r="H145" s="517"/>
      <c r="I145" s="516" t="s">
        <v>1002</v>
      </c>
      <c r="J145" s="518"/>
      <c r="K145" s="516" t="s">
        <v>1003</v>
      </c>
      <c r="L145" s="519"/>
      <c r="M145" s="516" t="s">
        <v>1004</v>
      </c>
      <c r="N145" s="520"/>
      <c r="O145" s="1266" t="s">
        <v>55</v>
      </c>
      <c r="P145" s="1419"/>
      <c r="Q145" s="1419"/>
      <c r="R145" s="1419"/>
      <c r="S145" s="1419"/>
      <c r="T145" s="1419"/>
      <c r="U145" s="1415"/>
      <c r="AN145" s="19">
        <f>IF(AND(AA144=1,EXACT(J145,"نفر اول")),(1),(0))</f>
        <v>0</v>
      </c>
      <c r="AO145" s="19">
        <f>IF(AN145=1,R144,0)</f>
        <v>0</v>
      </c>
      <c r="AP145" s="19">
        <f>IF(AND(AA144=1,EXACT(J145,"همكار")),(1),(0))</f>
        <v>0</v>
      </c>
      <c r="AQ145" s="19">
        <f>IF(AP145=1,R144,0)</f>
        <v>0</v>
      </c>
      <c r="AV145" s="19">
        <f>IF((AH144=1),R144,0)</f>
        <v>0</v>
      </c>
      <c r="AW145" s="19">
        <f>IF(AND(EXACT(AN145,"1"),EXACT(AH144,"1")),(1),(0))</f>
        <v>0</v>
      </c>
      <c r="AX145" s="19">
        <f>IF((AW145=1),AV145,0)</f>
        <v>0</v>
      </c>
      <c r="BB145" s="19">
        <f>IF((AI144=1),R144,0)</f>
        <v>0</v>
      </c>
      <c r="BC145" s="19">
        <f>IF(AND(EXACT(AI144,"1"),EXACT(AN145,"1")),(1),(0))</f>
        <v>0</v>
      </c>
      <c r="BD145" s="19">
        <f>IF((BC145=1),BB145,0)</f>
        <v>0</v>
      </c>
      <c r="BH145" s="19">
        <f>IF((AJ144=1),R144,0)</f>
        <v>0</v>
      </c>
      <c r="BI145" s="19">
        <f>IF(AND(EXACT(AJ144,"1"),EXACT(AN145,"1")),(1),(0))</f>
        <v>0</v>
      </c>
      <c r="BJ145" s="19">
        <f>IF((BI145=1),BH145,0)</f>
        <v>0</v>
      </c>
      <c r="BN145" s="19">
        <f>IF((AK144=1),R144,0)</f>
        <v>0</v>
      </c>
      <c r="BO145" s="19">
        <f>IF(AND(EXACT(AK144,"1"),EXACT(AN145,"1")),(1),(0))</f>
        <v>0</v>
      </c>
      <c r="BP145" s="19">
        <f>IF((BO145=1),BN145,0)</f>
        <v>0</v>
      </c>
      <c r="BT145" s="19">
        <f>IF((AL144=1),R144,0)</f>
        <v>0</v>
      </c>
      <c r="BU145" s="19">
        <f>IF(AND(EXACT(AN145,"1"),EXACT(AL144,"1")),(1),(0))</f>
        <v>0</v>
      </c>
      <c r="BV145" s="19">
        <f>IF((BU145=1),BT145,0)</f>
        <v>0</v>
      </c>
      <c r="BZ145" s="19">
        <f>IF((AM144=1),R144,0)</f>
        <v>0</v>
      </c>
      <c r="CA145" s="19">
        <f>IF(AND(EXACT(AM144,"1"),EXACT(AN145,"1")),(1),(0))</f>
        <v>0</v>
      </c>
      <c r="CB145" s="19">
        <f>IF((CA145=1),BZ145,0)</f>
        <v>0</v>
      </c>
    </row>
    <row r="146" spans="1:83" ht="20.25">
      <c r="A146" s="1420" t="s">
        <v>30</v>
      </c>
      <c r="B146" s="1421"/>
      <c r="C146" s="1421"/>
      <c r="D146" s="1422"/>
      <c r="E146" s="536" t="s">
        <v>1001</v>
      </c>
      <c r="F146" s="537"/>
      <c r="G146" s="538" t="s">
        <v>801</v>
      </c>
      <c r="H146" s="539"/>
      <c r="I146" s="538" t="s">
        <v>1002</v>
      </c>
      <c r="J146" s="525"/>
      <c r="K146" s="538" t="s">
        <v>1003</v>
      </c>
      <c r="L146" s="540"/>
      <c r="M146" s="538" t="s">
        <v>1004</v>
      </c>
      <c r="N146" s="541"/>
      <c r="O146" s="1266"/>
      <c r="P146" s="1423"/>
      <c r="Q146" s="1423"/>
      <c r="R146" s="1423"/>
      <c r="S146" s="1423"/>
      <c r="T146" s="1423"/>
      <c r="U146" s="1415"/>
      <c r="AR146" s="19">
        <f>IF(AND(AA144=1,EXACT(J146,"نفر اول")),(1),(0))</f>
        <v>0</v>
      </c>
      <c r="AS146" s="19">
        <f>IF(AR146=1,S144,0)</f>
        <v>0</v>
      </c>
      <c r="AT146" s="19">
        <f>IF(AND(AA144=1,EXACT(J146,"همكار")),(1),(0))</f>
        <v>0</v>
      </c>
      <c r="AU146" s="19">
        <f>IF(AT146=1,S144,0)</f>
        <v>0</v>
      </c>
      <c r="AY146" s="19">
        <f>IF((AH144=1),S144,0)</f>
        <v>0</v>
      </c>
      <c r="AZ146" s="19">
        <f>IF(AND(EXACT(AR146,"1"),EXACT(AH144,"1")),(1),(0))</f>
        <v>0</v>
      </c>
      <c r="BA146" s="19">
        <f>IF((AZ146=1),AY146,0)</f>
        <v>0</v>
      </c>
      <c r="BE146" s="19">
        <f>IF((AI144=1),S144,0)</f>
        <v>0</v>
      </c>
      <c r="BF146" s="19">
        <f>IF(AND(EXACT(AI144,"1"),EXACT(AR146,"1")),(1),(0))</f>
        <v>0</v>
      </c>
      <c r="BG146" s="19">
        <f>IF((BF146=1),BE146,0)</f>
        <v>0</v>
      </c>
      <c r="BK146" s="19">
        <f>IF((AJ144=1),S144,0)</f>
        <v>0</v>
      </c>
      <c r="BL146" s="19">
        <f>IF(AND(EXACT(AJ144,"1"),EXACT(AR146,"1")),(1),(0))</f>
        <v>0</v>
      </c>
      <c r="BM146" s="19">
        <f>IF((BL146=1),BK146,0)</f>
        <v>0</v>
      </c>
      <c r="BQ146" s="19">
        <f>IF((AJ144=1),S144,0)</f>
        <v>0</v>
      </c>
      <c r="BR146" s="19">
        <f>IF(AND(EXACT(AJ144,"1"),EXACT(AR146,"1")),(1),(0))</f>
        <v>0</v>
      </c>
      <c r="BS146" s="19">
        <f>IF((BL146=1),BK146,0)</f>
        <v>0</v>
      </c>
      <c r="BW146" s="19">
        <f>IF((AL144=1),S144,0)</f>
        <v>0</v>
      </c>
      <c r="BX146" s="19">
        <f>IF(AND(EXACT(AL144,"1"),EXACT(AR146,"1")),(1),(0))</f>
        <v>0</v>
      </c>
      <c r="BY146" s="19">
        <f>IF((BX146=1),BW146,0)</f>
        <v>0</v>
      </c>
      <c r="CC146" s="19">
        <f>IF((AM144=1),R144,0)</f>
        <v>0</v>
      </c>
      <c r="CD146" s="19">
        <f>IF(AND(EXACT(AM144,"1"),EXACT(AR146,"1")),(1),(0))</f>
        <v>0</v>
      </c>
      <c r="CE146" s="19">
        <f>IF((CD146=1),CC146,0)</f>
        <v>0</v>
      </c>
    </row>
    <row r="147" spans="1:83" ht="20.25">
      <c r="A147" s="12">
        <f>IF(AA147=0,0,IF(AA144=0,Z147,SUM(A144,AA147)))</f>
        <v>0</v>
      </c>
      <c r="B147" s="1157"/>
      <c r="C147" s="1157"/>
      <c r="D147" s="1157"/>
      <c r="E147" s="1182"/>
      <c r="F147" s="1424"/>
      <c r="G147" s="1424"/>
      <c r="H147" s="527"/>
      <c r="I147" s="528"/>
      <c r="J147" s="529"/>
      <c r="K147" s="530"/>
      <c r="L147" s="531"/>
      <c r="M147" s="532"/>
      <c r="N147" s="533"/>
      <c r="O147" s="532"/>
      <c r="P147" s="1182"/>
      <c r="Q147" s="1182"/>
      <c r="R147" s="534">
        <f t="shared" ref="R147" ca="1" si="176">IF(OR(EXACT(H147,""),EXACT(B147,""),EXACT(F148,""),EXACT(H148,""),EXACT(J148,""),EXACT(L148,""),EXACT(N148,""),EXACT(F147,""),EXACT(J147,""),EXACT(M147,""),EXACT(N147,""),EXACT(O147,""),EXACT(P147,"")),0,IF(OR(EXACT(P148,"مقاله پر استناد"),EXACT(P148,"مقاله داغ"),EXACT(P148,"مستخرج از برنامه تحقيقاتي ملي معطوف به رفع مشكلات كشور")),(1.5*(F148*N148*(IF(EXACT(J148,"نفر اول"),INDIRECT(CONCATENATE("'Data Base'!$d",H148)),INDIRECT(CONCATENATE("'Data Base'!$e",H148))))*((100-L148)/100))),IF(EXACT(P148,"Short Article"),(0.5*(F148*N148*(IF(EXACT(J148,"نفر اول"),INDIRECT(CONCATENATE("'Data Base'!$D",H148)),INDIRECT(CONCATENATE("'Data Base'!$E",H148))))*((100-L148)/100))),IF(EXACT(P148,"چاپ شده در نشريات بسيار پر استناد Nature و Science"),(2*(F148*N148*(IF(EXACT(J148,"نفر اول"),INDIRECT(CONCATENATE("'Data Base'!$D",H148)),INDIRECT(CONCATENATE("'Data Base'!$E",H148))))*((100-L148)/100))),IF(OR(EXACT(P148,"مستخرج از طرح پژوهشي محرمانه"),EXACT(P148,"مشترك با اساتيد دانشگاه خارج از كشور")),(1.2*(F148*N148*(IF(EXACT(J148,"نفر اول"),INDIRECT(CONCATENATE("'Data Base'!$D",H148)),INDIRECT(CONCATENATE("'Data Base'!$E",H148))))*((100-L148)/100))),(F148*N148*(IF(EXACT(J148,"نفر اول"),INDIRECT(CONCATENATE("'Data Base'!$d",H148)),INDIRECT(CONCATENATE("'Data Base'!$e",H148))))*((100-L148)/100)))))))</f>
        <v>0</v>
      </c>
      <c r="S147" s="535">
        <f t="shared" ref="S147" ca="1" si="177">IF(OR(EXACT(H147,""),EXACT(B147,""),EXACT(F149,""),EXACT(H149,""),EXACT(J149,""),EXACT(L149,""),EXACT(N149,""),EXACT(F147,""),EXACT(J147,""),EXACT(M147,""),EXACT(N147,""),EXACT(O147,""),EXACT(P147,"")),0,IF(OR(EXACT(P149,"مقاله پر استناد"),EXACT(P149,"مقاله داغ"),EXACT(P149,"مستخرج از برنامه تحقيقاتي ملي معطوف به رفع مشكلات كشور")),(1.5*(F149*N149*(IF(EXACT(J149,"نفر اول"),INDIRECT(CONCATENATE("'Data Base'!$d",H149)),INDIRECT(CONCATENATE("'Data Base'!$E",H149))))*((100-L149)/100))),IF(EXACT(P149,"Short Article"),(0.5*(F149*N149*(IF(EXACT(J149,"نفر اول"),INDIRECT(CONCATENATE("'Data Base'!$D",H149)),INDIRECT(CONCATENATE("'Data Base'!$E",H149))))*((100-L149)/100))),IF(EXACT(P149,"چاپ شده در نشريات بسيار پر استناد Nature و Science"),(2*(F149*N149*(IF(EXACT(J149,"نفر اول"),INDIRECT(CONCATENATE("'Data Base'!$D",H149)),INDIRECT(CONCATENATE("'Data Base'!$E",H149))))*((100-L149)/100))),IF(OR(EXACT(P149,"مستخرج از طرح پژوهشي محرمانه"),EXACT(P149,"مشترك با اساتيد دانشگاه خارج از كشور")),(1.2*(F149*N149*(IF(EXACT(J149,"نفر اول"),INDIRECT(CONCATENATE("'Data Base'!$D",H149)),INDIRECT(CONCATENATE("'Data Base'!$E",H149))))*((100-L149)/100))),(F149*N149*(IF(EXACT(J149,"نفر اول"),INDIRECT(CONCATENATE("'Data Base'!$D",H149)),INDIRECT(CONCATENATE("'Data Base'!$E",H149))))*((100-L149)/100)))))))</f>
        <v>0</v>
      </c>
      <c r="T147" s="147"/>
      <c r="U147" s="1414"/>
      <c r="Z147" s="19">
        <f>SUM(Z144,AA147)</f>
        <v>0</v>
      </c>
      <c r="AA147" s="19">
        <f>IF(OR(OR(B147="",F147="",H147="",J147="",P147=""),AND(M147="",O147="")),0,1)</f>
        <v>0</v>
      </c>
      <c r="AB147" s="19">
        <f t="shared" ref="AB147" ca="1" si="178">IF(AND(AA147=1,S147&gt;0),1,0)</f>
        <v>0</v>
      </c>
      <c r="AC147" s="19">
        <f t="shared" ref="AC147" ca="1" si="179">IF(AND(AA147=1,S147&lt;1),1,0)</f>
        <v>0</v>
      </c>
      <c r="AD147" s="19">
        <f ca="1">IF(AND(AA147=1,S147&gt;=1,AJ147=1),1,0)</f>
        <v>0</v>
      </c>
      <c r="AE147" s="19">
        <f ca="1">IF(AD147=1,S147,0)</f>
        <v>0</v>
      </c>
      <c r="AF147" s="19">
        <f ca="1">IF(AND(AA147=1,S147&gt;=1,AJ147=1,AR149=1),1,0)</f>
        <v>0</v>
      </c>
      <c r="AG147" s="19">
        <f ca="1">IF(AF147=1,S147,0)</f>
        <v>0</v>
      </c>
      <c r="AH147" s="19">
        <f>IF(OR(EXACT(H147,"JCR-Q1"),EXACT(H147,"JCR-Q2")),(1),(0))</f>
        <v>0</v>
      </c>
      <c r="AI147" s="19">
        <f>IF(OR(EXACT(H147,"JCR-Q1"),EXACT(H147,"JCR-Q2"),EXACT(H147,"JCR-Q3")),(1),(0))</f>
        <v>0</v>
      </c>
      <c r="AJ147" s="19">
        <f>IF(OR(EXACT(H147,"JCR-Q1"),EXACT(H147,"JCR-Q2"),EXACT(H147,"JCR-Q3"),EXACT(H147,"JCR-Q4")),(1),(0))</f>
        <v>0</v>
      </c>
      <c r="AK147" s="19">
        <f>IF(OR(EXACT(H147,"JCR-Q1"),EXACT(H147,"JCR-Q2"),EXACT(H147,"JCR-Q3"),EXACT(H147,"JCR-Q4"),EXACT(H147,"WOS")),(1),(0))</f>
        <v>0</v>
      </c>
      <c r="AL147" s="19">
        <f>IF(OR(EXACT(H147,"JCR-Q1"),EXACT(H147,"JCR-Q2"),EXACT(H147,"JCR-Q3"),EXACT(H147,"JCR-Q4"),EXACT(H147,"WOS"),EXACT(H147,"Scopus")),(1),(0))</f>
        <v>0</v>
      </c>
      <c r="AM147" s="19">
        <f>IF(OR(EXACT(H147,'Data Base'!$B$21),EXACT(H147,'Data Base'!$B$22)),(1),(0))</f>
        <v>0</v>
      </c>
    </row>
    <row r="148" spans="1:83" ht="20.25" customHeight="1">
      <c r="A148" s="1416" t="s">
        <v>29</v>
      </c>
      <c r="B148" s="1417"/>
      <c r="C148" s="1417"/>
      <c r="D148" s="1418"/>
      <c r="E148" s="514" t="s">
        <v>1001</v>
      </c>
      <c r="F148" s="515"/>
      <c r="G148" s="516" t="s">
        <v>801</v>
      </c>
      <c r="H148" s="517"/>
      <c r="I148" s="516" t="s">
        <v>1002</v>
      </c>
      <c r="J148" s="518"/>
      <c r="K148" s="516" t="s">
        <v>1003</v>
      </c>
      <c r="L148" s="519"/>
      <c r="M148" s="516" t="s">
        <v>1004</v>
      </c>
      <c r="N148" s="520"/>
      <c r="O148" s="1266" t="s">
        <v>55</v>
      </c>
      <c r="P148" s="1419"/>
      <c r="Q148" s="1419"/>
      <c r="R148" s="1419"/>
      <c r="S148" s="1419"/>
      <c r="T148" s="1419"/>
      <c r="U148" s="1415"/>
      <c r="AN148" s="19">
        <f>IF(AND(AA147=1,EXACT(J148,"نفر اول")),(1),(0))</f>
        <v>0</v>
      </c>
      <c r="AO148" s="19">
        <f>IF(AN148=1,R147,0)</f>
        <v>0</v>
      </c>
      <c r="AP148" s="19">
        <f>IF(AND(AA147=1,EXACT(J148,"همكار")),(1),(0))</f>
        <v>0</v>
      </c>
      <c r="AQ148" s="19">
        <f>IF(AP148=1,R147,0)</f>
        <v>0</v>
      </c>
      <c r="AV148" s="19">
        <f>IF((AH147=1),R147,0)</f>
        <v>0</v>
      </c>
      <c r="AW148" s="19">
        <f>IF(AND(EXACT(AN148,"1"),EXACT(AH147,"1")),(1),(0))</f>
        <v>0</v>
      </c>
      <c r="AX148" s="19">
        <f>IF((AW148=1),AV148,0)</f>
        <v>0</v>
      </c>
      <c r="BB148" s="19">
        <f>IF((AI147=1),R147,0)</f>
        <v>0</v>
      </c>
      <c r="BC148" s="19">
        <f>IF(AND(EXACT(AI147,"1"),EXACT(AN148,"1")),(1),(0))</f>
        <v>0</v>
      </c>
      <c r="BD148" s="19">
        <f>IF((BC148=1),BB148,0)</f>
        <v>0</v>
      </c>
      <c r="BH148" s="19">
        <f>IF((AJ147=1),R147,0)</f>
        <v>0</v>
      </c>
      <c r="BI148" s="19">
        <f>IF(AND(EXACT(AJ147,"1"),EXACT(AN148,"1")),(1),(0))</f>
        <v>0</v>
      </c>
      <c r="BJ148" s="19">
        <f>IF((BI148=1),BH148,0)</f>
        <v>0</v>
      </c>
      <c r="BN148" s="19">
        <f>IF((AK147=1),R147,0)</f>
        <v>0</v>
      </c>
      <c r="BO148" s="19">
        <f>IF(AND(EXACT(AK147,"1"),EXACT(AN148,"1")),(1),(0))</f>
        <v>0</v>
      </c>
      <c r="BP148" s="19">
        <f>IF((BO148=1),BN148,0)</f>
        <v>0</v>
      </c>
      <c r="BT148" s="19">
        <f>IF((AL147=1),R147,0)</f>
        <v>0</v>
      </c>
      <c r="BU148" s="19">
        <f>IF(AND(EXACT(AN148,"1"),EXACT(AL147,"1")),(1),(0))</f>
        <v>0</v>
      </c>
      <c r="BV148" s="19">
        <f>IF((BU148=1),BT148,0)</f>
        <v>0</v>
      </c>
      <c r="BZ148" s="19">
        <f>IF((AM147=1),R147,0)</f>
        <v>0</v>
      </c>
      <c r="CA148" s="19">
        <f>IF(AND(EXACT(AM147,"1"),EXACT(AN148,"1")),(1),(0))</f>
        <v>0</v>
      </c>
      <c r="CB148" s="19">
        <f>IF((CA148=1),BZ148,0)</f>
        <v>0</v>
      </c>
    </row>
    <row r="149" spans="1:83" ht="20.25">
      <c r="A149" s="1420" t="s">
        <v>30</v>
      </c>
      <c r="B149" s="1421"/>
      <c r="C149" s="1421"/>
      <c r="D149" s="1422"/>
      <c r="E149" s="536" t="s">
        <v>1001</v>
      </c>
      <c r="F149" s="537"/>
      <c r="G149" s="538" t="s">
        <v>801</v>
      </c>
      <c r="H149" s="539"/>
      <c r="I149" s="538" t="s">
        <v>1002</v>
      </c>
      <c r="J149" s="525"/>
      <c r="K149" s="538" t="s">
        <v>1003</v>
      </c>
      <c r="L149" s="540"/>
      <c r="M149" s="538" t="s">
        <v>1004</v>
      </c>
      <c r="N149" s="541"/>
      <c r="O149" s="1266"/>
      <c r="P149" s="1423"/>
      <c r="Q149" s="1423"/>
      <c r="R149" s="1423"/>
      <c r="S149" s="1423"/>
      <c r="T149" s="1423"/>
      <c r="U149" s="1415"/>
      <c r="AR149" s="19">
        <f>IF(AND(AA147=1,EXACT(J149,"نفر اول")),(1),(0))</f>
        <v>0</v>
      </c>
      <c r="AS149" s="19">
        <f>IF(AR149=1,S147,0)</f>
        <v>0</v>
      </c>
      <c r="AT149" s="19">
        <f>IF(AND(AA147=1,EXACT(J149,"همكار")),(1),(0))</f>
        <v>0</v>
      </c>
      <c r="AU149" s="19">
        <f>IF(AT149=1,S147,0)</f>
        <v>0</v>
      </c>
      <c r="AY149" s="19">
        <f>IF((AH147=1),S147,0)</f>
        <v>0</v>
      </c>
      <c r="AZ149" s="19">
        <f>IF(AND(EXACT(AR149,"1"),EXACT(AH147,"1")),(1),(0))</f>
        <v>0</v>
      </c>
      <c r="BA149" s="19">
        <f>IF((AZ149=1),AY149,0)</f>
        <v>0</v>
      </c>
      <c r="BE149" s="19">
        <f>IF((AI147=1),S147,0)</f>
        <v>0</v>
      </c>
      <c r="BF149" s="19">
        <f>IF(AND(EXACT(AI147,"1"),EXACT(AR149,"1")),(1),(0))</f>
        <v>0</v>
      </c>
      <c r="BG149" s="19">
        <f>IF((BF149=1),BE149,0)</f>
        <v>0</v>
      </c>
      <c r="BK149" s="19">
        <f>IF((AJ147=1),S147,0)</f>
        <v>0</v>
      </c>
      <c r="BL149" s="19">
        <f>IF(AND(EXACT(AJ147,"1"),EXACT(AR149,"1")),(1),(0))</f>
        <v>0</v>
      </c>
      <c r="BM149" s="19">
        <f>IF((BL149=1),BK149,0)</f>
        <v>0</v>
      </c>
      <c r="BQ149" s="19">
        <f>IF((AJ147=1),S147,0)</f>
        <v>0</v>
      </c>
      <c r="BR149" s="19">
        <f>IF(AND(EXACT(AJ147,"1"),EXACT(AR149,"1")),(1),(0))</f>
        <v>0</v>
      </c>
      <c r="BS149" s="19">
        <f>IF((BL149=1),BK149,0)</f>
        <v>0</v>
      </c>
      <c r="BW149" s="19">
        <f>IF((AL147=1),S147,0)</f>
        <v>0</v>
      </c>
      <c r="BX149" s="19">
        <f>IF(AND(EXACT(AL147,"1"),EXACT(AR149,"1")),(1),(0))</f>
        <v>0</v>
      </c>
      <c r="BY149" s="19">
        <f>IF((BX149=1),BW149,0)</f>
        <v>0</v>
      </c>
      <c r="CC149" s="19">
        <f>IF((AM147=1),R147,0)</f>
        <v>0</v>
      </c>
      <c r="CD149" s="19">
        <f>IF(AND(EXACT(AM147,"1"),EXACT(AR149,"1")),(1),(0))</f>
        <v>0</v>
      </c>
      <c r="CE149" s="19">
        <f>IF((CD149=1),CC149,0)</f>
        <v>0</v>
      </c>
    </row>
    <row r="150" spans="1:83" ht="20.25">
      <c r="A150" s="12">
        <f>IF(AA150=0,0,IF(AA147=0,Z150,SUM(A147,AA150)))</f>
        <v>0</v>
      </c>
      <c r="B150" s="1157"/>
      <c r="C150" s="1157"/>
      <c r="D150" s="1157"/>
      <c r="E150" s="1182"/>
      <c r="F150" s="1424"/>
      <c r="G150" s="1424"/>
      <c r="H150" s="527"/>
      <c r="I150" s="528"/>
      <c r="J150" s="529"/>
      <c r="K150" s="530"/>
      <c r="L150" s="531"/>
      <c r="M150" s="532"/>
      <c r="N150" s="533"/>
      <c r="O150" s="532"/>
      <c r="P150" s="1182"/>
      <c r="Q150" s="1182"/>
      <c r="R150" s="534">
        <f t="shared" ref="R150" ca="1" si="180">IF(OR(EXACT(H150,""),EXACT(B150,""),EXACT(F151,""),EXACT(H151,""),EXACT(J151,""),EXACT(L151,""),EXACT(N151,""),EXACT(F150,""),EXACT(J150,""),EXACT(M150,""),EXACT(N150,""),EXACT(O150,""),EXACT(P150,"")),0,IF(OR(EXACT(P151,"مقاله پر استناد"),EXACT(P151,"مقاله داغ"),EXACT(P151,"مستخرج از برنامه تحقيقاتي ملي معطوف به رفع مشكلات كشور")),(1.5*(F151*N151*(IF(EXACT(J151,"نفر اول"),INDIRECT(CONCATENATE("'Data Base'!$d",H151)),INDIRECT(CONCATENATE("'Data Base'!$e",H151))))*((100-L151)/100))),IF(EXACT(P151,"Short Article"),(0.5*(F151*N151*(IF(EXACT(J151,"نفر اول"),INDIRECT(CONCATENATE("'Data Base'!$D",H151)),INDIRECT(CONCATENATE("'Data Base'!$E",H151))))*((100-L151)/100))),IF(EXACT(P151,"چاپ شده در نشريات بسيار پر استناد Nature و Science"),(2*(F151*N151*(IF(EXACT(J151,"نفر اول"),INDIRECT(CONCATENATE("'Data Base'!$D",H151)),INDIRECT(CONCATENATE("'Data Base'!$E",H151))))*((100-L151)/100))),IF(OR(EXACT(P151,"مستخرج از طرح پژوهشي محرمانه"),EXACT(P151,"مشترك با اساتيد دانشگاه خارج از كشور")),(1.2*(F151*N151*(IF(EXACT(J151,"نفر اول"),INDIRECT(CONCATENATE("'Data Base'!$D",H151)),INDIRECT(CONCATENATE("'Data Base'!$E",H151))))*((100-L151)/100))),(F151*N151*(IF(EXACT(J151,"نفر اول"),INDIRECT(CONCATENATE("'Data Base'!$d",H151)),INDIRECT(CONCATENATE("'Data Base'!$e",H151))))*((100-L151)/100)))))))</f>
        <v>0</v>
      </c>
      <c r="S150" s="535">
        <f t="shared" ref="S150" ca="1" si="181">IF(OR(EXACT(H150,""),EXACT(B150,""),EXACT(F152,""),EXACT(H152,""),EXACT(J152,""),EXACT(L152,""),EXACT(N152,""),EXACT(F150,""),EXACT(J150,""),EXACT(M150,""),EXACT(N150,""),EXACT(O150,""),EXACT(P150,"")),0,IF(OR(EXACT(P152,"مقاله پر استناد"),EXACT(P152,"مقاله داغ"),EXACT(P152,"مستخرج از برنامه تحقيقاتي ملي معطوف به رفع مشكلات كشور")),(1.5*(F152*N152*(IF(EXACT(J152,"نفر اول"),INDIRECT(CONCATENATE("'Data Base'!$d",H152)),INDIRECT(CONCATENATE("'Data Base'!$E",H152))))*((100-L152)/100))),IF(EXACT(P152,"Short Article"),(0.5*(F152*N152*(IF(EXACT(J152,"نفر اول"),INDIRECT(CONCATENATE("'Data Base'!$D",H152)),INDIRECT(CONCATENATE("'Data Base'!$E",H152))))*((100-L152)/100))),IF(EXACT(P152,"چاپ شده در نشريات بسيار پر استناد Nature و Science"),(2*(F152*N152*(IF(EXACT(J152,"نفر اول"),INDIRECT(CONCATENATE("'Data Base'!$D",H152)),INDIRECT(CONCATENATE("'Data Base'!$E",H152))))*((100-L152)/100))),IF(OR(EXACT(P152,"مستخرج از طرح پژوهشي محرمانه"),EXACT(P152,"مشترك با اساتيد دانشگاه خارج از كشور")),(1.2*(F152*N152*(IF(EXACT(J152,"نفر اول"),INDIRECT(CONCATENATE("'Data Base'!$D",H152)),INDIRECT(CONCATENATE("'Data Base'!$E",H152))))*((100-L152)/100))),(F152*N152*(IF(EXACT(J152,"نفر اول"),INDIRECT(CONCATENATE("'Data Base'!$D",H152)),INDIRECT(CONCATENATE("'Data Base'!$E",H152))))*((100-L152)/100)))))))</f>
        <v>0</v>
      </c>
      <c r="T150" s="147"/>
      <c r="U150" s="1414"/>
      <c r="Z150" s="19">
        <f>SUM(Z147,AA150)</f>
        <v>0</v>
      </c>
      <c r="AA150" s="19">
        <f>IF(OR(OR(B150="",F150="",H150="",J150="",P150=""),AND(M150="",O150="")),0,1)</f>
        <v>0</v>
      </c>
      <c r="AB150" s="19">
        <f t="shared" ref="AB150" ca="1" si="182">IF(AND(AA150=1,S150&gt;0),1,0)</f>
        <v>0</v>
      </c>
      <c r="AC150" s="19">
        <f t="shared" ref="AC150" ca="1" si="183">IF(AND(AA150=1,S150&lt;1),1,0)</f>
        <v>0</v>
      </c>
      <c r="AD150" s="19">
        <f ca="1">IF(AND(AA150=1,S150&gt;=1,AJ150=1),1,0)</f>
        <v>0</v>
      </c>
      <c r="AE150" s="19">
        <f ca="1">IF(AD150=1,S150,0)</f>
        <v>0</v>
      </c>
      <c r="AF150" s="19">
        <f ca="1">IF(AND(AA150=1,S150&gt;=1,AJ150=1,AR152=1),1,0)</f>
        <v>0</v>
      </c>
      <c r="AG150" s="19">
        <f ca="1">IF(AF150=1,S150,0)</f>
        <v>0</v>
      </c>
      <c r="AH150" s="19">
        <f>IF(OR(EXACT(H150,"JCR-Q1"),EXACT(H150,"JCR-Q2")),(1),(0))</f>
        <v>0</v>
      </c>
      <c r="AI150" s="19">
        <f>IF(OR(EXACT(H150,"JCR-Q1"),EXACT(H150,"JCR-Q2"),EXACT(H150,"JCR-Q3")),(1),(0))</f>
        <v>0</v>
      </c>
      <c r="AJ150" s="19">
        <f>IF(OR(EXACT(H150,"JCR-Q1"),EXACT(H150,"JCR-Q2"),EXACT(H150,"JCR-Q3"),EXACT(H150,"JCR-Q4")),(1),(0))</f>
        <v>0</v>
      </c>
      <c r="AK150" s="19">
        <f>IF(OR(EXACT(H150,"JCR-Q1"),EXACT(H150,"JCR-Q2"),EXACT(H150,"JCR-Q3"),EXACT(H150,"JCR-Q4"),EXACT(H150,"WOS")),(1),(0))</f>
        <v>0</v>
      </c>
      <c r="AL150" s="19">
        <f>IF(OR(EXACT(H150,"JCR-Q1"),EXACT(H150,"JCR-Q2"),EXACT(H150,"JCR-Q3"),EXACT(H150,"JCR-Q4"),EXACT(H150,"WOS"),EXACT(H150,"Scopus")),(1),(0))</f>
        <v>0</v>
      </c>
      <c r="AM150" s="19">
        <f>IF(OR(EXACT(H150,'Data Base'!$B$21),EXACT(H150,'Data Base'!$B$22)),(1),(0))</f>
        <v>0</v>
      </c>
    </row>
    <row r="151" spans="1:83" ht="20.25" customHeight="1">
      <c r="A151" s="1416" t="s">
        <v>29</v>
      </c>
      <c r="B151" s="1417"/>
      <c r="C151" s="1417"/>
      <c r="D151" s="1418"/>
      <c r="E151" s="514" t="s">
        <v>1001</v>
      </c>
      <c r="F151" s="515"/>
      <c r="G151" s="516" t="s">
        <v>801</v>
      </c>
      <c r="H151" s="517"/>
      <c r="I151" s="516" t="s">
        <v>1002</v>
      </c>
      <c r="J151" s="518"/>
      <c r="K151" s="516" t="s">
        <v>1003</v>
      </c>
      <c r="L151" s="519"/>
      <c r="M151" s="516" t="s">
        <v>1004</v>
      </c>
      <c r="N151" s="520"/>
      <c r="O151" s="1266" t="s">
        <v>55</v>
      </c>
      <c r="P151" s="1419"/>
      <c r="Q151" s="1419"/>
      <c r="R151" s="1419"/>
      <c r="S151" s="1419"/>
      <c r="T151" s="1419"/>
      <c r="U151" s="1415"/>
      <c r="AN151" s="19">
        <f>IF(AND(AA150=1,EXACT(J151,"نفر اول")),(1),(0))</f>
        <v>0</v>
      </c>
      <c r="AO151" s="19">
        <f>IF(AN151=1,R150,0)</f>
        <v>0</v>
      </c>
      <c r="AP151" s="19">
        <f>IF(AND(AA150=1,EXACT(J151,"همكار")),(1),(0))</f>
        <v>0</v>
      </c>
      <c r="AQ151" s="19">
        <f>IF(AP151=1,R150,0)</f>
        <v>0</v>
      </c>
      <c r="AV151" s="19">
        <f>IF((AH150=1),R150,0)</f>
        <v>0</v>
      </c>
      <c r="AW151" s="19">
        <f>IF(AND(EXACT(AN151,"1"),EXACT(AH150,"1")),(1),(0))</f>
        <v>0</v>
      </c>
      <c r="AX151" s="19">
        <f>IF((AW151=1),AV151,0)</f>
        <v>0</v>
      </c>
      <c r="BB151" s="19">
        <f>IF((AI150=1),R150,0)</f>
        <v>0</v>
      </c>
      <c r="BC151" s="19">
        <f>IF(AND(EXACT(AI150,"1"),EXACT(AN151,"1")),(1),(0))</f>
        <v>0</v>
      </c>
      <c r="BD151" s="19">
        <f>IF((BC151=1),BB151,0)</f>
        <v>0</v>
      </c>
      <c r="BH151" s="19">
        <f>IF((AJ150=1),R150,0)</f>
        <v>0</v>
      </c>
      <c r="BI151" s="19">
        <f>IF(AND(EXACT(AJ150,"1"),EXACT(AN151,"1")),(1),(0))</f>
        <v>0</v>
      </c>
      <c r="BJ151" s="19">
        <f>IF((BI151=1),BH151,0)</f>
        <v>0</v>
      </c>
      <c r="BN151" s="19">
        <f>IF((AK150=1),R150,0)</f>
        <v>0</v>
      </c>
      <c r="BO151" s="19">
        <f>IF(AND(EXACT(AK150,"1"),EXACT(AN151,"1")),(1),(0))</f>
        <v>0</v>
      </c>
      <c r="BP151" s="19">
        <f>IF((BO151=1),BN151,0)</f>
        <v>0</v>
      </c>
      <c r="BT151" s="19">
        <f>IF((AL150=1),R150,0)</f>
        <v>0</v>
      </c>
      <c r="BU151" s="19">
        <f>IF(AND(EXACT(AN151,"1"),EXACT(AL150,"1")),(1),(0))</f>
        <v>0</v>
      </c>
      <c r="BV151" s="19">
        <f>IF((BU151=1),BT151,0)</f>
        <v>0</v>
      </c>
      <c r="BZ151" s="19">
        <f>IF((AM150=1),R150,0)</f>
        <v>0</v>
      </c>
      <c r="CA151" s="19">
        <f>IF(AND(EXACT(AM150,"1"),EXACT(AN151,"1")),(1),(0))</f>
        <v>0</v>
      </c>
      <c r="CB151" s="19">
        <f>IF((CA151=1),BZ151,0)</f>
        <v>0</v>
      </c>
    </row>
    <row r="152" spans="1:83" ht="20.25">
      <c r="A152" s="1420" t="s">
        <v>30</v>
      </c>
      <c r="B152" s="1421"/>
      <c r="C152" s="1421"/>
      <c r="D152" s="1422"/>
      <c r="E152" s="536" t="s">
        <v>1001</v>
      </c>
      <c r="F152" s="537"/>
      <c r="G152" s="538" t="s">
        <v>801</v>
      </c>
      <c r="H152" s="539"/>
      <c r="I152" s="538" t="s">
        <v>1002</v>
      </c>
      <c r="J152" s="525"/>
      <c r="K152" s="538" t="s">
        <v>1003</v>
      </c>
      <c r="L152" s="540"/>
      <c r="M152" s="538" t="s">
        <v>1004</v>
      </c>
      <c r="N152" s="541"/>
      <c r="O152" s="1266"/>
      <c r="P152" s="1423"/>
      <c r="Q152" s="1423"/>
      <c r="R152" s="1423"/>
      <c r="S152" s="1423"/>
      <c r="T152" s="1423"/>
      <c r="U152" s="1415"/>
      <c r="AR152" s="19">
        <f>IF(AND(AA150=1,EXACT(J152,"نفر اول")),(1),(0))</f>
        <v>0</v>
      </c>
      <c r="AS152" s="19">
        <f>IF(AR152=1,S150,0)</f>
        <v>0</v>
      </c>
      <c r="AT152" s="19">
        <f>IF(AND(AA150=1,EXACT(J152,"همكار")),(1),(0))</f>
        <v>0</v>
      </c>
      <c r="AU152" s="19">
        <f>IF(AT152=1,S150,0)</f>
        <v>0</v>
      </c>
      <c r="AY152" s="19">
        <f>IF((AH150=1),S150,0)</f>
        <v>0</v>
      </c>
      <c r="AZ152" s="19">
        <f>IF(AND(EXACT(AR152,"1"),EXACT(AH150,"1")),(1),(0))</f>
        <v>0</v>
      </c>
      <c r="BA152" s="19">
        <f>IF((AZ152=1),AY152,0)</f>
        <v>0</v>
      </c>
      <c r="BE152" s="19">
        <f>IF((AI150=1),S150,0)</f>
        <v>0</v>
      </c>
      <c r="BF152" s="19">
        <f>IF(AND(EXACT(AI150,"1"),EXACT(AR152,"1")),(1),(0))</f>
        <v>0</v>
      </c>
      <c r="BG152" s="19">
        <f>IF((BF152=1),BE152,0)</f>
        <v>0</v>
      </c>
      <c r="BK152" s="19">
        <f>IF((AJ150=1),S150,0)</f>
        <v>0</v>
      </c>
      <c r="BL152" s="19">
        <f>IF(AND(EXACT(AJ150,"1"),EXACT(AR152,"1")),(1),(0))</f>
        <v>0</v>
      </c>
      <c r="BM152" s="19">
        <f>IF((BL152=1),BK152,0)</f>
        <v>0</v>
      </c>
      <c r="BQ152" s="19">
        <f>IF((AJ150=1),S150,0)</f>
        <v>0</v>
      </c>
      <c r="BR152" s="19">
        <f>IF(AND(EXACT(AJ150,"1"),EXACT(AR152,"1")),(1),(0))</f>
        <v>0</v>
      </c>
      <c r="BS152" s="19">
        <f>IF((BL152=1),BK152,0)</f>
        <v>0</v>
      </c>
      <c r="BW152" s="19">
        <f>IF((AL150=1),S150,0)</f>
        <v>0</v>
      </c>
      <c r="BX152" s="19">
        <f>IF(AND(EXACT(AL150,"1"),EXACT(AR152,"1")),(1),(0))</f>
        <v>0</v>
      </c>
      <c r="BY152" s="19">
        <f>IF((BX152=1),BW152,0)</f>
        <v>0</v>
      </c>
      <c r="CC152" s="19">
        <f>IF((AM150=1),R150,0)</f>
        <v>0</v>
      </c>
      <c r="CD152" s="19">
        <f>IF(AND(EXACT(AM150,"1"),EXACT(AR152,"1")),(1),(0))</f>
        <v>0</v>
      </c>
      <c r="CE152" s="19">
        <f>IF((CD152=1),CC152,0)</f>
        <v>0</v>
      </c>
    </row>
    <row r="153" spans="1:83" ht="20.25">
      <c r="A153" s="12">
        <f>IF(AA153=0,0,IF(AA150=0,Z153,SUM(A150,AA153)))</f>
        <v>0</v>
      </c>
      <c r="B153" s="1157"/>
      <c r="C153" s="1157"/>
      <c r="D153" s="1157"/>
      <c r="E153" s="1182"/>
      <c r="F153" s="1424"/>
      <c r="G153" s="1424"/>
      <c r="H153" s="527"/>
      <c r="I153" s="528"/>
      <c r="J153" s="529"/>
      <c r="K153" s="530"/>
      <c r="L153" s="531"/>
      <c r="M153" s="532"/>
      <c r="N153" s="533"/>
      <c r="O153" s="532"/>
      <c r="P153" s="1182"/>
      <c r="Q153" s="1182"/>
      <c r="R153" s="534">
        <f t="shared" ref="R153" ca="1" si="184">IF(OR(EXACT(H153,""),EXACT(B153,""),EXACT(F154,""),EXACT(H154,""),EXACT(J154,""),EXACT(L154,""),EXACT(N154,""),EXACT(F153,""),EXACT(J153,""),EXACT(M153,""),EXACT(N153,""),EXACT(O153,""),EXACT(P153,"")),0,IF(OR(EXACT(P154,"مقاله پر استناد"),EXACT(P154,"مقاله داغ"),EXACT(P154,"مستخرج از برنامه تحقيقاتي ملي معطوف به رفع مشكلات كشور")),(1.5*(F154*N154*(IF(EXACT(J154,"نفر اول"),INDIRECT(CONCATENATE("'Data Base'!$d",H154)),INDIRECT(CONCATENATE("'Data Base'!$e",H154))))*((100-L154)/100))),IF(EXACT(P154,"Short Article"),(0.5*(F154*N154*(IF(EXACT(J154,"نفر اول"),INDIRECT(CONCATENATE("'Data Base'!$D",H154)),INDIRECT(CONCATENATE("'Data Base'!$E",H154))))*((100-L154)/100))),IF(EXACT(P154,"چاپ شده در نشريات بسيار پر استناد Nature و Science"),(2*(F154*N154*(IF(EXACT(J154,"نفر اول"),INDIRECT(CONCATENATE("'Data Base'!$D",H154)),INDIRECT(CONCATENATE("'Data Base'!$E",H154))))*((100-L154)/100))),IF(OR(EXACT(P154,"مستخرج از طرح پژوهشي محرمانه"),EXACT(P154,"مشترك با اساتيد دانشگاه خارج از كشور")),(1.2*(F154*N154*(IF(EXACT(J154,"نفر اول"),INDIRECT(CONCATENATE("'Data Base'!$D",H154)),INDIRECT(CONCATENATE("'Data Base'!$E",H154))))*((100-L154)/100))),(F154*N154*(IF(EXACT(J154,"نفر اول"),INDIRECT(CONCATENATE("'Data Base'!$d",H154)),INDIRECT(CONCATENATE("'Data Base'!$e",H154))))*((100-L154)/100)))))))</f>
        <v>0</v>
      </c>
      <c r="S153" s="535">
        <f t="shared" ref="S153" ca="1" si="185">IF(OR(EXACT(H153,""),EXACT(B153,""),EXACT(F155,""),EXACT(H155,""),EXACT(J155,""),EXACT(L155,""),EXACT(N155,""),EXACT(F153,""),EXACT(J153,""),EXACT(M153,""),EXACT(N153,""),EXACT(O153,""),EXACT(P153,"")),0,IF(OR(EXACT(P155,"مقاله پر استناد"),EXACT(P155,"مقاله داغ"),EXACT(P155,"مستخرج از برنامه تحقيقاتي ملي معطوف به رفع مشكلات كشور")),(1.5*(F155*N155*(IF(EXACT(J155,"نفر اول"),INDIRECT(CONCATENATE("'Data Base'!$d",H155)),INDIRECT(CONCATENATE("'Data Base'!$E",H155))))*((100-L155)/100))),IF(EXACT(P155,"Short Article"),(0.5*(F155*N155*(IF(EXACT(J155,"نفر اول"),INDIRECT(CONCATENATE("'Data Base'!$D",H155)),INDIRECT(CONCATENATE("'Data Base'!$E",H155))))*((100-L155)/100))),IF(EXACT(P155,"چاپ شده در نشريات بسيار پر استناد Nature و Science"),(2*(F155*N155*(IF(EXACT(J155,"نفر اول"),INDIRECT(CONCATENATE("'Data Base'!$D",H155)),INDIRECT(CONCATENATE("'Data Base'!$E",H155))))*((100-L155)/100))),IF(OR(EXACT(P155,"مستخرج از طرح پژوهشي محرمانه"),EXACT(P155,"مشترك با اساتيد دانشگاه خارج از كشور")),(1.2*(F155*N155*(IF(EXACT(J155,"نفر اول"),INDIRECT(CONCATENATE("'Data Base'!$D",H155)),INDIRECT(CONCATENATE("'Data Base'!$E",H155))))*((100-L155)/100))),(F155*N155*(IF(EXACT(J155,"نفر اول"),INDIRECT(CONCATENATE("'Data Base'!$D",H155)),INDIRECT(CONCATENATE("'Data Base'!$E",H155))))*((100-L155)/100)))))))</f>
        <v>0</v>
      </c>
      <c r="T153" s="147"/>
      <c r="U153" s="1414"/>
      <c r="Z153" s="19">
        <f>SUM(Z150,AA153)</f>
        <v>0</v>
      </c>
      <c r="AA153" s="19">
        <f>IF(OR(OR(B153="",F153="",H153="",J153="",P153=""),AND(M153="",O153="")),0,1)</f>
        <v>0</v>
      </c>
      <c r="AB153" s="19">
        <f t="shared" ref="AB153" ca="1" si="186">IF(AND(AA153=1,S153&gt;0),1,0)</f>
        <v>0</v>
      </c>
      <c r="AC153" s="19">
        <f t="shared" ref="AC153" ca="1" si="187">IF(AND(AA153=1,S153&lt;1),1,0)</f>
        <v>0</v>
      </c>
      <c r="AD153" s="19">
        <f ca="1">IF(AND(AA153=1,S153&gt;=1,AJ153=1),1,0)</f>
        <v>0</v>
      </c>
      <c r="AE153" s="19">
        <f ca="1">IF(AD153=1,S153,0)</f>
        <v>0</v>
      </c>
      <c r="AF153" s="19">
        <f ca="1">IF(AND(AA153=1,S153&gt;=1,AJ153=1,AR155=1),1,0)</f>
        <v>0</v>
      </c>
      <c r="AG153" s="19">
        <f ca="1">IF(AF153=1,S153,0)</f>
        <v>0</v>
      </c>
      <c r="AH153" s="19">
        <f>IF(OR(EXACT(H153,"JCR-Q1"),EXACT(H153,"JCR-Q2")),(1),(0))</f>
        <v>0</v>
      </c>
      <c r="AI153" s="19">
        <f>IF(OR(EXACT(H153,"JCR-Q1"),EXACT(H153,"JCR-Q2"),EXACT(H153,"JCR-Q3")),(1),(0))</f>
        <v>0</v>
      </c>
      <c r="AJ153" s="19">
        <f>IF(OR(EXACT(H153,"JCR-Q1"),EXACT(H153,"JCR-Q2"),EXACT(H153,"JCR-Q3"),EXACT(H153,"JCR-Q4")),(1),(0))</f>
        <v>0</v>
      </c>
      <c r="AK153" s="19">
        <f>IF(OR(EXACT(H153,"JCR-Q1"),EXACT(H153,"JCR-Q2"),EXACT(H153,"JCR-Q3"),EXACT(H153,"JCR-Q4"),EXACT(H153,"WOS")),(1),(0))</f>
        <v>0</v>
      </c>
      <c r="AL153" s="19">
        <f>IF(OR(EXACT(H153,"JCR-Q1"),EXACT(H153,"JCR-Q2"),EXACT(H153,"JCR-Q3"),EXACT(H153,"JCR-Q4"),EXACT(H153,"WOS"),EXACT(H153,"Scopus")),(1),(0))</f>
        <v>0</v>
      </c>
      <c r="AM153" s="19">
        <f>IF(OR(EXACT(H153,'Data Base'!$B$21),EXACT(H153,'Data Base'!$B$22)),(1),(0))</f>
        <v>0</v>
      </c>
    </row>
    <row r="154" spans="1:83" ht="20.25" customHeight="1">
      <c r="A154" s="1416" t="s">
        <v>29</v>
      </c>
      <c r="B154" s="1417"/>
      <c r="C154" s="1417"/>
      <c r="D154" s="1418"/>
      <c r="E154" s="514" t="s">
        <v>1001</v>
      </c>
      <c r="F154" s="515"/>
      <c r="G154" s="516" t="s">
        <v>801</v>
      </c>
      <c r="H154" s="517"/>
      <c r="I154" s="516" t="s">
        <v>1002</v>
      </c>
      <c r="J154" s="518"/>
      <c r="K154" s="516" t="s">
        <v>1003</v>
      </c>
      <c r="L154" s="519"/>
      <c r="M154" s="516" t="s">
        <v>1004</v>
      </c>
      <c r="N154" s="520"/>
      <c r="O154" s="1266" t="s">
        <v>55</v>
      </c>
      <c r="P154" s="1419"/>
      <c r="Q154" s="1419"/>
      <c r="R154" s="1419"/>
      <c r="S154" s="1419"/>
      <c r="T154" s="1419"/>
      <c r="U154" s="1415"/>
      <c r="AN154" s="19">
        <f>IF(AND(AA153=1,EXACT(J154,"نفر اول")),(1),(0))</f>
        <v>0</v>
      </c>
      <c r="AO154" s="19">
        <f>IF(AN154=1,R153,0)</f>
        <v>0</v>
      </c>
      <c r="AP154" s="19">
        <f>IF(AND(AA153=1,EXACT(J154,"همكار")),(1),(0))</f>
        <v>0</v>
      </c>
      <c r="AQ154" s="19">
        <f>IF(AP154=1,R153,0)</f>
        <v>0</v>
      </c>
      <c r="AV154" s="19">
        <f>IF((AH153=1),R153,0)</f>
        <v>0</v>
      </c>
      <c r="AW154" s="19">
        <f>IF(AND(EXACT(AN154,"1"),EXACT(AH153,"1")),(1),(0))</f>
        <v>0</v>
      </c>
      <c r="AX154" s="19">
        <f>IF((AW154=1),AV154,0)</f>
        <v>0</v>
      </c>
      <c r="BB154" s="19">
        <f>IF((AI153=1),R153,0)</f>
        <v>0</v>
      </c>
      <c r="BC154" s="19">
        <f>IF(AND(EXACT(AI153,"1"),EXACT(AN154,"1")),(1),(0))</f>
        <v>0</v>
      </c>
      <c r="BD154" s="19">
        <f>IF((BC154=1),BB154,0)</f>
        <v>0</v>
      </c>
      <c r="BH154" s="19">
        <f>IF((AJ153=1),R153,0)</f>
        <v>0</v>
      </c>
      <c r="BI154" s="19">
        <f>IF(AND(EXACT(AJ153,"1"),EXACT(AN154,"1")),(1),(0))</f>
        <v>0</v>
      </c>
      <c r="BJ154" s="19">
        <f>IF((BI154=1),BH154,0)</f>
        <v>0</v>
      </c>
      <c r="BN154" s="19">
        <f>IF((AK153=1),R153,0)</f>
        <v>0</v>
      </c>
      <c r="BO154" s="19">
        <f>IF(AND(EXACT(AK153,"1"),EXACT(AN154,"1")),(1),(0))</f>
        <v>0</v>
      </c>
      <c r="BP154" s="19">
        <f>IF((BO154=1),BN154,0)</f>
        <v>0</v>
      </c>
      <c r="BT154" s="19">
        <f>IF((AL153=1),R153,0)</f>
        <v>0</v>
      </c>
      <c r="BU154" s="19">
        <f>IF(AND(EXACT(AN154,"1"),EXACT(AL153,"1")),(1),(0))</f>
        <v>0</v>
      </c>
      <c r="BV154" s="19">
        <f>IF((BU154=1),BT154,0)</f>
        <v>0</v>
      </c>
      <c r="BZ154" s="19">
        <f>IF((AM153=1),R153,0)</f>
        <v>0</v>
      </c>
      <c r="CA154" s="19">
        <f>IF(AND(EXACT(AM153,"1"),EXACT(AN154,"1")),(1),(0))</f>
        <v>0</v>
      </c>
      <c r="CB154" s="19">
        <f>IF((CA154=1),BZ154,0)</f>
        <v>0</v>
      </c>
    </row>
    <row r="155" spans="1:83" ht="20.25">
      <c r="A155" s="1420" t="s">
        <v>30</v>
      </c>
      <c r="B155" s="1421"/>
      <c r="C155" s="1421"/>
      <c r="D155" s="1422"/>
      <c r="E155" s="536" t="s">
        <v>1001</v>
      </c>
      <c r="F155" s="537"/>
      <c r="G155" s="538" t="s">
        <v>801</v>
      </c>
      <c r="H155" s="539"/>
      <c r="I155" s="538" t="s">
        <v>1002</v>
      </c>
      <c r="J155" s="525"/>
      <c r="K155" s="538" t="s">
        <v>1003</v>
      </c>
      <c r="L155" s="540"/>
      <c r="M155" s="538" t="s">
        <v>1004</v>
      </c>
      <c r="N155" s="541"/>
      <c r="O155" s="1266"/>
      <c r="P155" s="1423"/>
      <c r="Q155" s="1423"/>
      <c r="R155" s="1423"/>
      <c r="S155" s="1423"/>
      <c r="T155" s="1423"/>
      <c r="U155" s="1415"/>
      <c r="AR155" s="19">
        <f>IF(AND(AA153=1,EXACT(J155,"نفر اول")),(1),(0))</f>
        <v>0</v>
      </c>
      <c r="AS155" s="19">
        <f>IF(AR155=1,S153,0)</f>
        <v>0</v>
      </c>
      <c r="AT155" s="19">
        <f>IF(AND(AA153=1,EXACT(J155,"همكار")),(1),(0))</f>
        <v>0</v>
      </c>
      <c r="AU155" s="19">
        <f>IF(AT155=1,S153,0)</f>
        <v>0</v>
      </c>
      <c r="AY155" s="19">
        <f>IF((AH153=1),S153,0)</f>
        <v>0</v>
      </c>
      <c r="AZ155" s="19">
        <f>IF(AND(EXACT(AR155,"1"),EXACT(AH153,"1")),(1),(0))</f>
        <v>0</v>
      </c>
      <c r="BA155" s="19">
        <f>IF((AZ155=1),AY155,0)</f>
        <v>0</v>
      </c>
      <c r="BE155" s="19">
        <f>IF((AI153=1),S153,0)</f>
        <v>0</v>
      </c>
      <c r="BF155" s="19">
        <f>IF(AND(EXACT(AI153,"1"),EXACT(AR155,"1")),(1),(0))</f>
        <v>0</v>
      </c>
      <c r="BG155" s="19">
        <f>IF((BF155=1),BE155,0)</f>
        <v>0</v>
      </c>
      <c r="BK155" s="19">
        <f>IF((AJ153=1),S153,0)</f>
        <v>0</v>
      </c>
      <c r="BL155" s="19">
        <f>IF(AND(EXACT(AJ153,"1"),EXACT(AR155,"1")),(1),(0))</f>
        <v>0</v>
      </c>
      <c r="BM155" s="19">
        <f>IF((BL155=1),BK155,0)</f>
        <v>0</v>
      </c>
      <c r="BQ155" s="19">
        <f>IF((AJ153=1),S153,0)</f>
        <v>0</v>
      </c>
      <c r="BR155" s="19">
        <f>IF(AND(EXACT(AJ153,"1"),EXACT(AR155,"1")),(1),(0))</f>
        <v>0</v>
      </c>
      <c r="BS155" s="19">
        <f>IF((BL155=1),BK155,0)</f>
        <v>0</v>
      </c>
      <c r="BW155" s="19">
        <f>IF((AL153=1),S153,0)</f>
        <v>0</v>
      </c>
      <c r="BX155" s="19">
        <f>IF(AND(EXACT(AL153,"1"),EXACT(AR155,"1")),(1),(0))</f>
        <v>0</v>
      </c>
      <c r="BY155" s="19">
        <f>IF((BX155=1),BW155,0)</f>
        <v>0</v>
      </c>
      <c r="CC155" s="19">
        <f>IF((AM153=1),R153,0)</f>
        <v>0</v>
      </c>
      <c r="CD155" s="19">
        <f>IF(AND(EXACT(AM153,"1"),EXACT(AR155,"1")),(1),(0))</f>
        <v>0</v>
      </c>
      <c r="CE155" s="19">
        <f>IF((CD155=1),CC155,0)</f>
        <v>0</v>
      </c>
    </row>
    <row r="156" spans="1:83" ht="20.25">
      <c r="A156" s="12">
        <f>IF(AA156=0,0,IF(AA153=0,Z156,SUM(A153,AA156)))</f>
        <v>0</v>
      </c>
      <c r="B156" s="1157"/>
      <c r="C156" s="1157"/>
      <c r="D156" s="1157"/>
      <c r="E156" s="1182"/>
      <c r="F156" s="1424"/>
      <c r="G156" s="1424"/>
      <c r="H156" s="527"/>
      <c r="I156" s="528"/>
      <c r="J156" s="529"/>
      <c r="K156" s="530"/>
      <c r="L156" s="531"/>
      <c r="M156" s="532"/>
      <c r="N156" s="533"/>
      <c r="O156" s="532"/>
      <c r="P156" s="1182"/>
      <c r="Q156" s="1182"/>
      <c r="R156" s="534">
        <f t="shared" ref="R156" ca="1" si="188">IF(OR(EXACT(H156,""),EXACT(B156,""),EXACT(F157,""),EXACT(H157,""),EXACT(J157,""),EXACT(L157,""),EXACT(N157,""),EXACT(F156,""),EXACT(J156,""),EXACT(M156,""),EXACT(N156,""),EXACT(O156,""),EXACT(P156,"")),0,IF(OR(EXACT(P157,"مقاله پر استناد"),EXACT(P157,"مقاله داغ"),EXACT(P157,"مستخرج از برنامه تحقيقاتي ملي معطوف به رفع مشكلات كشور")),(1.5*(F157*N157*(IF(EXACT(J157,"نفر اول"),INDIRECT(CONCATENATE("'Data Base'!$d",H157)),INDIRECT(CONCATENATE("'Data Base'!$e",H157))))*((100-L157)/100))),IF(EXACT(P157,"Short Article"),(0.5*(F157*N157*(IF(EXACT(J157,"نفر اول"),INDIRECT(CONCATENATE("'Data Base'!$D",H157)),INDIRECT(CONCATENATE("'Data Base'!$E",H157))))*((100-L157)/100))),IF(EXACT(P157,"چاپ شده در نشريات بسيار پر استناد Nature و Science"),(2*(F157*N157*(IF(EXACT(J157,"نفر اول"),INDIRECT(CONCATENATE("'Data Base'!$D",H157)),INDIRECT(CONCATENATE("'Data Base'!$E",H157))))*((100-L157)/100))),IF(OR(EXACT(P157,"مستخرج از طرح پژوهشي محرمانه"),EXACT(P157,"مشترك با اساتيد دانشگاه خارج از كشور")),(1.2*(F157*N157*(IF(EXACT(J157,"نفر اول"),INDIRECT(CONCATENATE("'Data Base'!$D",H157)),INDIRECT(CONCATENATE("'Data Base'!$E",H157))))*((100-L157)/100))),(F157*N157*(IF(EXACT(J157,"نفر اول"),INDIRECT(CONCATENATE("'Data Base'!$d",H157)),INDIRECT(CONCATENATE("'Data Base'!$e",H157))))*((100-L157)/100)))))))</f>
        <v>0</v>
      </c>
      <c r="S156" s="535">
        <f t="shared" ref="S156" ca="1" si="189">IF(OR(EXACT(H156,""),EXACT(B156,""),EXACT(F158,""),EXACT(H158,""),EXACT(J158,""),EXACT(L158,""),EXACT(N158,""),EXACT(F156,""),EXACT(J156,""),EXACT(M156,""),EXACT(N156,""),EXACT(O156,""),EXACT(P156,"")),0,IF(OR(EXACT(P158,"مقاله پر استناد"),EXACT(P158,"مقاله داغ"),EXACT(P158,"مستخرج از برنامه تحقيقاتي ملي معطوف به رفع مشكلات كشور")),(1.5*(F158*N158*(IF(EXACT(J158,"نفر اول"),INDIRECT(CONCATENATE("'Data Base'!$d",H158)),INDIRECT(CONCATENATE("'Data Base'!$E",H158))))*((100-L158)/100))),IF(EXACT(P158,"Short Article"),(0.5*(F158*N158*(IF(EXACT(J158,"نفر اول"),INDIRECT(CONCATENATE("'Data Base'!$D",H158)),INDIRECT(CONCATENATE("'Data Base'!$E",H158))))*((100-L158)/100))),IF(EXACT(P158,"چاپ شده در نشريات بسيار پر استناد Nature و Science"),(2*(F158*N158*(IF(EXACT(J158,"نفر اول"),INDIRECT(CONCATENATE("'Data Base'!$D",H158)),INDIRECT(CONCATENATE("'Data Base'!$E",H158))))*((100-L158)/100))),IF(OR(EXACT(P158,"مستخرج از طرح پژوهشي محرمانه"),EXACT(P158,"مشترك با اساتيد دانشگاه خارج از كشور")),(1.2*(F158*N158*(IF(EXACT(J158,"نفر اول"),INDIRECT(CONCATENATE("'Data Base'!$D",H158)),INDIRECT(CONCATENATE("'Data Base'!$E",H158))))*((100-L158)/100))),(F158*N158*(IF(EXACT(J158,"نفر اول"),INDIRECT(CONCATENATE("'Data Base'!$D",H158)),INDIRECT(CONCATENATE("'Data Base'!$E",H158))))*((100-L158)/100)))))))</f>
        <v>0</v>
      </c>
      <c r="T156" s="147"/>
      <c r="U156" s="1414"/>
      <c r="Z156" s="19">
        <f>SUM(Z153,AA156)</f>
        <v>0</v>
      </c>
      <c r="AA156" s="19">
        <f>IF(OR(OR(B156="",F156="",H156="",J156="",P156=""),AND(M156="",O156="")),0,1)</f>
        <v>0</v>
      </c>
      <c r="AB156" s="19">
        <f t="shared" ref="AB156" ca="1" si="190">IF(AND(AA156=1,S156&gt;0),1,0)</f>
        <v>0</v>
      </c>
      <c r="AC156" s="19">
        <f t="shared" ref="AC156" ca="1" si="191">IF(AND(AA156=1,S156&lt;1),1,0)</f>
        <v>0</v>
      </c>
      <c r="AD156" s="19">
        <f ca="1">IF(AND(AA156=1,S156&gt;=1,AJ156=1),1,0)</f>
        <v>0</v>
      </c>
      <c r="AE156" s="19">
        <f ca="1">IF(AD156=1,S156,0)</f>
        <v>0</v>
      </c>
      <c r="AF156" s="19">
        <f ca="1">IF(AND(AA156=1,S156&gt;=1,AJ156=1,AR158=1),1,0)</f>
        <v>0</v>
      </c>
      <c r="AG156" s="19">
        <f ca="1">IF(AF156=1,S156,0)</f>
        <v>0</v>
      </c>
      <c r="AH156" s="19">
        <f>IF(OR(EXACT(H156,"JCR-Q1"),EXACT(H156,"JCR-Q2")),(1),(0))</f>
        <v>0</v>
      </c>
      <c r="AI156" s="19">
        <f>IF(OR(EXACT(H156,"JCR-Q1"),EXACT(H156,"JCR-Q2"),EXACT(H156,"JCR-Q3")),(1),(0))</f>
        <v>0</v>
      </c>
      <c r="AJ156" s="19">
        <f>IF(OR(EXACT(H156,"JCR-Q1"),EXACT(H156,"JCR-Q2"),EXACT(H156,"JCR-Q3"),EXACT(H156,"JCR-Q4")),(1),(0))</f>
        <v>0</v>
      </c>
      <c r="AK156" s="19">
        <f>IF(OR(EXACT(H156,"JCR-Q1"),EXACT(H156,"JCR-Q2"),EXACT(H156,"JCR-Q3"),EXACT(H156,"JCR-Q4"),EXACT(H156,"WOS")),(1),(0))</f>
        <v>0</v>
      </c>
      <c r="AL156" s="19">
        <f>IF(OR(EXACT(H156,"JCR-Q1"),EXACT(H156,"JCR-Q2"),EXACT(H156,"JCR-Q3"),EXACT(H156,"JCR-Q4"),EXACT(H156,"WOS"),EXACT(H156,"Scopus")),(1),(0))</f>
        <v>0</v>
      </c>
      <c r="AM156" s="19">
        <f>IF(OR(EXACT(H156,'Data Base'!$B$21),EXACT(H156,'Data Base'!$B$22)),(1),(0))</f>
        <v>0</v>
      </c>
    </row>
    <row r="157" spans="1:83" ht="20.25" customHeight="1">
      <c r="A157" s="1416" t="s">
        <v>29</v>
      </c>
      <c r="B157" s="1417"/>
      <c r="C157" s="1417"/>
      <c r="D157" s="1418"/>
      <c r="E157" s="514" t="s">
        <v>1001</v>
      </c>
      <c r="F157" s="515"/>
      <c r="G157" s="516" t="s">
        <v>801</v>
      </c>
      <c r="H157" s="517"/>
      <c r="I157" s="516" t="s">
        <v>1002</v>
      </c>
      <c r="J157" s="518"/>
      <c r="K157" s="516" t="s">
        <v>1003</v>
      </c>
      <c r="L157" s="519"/>
      <c r="M157" s="516" t="s">
        <v>1004</v>
      </c>
      <c r="N157" s="520"/>
      <c r="O157" s="1266" t="s">
        <v>55</v>
      </c>
      <c r="P157" s="1419"/>
      <c r="Q157" s="1419"/>
      <c r="R157" s="1419"/>
      <c r="S157" s="1419"/>
      <c r="T157" s="1419"/>
      <c r="U157" s="1415"/>
      <c r="AN157" s="19">
        <f>IF(AND(AA156=1,EXACT(J157,"نفر اول")),(1),(0))</f>
        <v>0</v>
      </c>
      <c r="AO157" s="19">
        <f>IF(AN157=1,R156,0)</f>
        <v>0</v>
      </c>
      <c r="AP157" s="19">
        <f>IF(AND(AA156=1,EXACT(J157,"همكار")),(1),(0))</f>
        <v>0</v>
      </c>
      <c r="AQ157" s="19">
        <f>IF(AP157=1,R156,0)</f>
        <v>0</v>
      </c>
      <c r="AV157" s="19">
        <f>IF((AH156=1),R156,0)</f>
        <v>0</v>
      </c>
      <c r="AW157" s="19">
        <f>IF(AND(EXACT(AN157,"1"),EXACT(AH156,"1")),(1),(0))</f>
        <v>0</v>
      </c>
      <c r="AX157" s="19">
        <f>IF((AW157=1),AV157,0)</f>
        <v>0</v>
      </c>
      <c r="BB157" s="19">
        <f>IF((AI156=1),R156,0)</f>
        <v>0</v>
      </c>
      <c r="BC157" s="19">
        <f>IF(AND(EXACT(AI156,"1"),EXACT(AN157,"1")),(1),(0))</f>
        <v>0</v>
      </c>
      <c r="BD157" s="19">
        <f>IF((BC157=1),BB157,0)</f>
        <v>0</v>
      </c>
      <c r="BH157" s="19">
        <f>IF((AJ156=1),R156,0)</f>
        <v>0</v>
      </c>
      <c r="BI157" s="19">
        <f>IF(AND(EXACT(AJ156,"1"),EXACT(AN157,"1")),(1),(0))</f>
        <v>0</v>
      </c>
      <c r="BJ157" s="19">
        <f>IF((BI157=1),BH157,0)</f>
        <v>0</v>
      </c>
      <c r="BN157" s="19">
        <f>IF((AK156=1),R156,0)</f>
        <v>0</v>
      </c>
      <c r="BO157" s="19">
        <f>IF(AND(EXACT(AK156,"1"),EXACT(AN157,"1")),(1),(0))</f>
        <v>0</v>
      </c>
      <c r="BP157" s="19">
        <f>IF((BO157=1),BN157,0)</f>
        <v>0</v>
      </c>
      <c r="BT157" s="19">
        <f>IF((AL156=1),R156,0)</f>
        <v>0</v>
      </c>
      <c r="BU157" s="19">
        <f>IF(AND(EXACT(AN157,"1"),EXACT(AL156,"1")),(1),(0))</f>
        <v>0</v>
      </c>
      <c r="BV157" s="19">
        <f>IF((BU157=1),BT157,0)</f>
        <v>0</v>
      </c>
      <c r="BZ157" s="19">
        <f>IF((AM156=1),R156,0)</f>
        <v>0</v>
      </c>
      <c r="CA157" s="19">
        <f>IF(AND(EXACT(AM156,"1"),EXACT(AN157,"1")),(1),(0))</f>
        <v>0</v>
      </c>
      <c r="CB157" s="19">
        <f>IF((CA157=1),BZ157,0)</f>
        <v>0</v>
      </c>
    </row>
    <row r="158" spans="1:83" ht="20.25">
      <c r="A158" s="1420" t="s">
        <v>30</v>
      </c>
      <c r="B158" s="1421"/>
      <c r="C158" s="1421"/>
      <c r="D158" s="1422"/>
      <c r="E158" s="536" t="s">
        <v>1001</v>
      </c>
      <c r="F158" s="537"/>
      <c r="G158" s="538" t="s">
        <v>801</v>
      </c>
      <c r="H158" s="539"/>
      <c r="I158" s="538" t="s">
        <v>1002</v>
      </c>
      <c r="J158" s="525"/>
      <c r="K158" s="538" t="s">
        <v>1003</v>
      </c>
      <c r="L158" s="540"/>
      <c r="M158" s="538" t="s">
        <v>1004</v>
      </c>
      <c r="N158" s="541"/>
      <c r="O158" s="1266"/>
      <c r="P158" s="1423"/>
      <c r="Q158" s="1423"/>
      <c r="R158" s="1423"/>
      <c r="S158" s="1423"/>
      <c r="T158" s="1423"/>
      <c r="U158" s="1415"/>
      <c r="AR158" s="19">
        <f>IF(AND(AA156=1,EXACT(J158,"نفر اول")),(1),(0))</f>
        <v>0</v>
      </c>
      <c r="AS158" s="19">
        <f>IF(AR158=1,S156,0)</f>
        <v>0</v>
      </c>
      <c r="AT158" s="19">
        <f>IF(AND(AA156=1,EXACT(J158,"همكار")),(1),(0))</f>
        <v>0</v>
      </c>
      <c r="AU158" s="19">
        <f>IF(AT158=1,S156,0)</f>
        <v>0</v>
      </c>
      <c r="AY158" s="19">
        <f>IF((AH156=1),S156,0)</f>
        <v>0</v>
      </c>
      <c r="AZ158" s="19">
        <f>IF(AND(EXACT(AR158,"1"),EXACT(AH156,"1")),(1),(0))</f>
        <v>0</v>
      </c>
      <c r="BA158" s="19">
        <f>IF((AZ158=1),AY158,0)</f>
        <v>0</v>
      </c>
      <c r="BE158" s="19">
        <f>IF((AI156=1),S156,0)</f>
        <v>0</v>
      </c>
      <c r="BF158" s="19">
        <f>IF(AND(EXACT(AI156,"1"),EXACT(AR158,"1")),(1),(0))</f>
        <v>0</v>
      </c>
      <c r="BG158" s="19">
        <f>IF((BF158=1),BE158,0)</f>
        <v>0</v>
      </c>
      <c r="BK158" s="19">
        <f>IF((AJ156=1),S156,0)</f>
        <v>0</v>
      </c>
      <c r="BL158" s="19">
        <f>IF(AND(EXACT(AJ156,"1"),EXACT(AR158,"1")),(1),(0))</f>
        <v>0</v>
      </c>
      <c r="BM158" s="19">
        <f>IF((BL158=1),BK158,0)</f>
        <v>0</v>
      </c>
      <c r="BQ158" s="19">
        <f>IF((AJ156=1),S156,0)</f>
        <v>0</v>
      </c>
      <c r="BR158" s="19">
        <f>IF(AND(EXACT(AJ156,"1"),EXACT(AR158,"1")),(1),(0))</f>
        <v>0</v>
      </c>
      <c r="BS158" s="19">
        <f>IF((BL158=1),BK158,0)</f>
        <v>0</v>
      </c>
      <c r="BW158" s="19">
        <f>IF((AL156=1),S156,0)</f>
        <v>0</v>
      </c>
      <c r="BX158" s="19">
        <f>IF(AND(EXACT(AL156,"1"),EXACT(AR158,"1")),(1),(0))</f>
        <v>0</v>
      </c>
      <c r="BY158" s="19">
        <f>IF((BX158=1),BW158,0)</f>
        <v>0</v>
      </c>
      <c r="CC158" s="19">
        <f>IF((AM156=1),R156,0)</f>
        <v>0</v>
      </c>
      <c r="CD158" s="19">
        <f>IF(AND(EXACT(AM156,"1"),EXACT(AR158,"1")),(1),(0))</f>
        <v>0</v>
      </c>
      <c r="CE158" s="19">
        <f>IF((CD158=1),CC158,0)</f>
        <v>0</v>
      </c>
    </row>
    <row r="159" spans="1:83" ht="20.25">
      <c r="A159" s="12">
        <f>IF(AA159=0,0,IF(AA156=0,Z159,SUM(A156,AA159)))</f>
        <v>0</v>
      </c>
      <c r="B159" s="1157"/>
      <c r="C159" s="1157"/>
      <c r="D159" s="1157"/>
      <c r="E159" s="1182"/>
      <c r="F159" s="1424"/>
      <c r="G159" s="1424"/>
      <c r="H159" s="527"/>
      <c r="I159" s="528"/>
      <c r="J159" s="529"/>
      <c r="K159" s="530"/>
      <c r="L159" s="531"/>
      <c r="M159" s="532"/>
      <c r="N159" s="533"/>
      <c r="O159" s="532"/>
      <c r="P159" s="1182"/>
      <c r="Q159" s="1182"/>
      <c r="R159" s="534">
        <f t="shared" ref="R159" ca="1" si="192">IF(OR(EXACT(H159,""),EXACT(B159,""),EXACT(F160,""),EXACT(H160,""),EXACT(J160,""),EXACT(L160,""),EXACT(N160,""),EXACT(F159,""),EXACT(J159,""),EXACT(M159,""),EXACT(N159,""),EXACT(O159,""),EXACT(P159,"")),0,IF(OR(EXACT(P160,"مقاله پر استناد"),EXACT(P160,"مقاله داغ"),EXACT(P160,"مستخرج از برنامه تحقيقاتي ملي معطوف به رفع مشكلات كشور")),(1.5*(F160*N160*(IF(EXACT(J160,"نفر اول"),INDIRECT(CONCATENATE("'Data Base'!$d",H160)),INDIRECT(CONCATENATE("'Data Base'!$e",H160))))*((100-L160)/100))),IF(EXACT(P160,"Short Article"),(0.5*(F160*N160*(IF(EXACT(J160,"نفر اول"),INDIRECT(CONCATENATE("'Data Base'!$D",H160)),INDIRECT(CONCATENATE("'Data Base'!$E",H160))))*((100-L160)/100))),IF(EXACT(P160,"چاپ شده در نشريات بسيار پر استناد Nature و Science"),(2*(F160*N160*(IF(EXACT(J160,"نفر اول"),INDIRECT(CONCATENATE("'Data Base'!$D",H160)),INDIRECT(CONCATENATE("'Data Base'!$E",H160))))*((100-L160)/100))),IF(OR(EXACT(P160,"مستخرج از طرح پژوهشي محرمانه"),EXACT(P160,"مشترك با اساتيد دانشگاه خارج از كشور")),(1.2*(F160*N160*(IF(EXACT(J160,"نفر اول"),INDIRECT(CONCATENATE("'Data Base'!$D",H160)),INDIRECT(CONCATENATE("'Data Base'!$E",H160))))*((100-L160)/100))),(F160*N160*(IF(EXACT(J160,"نفر اول"),INDIRECT(CONCATENATE("'Data Base'!$d",H160)),INDIRECT(CONCATENATE("'Data Base'!$e",H160))))*((100-L160)/100)))))))</f>
        <v>0</v>
      </c>
      <c r="S159" s="535">
        <f t="shared" ref="S159" ca="1" si="193">IF(OR(EXACT(H159,""),EXACT(B159,""),EXACT(F161,""),EXACT(H161,""),EXACT(J161,""),EXACT(L161,""),EXACT(N161,""),EXACT(F159,""),EXACT(J159,""),EXACT(M159,""),EXACT(N159,""),EXACT(O159,""),EXACT(P159,"")),0,IF(OR(EXACT(P161,"مقاله پر استناد"),EXACT(P161,"مقاله داغ"),EXACT(P161,"مستخرج از برنامه تحقيقاتي ملي معطوف به رفع مشكلات كشور")),(1.5*(F161*N161*(IF(EXACT(J161,"نفر اول"),INDIRECT(CONCATENATE("'Data Base'!$d",H161)),INDIRECT(CONCATENATE("'Data Base'!$E",H161))))*((100-L161)/100))),IF(EXACT(P161,"Short Article"),(0.5*(F161*N161*(IF(EXACT(J161,"نفر اول"),INDIRECT(CONCATENATE("'Data Base'!$D",H161)),INDIRECT(CONCATENATE("'Data Base'!$E",H161))))*((100-L161)/100))),IF(EXACT(P161,"چاپ شده در نشريات بسيار پر استناد Nature و Science"),(2*(F161*N161*(IF(EXACT(J161,"نفر اول"),INDIRECT(CONCATENATE("'Data Base'!$D",H161)),INDIRECT(CONCATENATE("'Data Base'!$E",H161))))*((100-L161)/100))),IF(OR(EXACT(P161,"مستخرج از طرح پژوهشي محرمانه"),EXACT(P161,"مشترك با اساتيد دانشگاه خارج از كشور")),(1.2*(F161*N161*(IF(EXACT(J161,"نفر اول"),INDIRECT(CONCATENATE("'Data Base'!$D",H161)),INDIRECT(CONCATENATE("'Data Base'!$E",H161))))*((100-L161)/100))),(F161*N161*(IF(EXACT(J161,"نفر اول"),INDIRECT(CONCATENATE("'Data Base'!$D",H161)),INDIRECT(CONCATENATE("'Data Base'!$E",H161))))*((100-L161)/100)))))))</f>
        <v>0</v>
      </c>
      <c r="T159" s="147"/>
      <c r="U159" s="1414"/>
      <c r="Z159" s="19">
        <f>SUM(Z156,AA159)</f>
        <v>0</v>
      </c>
      <c r="AA159" s="19">
        <f>IF(OR(OR(B159="",F159="",H159="",J159="",P159=""),AND(M159="",O159="")),0,1)</f>
        <v>0</v>
      </c>
      <c r="AB159" s="19">
        <f t="shared" ref="AB159" ca="1" si="194">IF(AND(AA159=1,S159&gt;0),1,0)</f>
        <v>0</v>
      </c>
      <c r="AC159" s="19">
        <f t="shared" ref="AC159" ca="1" si="195">IF(AND(AA159=1,S159&lt;1),1,0)</f>
        <v>0</v>
      </c>
      <c r="AD159" s="19">
        <f ca="1">IF(AND(AA159=1,S159&gt;=1,AJ159=1),1,0)</f>
        <v>0</v>
      </c>
      <c r="AE159" s="19">
        <f ca="1">IF(AD159=1,S159,0)</f>
        <v>0</v>
      </c>
      <c r="AF159" s="19">
        <f ca="1">IF(AND(AA159=1,S159&gt;=1,AJ159=1,AR161=1),1,0)</f>
        <v>0</v>
      </c>
      <c r="AG159" s="19">
        <f ca="1">IF(AF159=1,S159,0)</f>
        <v>0</v>
      </c>
      <c r="AH159" s="19">
        <f>IF(OR(EXACT(H159,"JCR-Q1"),EXACT(H159,"JCR-Q2")),(1),(0))</f>
        <v>0</v>
      </c>
      <c r="AI159" s="19">
        <f>IF(OR(EXACT(H159,"JCR-Q1"),EXACT(H159,"JCR-Q2"),EXACT(H159,"JCR-Q3")),(1),(0))</f>
        <v>0</v>
      </c>
      <c r="AJ159" s="19">
        <f>IF(OR(EXACT(H159,"JCR-Q1"),EXACT(H159,"JCR-Q2"),EXACT(H159,"JCR-Q3"),EXACT(H159,"JCR-Q4")),(1),(0))</f>
        <v>0</v>
      </c>
      <c r="AK159" s="19">
        <f>IF(OR(EXACT(H159,"JCR-Q1"),EXACT(H159,"JCR-Q2"),EXACT(H159,"JCR-Q3"),EXACT(H159,"JCR-Q4"),EXACT(H159,"WOS")),(1),(0))</f>
        <v>0</v>
      </c>
      <c r="AL159" s="19">
        <f>IF(OR(EXACT(H159,"JCR-Q1"),EXACT(H159,"JCR-Q2"),EXACT(H159,"JCR-Q3"),EXACT(H159,"JCR-Q4"),EXACT(H159,"WOS"),EXACT(H159,"Scopus")),(1),(0))</f>
        <v>0</v>
      </c>
      <c r="AM159" s="19">
        <f>IF(OR(EXACT(H159,'Data Base'!$B$21),EXACT(H159,'Data Base'!$B$22)),(1),(0))</f>
        <v>0</v>
      </c>
    </row>
    <row r="160" spans="1:83" ht="20.25" customHeight="1">
      <c r="A160" s="1416" t="s">
        <v>29</v>
      </c>
      <c r="B160" s="1417"/>
      <c r="C160" s="1417"/>
      <c r="D160" s="1418"/>
      <c r="E160" s="514" t="s">
        <v>1001</v>
      </c>
      <c r="F160" s="515"/>
      <c r="G160" s="516" t="s">
        <v>801</v>
      </c>
      <c r="H160" s="517"/>
      <c r="I160" s="516" t="s">
        <v>1002</v>
      </c>
      <c r="J160" s="518"/>
      <c r="K160" s="516" t="s">
        <v>1003</v>
      </c>
      <c r="L160" s="519"/>
      <c r="M160" s="516" t="s">
        <v>1004</v>
      </c>
      <c r="N160" s="520"/>
      <c r="O160" s="1266" t="s">
        <v>55</v>
      </c>
      <c r="P160" s="1419"/>
      <c r="Q160" s="1419"/>
      <c r="R160" s="1419"/>
      <c r="S160" s="1419"/>
      <c r="T160" s="1419"/>
      <c r="U160" s="1415"/>
      <c r="AN160" s="19">
        <f>IF(AND(AA159=1,EXACT(J160,"نفر اول")),(1),(0))</f>
        <v>0</v>
      </c>
      <c r="AO160" s="19">
        <f>IF(AN160=1,R159,0)</f>
        <v>0</v>
      </c>
      <c r="AP160" s="19">
        <f>IF(AND(AA159=1,EXACT(J160,"همكار")),(1),(0))</f>
        <v>0</v>
      </c>
      <c r="AQ160" s="19">
        <f>IF(AP160=1,R159,0)</f>
        <v>0</v>
      </c>
      <c r="AV160" s="19">
        <f>IF((AH159=1),R159,0)</f>
        <v>0</v>
      </c>
      <c r="AW160" s="19">
        <f>IF(AND(EXACT(AN160,"1"),EXACT(AH159,"1")),(1),(0))</f>
        <v>0</v>
      </c>
      <c r="AX160" s="19">
        <f>IF((AW160=1),AV160,0)</f>
        <v>0</v>
      </c>
      <c r="BB160" s="19">
        <f>IF((AI159=1),R159,0)</f>
        <v>0</v>
      </c>
      <c r="BC160" s="19">
        <f>IF(AND(EXACT(AI159,"1"),EXACT(AN160,"1")),(1),(0))</f>
        <v>0</v>
      </c>
      <c r="BD160" s="19">
        <f>IF((BC160=1),BB160,0)</f>
        <v>0</v>
      </c>
      <c r="BH160" s="19">
        <f>IF((AJ159=1),R159,0)</f>
        <v>0</v>
      </c>
      <c r="BI160" s="19">
        <f>IF(AND(EXACT(AJ159,"1"),EXACT(AN160,"1")),(1),(0))</f>
        <v>0</v>
      </c>
      <c r="BJ160" s="19">
        <f>IF((BI160=1),BH160,0)</f>
        <v>0</v>
      </c>
      <c r="BN160" s="19">
        <f>IF((AK159=1),R159,0)</f>
        <v>0</v>
      </c>
      <c r="BO160" s="19">
        <f>IF(AND(EXACT(AK159,"1"),EXACT(AN160,"1")),(1),(0))</f>
        <v>0</v>
      </c>
      <c r="BP160" s="19">
        <f>IF((BO160=1),BN160,0)</f>
        <v>0</v>
      </c>
      <c r="BT160" s="19">
        <f>IF((AL159=1),R159,0)</f>
        <v>0</v>
      </c>
      <c r="BU160" s="19">
        <f>IF(AND(EXACT(AN160,"1"),EXACT(AL159,"1")),(1),(0))</f>
        <v>0</v>
      </c>
      <c r="BV160" s="19">
        <f>IF((BU160=1),BT160,0)</f>
        <v>0</v>
      </c>
      <c r="BZ160" s="19">
        <f>IF((AM159=1),R159,0)</f>
        <v>0</v>
      </c>
      <c r="CA160" s="19">
        <f>IF(AND(EXACT(AM159,"1"),EXACT(AN160,"1")),(1),(0))</f>
        <v>0</v>
      </c>
      <c r="CB160" s="19">
        <f>IF((CA160=1),BZ160,0)</f>
        <v>0</v>
      </c>
    </row>
    <row r="161" spans="1:83" ht="20.25">
      <c r="A161" s="1420" t="s">
        <v>30</v>
      </c>
      <c r="B161" s="1421"/>
      <c r="C161" s="1421"/>
      <c r="D161" s="1422"/>
      <c r="E161" s="536" t="s">
        <v>1001</v>
      </c>
      <c r="F161" s="537"/>
      <c r="G161" s="538" t="s">
        <v>801</v>
      </c>
      <c r="H161" s="539"/>
      <c r="I161" s="538" t="s">
        <v>1002</v>
      </c>
      <c r="J161" s="525"/>
      <c r="K161" s="538" t="s">
        <v>1003</v>
      </c>
      <c r="L161" s="540"/>
      <c r="M161" s="538" t="s">
        <v>1004</v>
      </c>
      <c r="N161" s="541"/>
      <c r="O161" s="1266"/>
      <c r="P161" s="1423"/>
      <c r="Q161" s="1423"/>
      <c r="R161" s="1423"/>
      <c r="S161" s="1423"/>
      <c r="T161" s="1423"/>
      <c r="U161" s="1415"/>
      <c r="AR161" s="19">
        <f>IF(AND(AA159=1,EXACT(J161,"نفر اول")),(1),(0))</f>
        <v>0</v>
      </c>
      <c r="AS161" s="19">
        <f>IF(AR161=1,S159,0)</f>
        <v>0</v>
      </c>
      <c r="AT161" s="19">
        <f>IF(AND(AA159=1,EXACT(J161,"همكار")),(1),(0))</f>
        <v>0</v>
      </c>
      <c r="AU161" s="19">
        <f>IF(AT161=1,S159,0)</f>
        <v>0</v>
      </c>
      <c r="AY161" s="19">
        <f>IF((AH159=1),S159,0)</f>
        <v>0</v>
      </c>
      <c r="AZ161" s="19">
        <f>IF(AND(EXACT(AR161,"1"),EXACT(AH159,"1")),(1),(0))</f>
        <v>0</v>
      </c>
      <c r="BA161" s="19">
        <f>IF((AZ161=1),AY161,0)</f>
        <v>0</v>
      </c>
      <c r="BE161" s="19">
        <f>IF((AI159=1),S159,0)</f>
        <v>0</v>
      </c>
      <c r="BF161" s="19">
        <f>IF(AND(EXACT(AI159,"1"),EXACT(AR161,"1")),(1),(0))</f>
        <v>0</v>
      </c>
      <c r="BG161" s="19">
        <f>IF((BF161=1),BE161,0)</f>
        <v>0</v>
      </c>
      <c r="BK161" s="19">
        <f>IF((AJ159=1),S159,0)</f>
        <v>0</v>
      </c>
      <c r="BL161" s="19">
        <f>IF(AND(EXACT(AJ159,"1"),EXACT(AR161,"1")),(1),(0))</f>
        <v>0</v>
      </c>
      <c r="BM161" s="19">
        <f>IF((BL161=1),BK161,0)</f>
        <v>0</v>
      </c>
      <c r="BQ161" s="19">
        <f>IF((AJ159=1),S159,0)</f>
        <v>0</v>
      </c>
      <c r="BR161" s="19">
        <f>IF(AND(EXACT(AJ159,"1"),EXACT(AR161,"1")),(1),(0))</f>
        <v>0</v>
      </c>
      <c r="BS161" s="19">
        <f>IF((BL161=1),BK161,0)</f>
        <v>0</v>
      </c>
      <c r="BW161" s="19">
        <f>IF((AL159=1),S159,0)</f>
        <v>0</v>
      </c>
      <c r="BX161" s="19">
        <f>IF(AND(EXACT(AL159,"1"),EXACT(AR161,"1")),(1),(0))</f>
        <v>0</v>
      </c>
      <c r="BY161" s="19">
        <f>IF((BX161=1),BW161,0)</f>
        <v>0</v>
      </c>
      <c r="CC161" s="19">
        <f>IF((AM159=1),R159,0)</f>
        <v>0</v>
      </c>
      <c r="CD161" s="19">
        <f>IF(AND(EXACT(AM159,"1"),EXACT(AR161,"1")),(1),(0))</f>
        <v>0</v>
      </c>
      <c r="CE161" s="19">
        <f>IF((CD161=1),CC161,0)</f>
        <v>0</v>
      </c>
    </row>
    <row r="162" spans="1:83" ht="20.25">
      <c r="A162" s="12">
        <f>IF(AA162=0,0,IF(AA159=0,Z162,SUM(A159,AA162)))</f>
        <v>0</v>
      </c>
      <c r="B162" s="1157"/>
      <c r="C162" s="1157"/>
      <c r="D162" s="1157"/>
      <c r="E162" s="1182"/>
      <c r="F162" s="1424"/>
      <c r="G162" s="1424"/>
      <c r="H162" s="527"/>
      <c r="I162" s="528"/>
      <c r="J162" s="529"/>
      <c r="K162" s="530"/>
      <c r="L162" s="531"/>
      <c r="M162" s="532"/>
      <c r="N162" s="533"/>
      <c r="O162" s="532"/>
      <c r="P162" s="1182"/>
      <c r="Q162" s="1182"/>
      <c r="R162" s="534">
        <f t="shared" ref="R162" ca="1" si="196">IF(OR(EXACT(H162,""),EXACT(B162,""),EXACT(F163,""),EXACT(H163,""),EXACT(J163,""),EXACT(L163,""),EXACT(N163,""),EXACT(F162,""),EXACT(J162,""),EXACT(M162,""),EXACT(N162,""),EXACT(O162,""),EXACT(P162,"")),0,IF(OR(EXACT(P163,"مقاله پر استناد"),EXACT(P163,"مقاله داغ"),EXACT(P163,"مستخرج از برنامه تحقيقاتي ملي معطوف به رفع مشكلات كشور")),(1.5*(F163*N163*(IF(EXACT(J163,"نفر اول"),INDIRECT(CONCATENATE("'Data Base'!$d",H163)),INDIRECT(CONCATENATE("'Data Base'!$e",H163))))*((100-L163)/100))),IF(EXACT(P163,"Short Article"),(0.5*(F163*N163*(IF(EXACT(J163,"نفر اول"),INDIRECT(CONCATENATE("'Data Base'!$D",H163)),INDIRECT(CONCATENATE("'Data Base'!$E",H163))))*((100-L163)/100))),IF(EXACT(P163,"چاپ شده در نشريات بسيار پر استناد Nature و Science"),(2*(F163*N163*(IF(EXACT(J163,"نفر اول"),INDIRECT(CONCATENATE("'Data Base'!$D",H163)),INDIRECT(CONCATENATE("'Data Base'!$E",H163))))*((100-L163)/100))),IF(OR(EXACT(P163,"مستخرج از طرح پژوهشي محرمانه"),EXACT(P163,"مشترك با اساتيد دانشگاه خارج از كشور")),(1.2*(F163*N163*(IF(EXACT(J163,"نفر اول"),INDIRECT(CONCATENATE("'Data Base'!$D",H163)),INDIRECT(CONCATENATE("'Data Base'!$E",H163))))*((100-L163)/100))),(F163*N163*(IF(EXACT(J163,"نفر اول"),INDIRECT(CONCATENATE("'Data Base'!$d",H163)),INDIRECT(CONCATENATE("'Data Base'!$e",H163))))*((100-L163)/100)))))))</f>
        <v>0</v>
      </c>
      <c r="S162" s="535">
        <f t="shared" ref="S162" ca="1" si="197">IF(OR(EXACT(H162,""),EXACT(B162,""),EXACT(F164,""),EXACT(H164,""),EXACT(J164,""),EXACT(L164,""),EXACT(N164,""),EXACT(F162,""),EXACT(J162,""),EXACT(M162,""),EXACT(N162,""),EXACT(O162,""),EXACT(P162,"")),0,IF(OR(EXACT(P164,"مقاله پر استناد"),EXACT(P164,"مقاله داغ"),EXACT(P164,"مستخرج از برنامه تحقيقاتي ملي معطوف به رفع مشكلات كشور")),(1.5*(F164*N164*(IF(EXACT(J164,"نفر اول"),INDIRECT(CONCATENATE("'Data Base'!$d",H164)),INDIRECT(CONCATENATE("'Data Base'!$E",H164))))*((100-L164)/100))),IF(EXACT(P164,"Short Article"),(0.5*(F164*N164*(IF(EXACT(J164,"نفر اول"),INDIRECT(CONCATENATE("'Data Base'!$D",H164)),INDIRECT(CONCATENATE("'Data Base'!$E",H164))))*((100-L164)/100))),IF(EXACT(P164,"چاپ شده در نشريات بسيار پر استناد Nature و Science"),(2*(F164*N164*(IF(EXACT(J164,"نفر اول"),INDIRECT(CONCATENATE("'Data Base'!$D",H164)),INDIRECT(CONCATENATE("'Data Base'!$E",H164))))*((100-L164)/100))),IF(OR(EXACT(P164,"مستخرج از طرح پژوهشي محرمانه"),EXACT(P164,"مشترك با اساتيد دانشگاه خارج از كشور")),(1.2*(F164*N164*(IF(EXACT(J164,"نفر اول"),INDIRECT(CONCATENATE("'Data Base'!$D",H164)),INDIRECT(CONCATENATE("'Data Base'!$E",H164))))*((100-L164)/100))),(F164*N164*(IF(EXACT(J164,"نفر اول"),INDIRECT(CONCATENATE("'Data Base'!$D",H164)),INDIRECT(CONCATENATE("'Data Base'!$E",H164))))*((100-L164)/100)))))))</f>
        <v>0</v>
      </c>
      <c r="T162" s="147"/>
      <c r="U162" s="1414"/>
      <c r="Z162" s="19">
        <f>SUM(Z159,AA162)</f>
        <v>0</v>
      </c>
      <c r="AA162" s="19">
        <f>IF(OR(OR(B162="",F162="",H162="",J162="",P162=""),AND(M162="",O162="")),0,1)</f>
        <v>0</v>
      </c>
      <c r="AB162" s="19">
        <f t="shared" ref="AB162" ca="1" si="198">IF(AND(AA162=1,S162&gt;0),1,0)</f>
        <v>0</v>
      </c>
      <c r="AC162" s="19">
        <f t="shared" ref="AC162" ca="1" si="199">IF(AND(AA162=1,S162&lt;1),1,0)</f>
        <v>0</v>
      </c>
      <c r="AD162" s="19">
        <f ca="1">IF(AND(AA162=1,S162&gt;=1,AJ162=1),1,0)</f>
        <v>0</v>
      </c>
      <c r="AE162" s="19">
        <f ca="1">IF(AD162=1,S162,0)</f>
        <v>0</v>
      </c>
      <c r="AF162" s="19">
        <f ca="1">IF(AND(AA162=1,S162&gt;=1,AJ162=1,AR164=1),1,0)</f>
        <v>0</v>
      </c>
      <c r="AG162" s="19">
        <f ca="1">IF(AF162=1,S162,0)</f>
        <v>0</v>
      </c>
      <c r="AH162" s="19">
        <f>IF(OR(EXACT(H162,"JCR-Q1"),EXACT(H162,"JCR-Q2")),(1),(0))</f>
        <v>0</v>
      </c>
      <c r="AI162" s="19">
        <f>IF(OR(EXACT(H162,"JCR-Q1"),EXACT(H162,"JCR-Q2"),EXACT(H162,"JCR-Q3")),(1),(0))</f>
        <v>0</v>
      </c>
      <c r="AJ162" s="19">
        <f>IF(OR(EXACT(H162,"JCR-Q1"),EXACT(H162,"JCR-Q2"),EXACT(H162,"JCR-Q3"),EXACT(H162,"JCR-Q4")),(1),(0))</f>
        <v>0</v>
      </c>
      <c r="AK162" s="19">
        <f>IF(OR(EXACT(H162,"JCR-Q1"),EXACT(H162,"JCR-Q2"),EXACT(H162,"JCR-Q3"),EXACT(H162,"JCR-Q4"),EXACT(H162,"WOS")),(1),(0))</f>
        <v>0</v>
      </c>
      <c r="AL162" s="19">
        <f>IF(OR(EXACT(H162,"JCR-Q1"),EXACT(H162,"JCR-Q2"),EXACT(H162,"JCR-Q3"),EXACT(H162,"JCR-Q4"),EXACT(H162,"WOS"),EXACT(H162,"Scopus")),(1),(0))</f>
        <v>0</v>
      </c>
      <c r="AM162" s="19">
        <f>IF(OR(EXACT(H162,'Data Base'!$B$21),EXACT(H162,'Data Base'!$B$22)),(1),(0))</f>
        <v>0</v>
      </c>
    </row>
    <row r="163" spans="1:83" ht="20.25" customHeight="1">
      <c r="A163" s="1416" t="s">
        <v>29</v>
      </c>
      <c r="B163" s="1417"/>
      <c r="C163" s="1417"/>
      <c r="D163" s="1418"/>
      <c r="E163" s="514" t="s">
        <v>1001</v>
      </c>
      <c r="F163" s="515"/>
      <c r="G163" s="516" t="s">
        <v>801</v>
      </c>
      <c r="H163" s="517"/>
      <c r="I163" s="516" t="s">
        <v>1002</v>
      </c>
      <c r="J163" s="518"/>
      <c r="K163" s="516" t="s">
        <v>1003</v>
      </c>
      <c r="L163" s="519"/>
      <c r="M163" s="516" t="s">
        <v>1004</v>
      </c>
      <c r="N163" s="520"/>
      <c r="O163" s="1266" t="s">
        <v>55</v>
      </c>
      <c r="P163" s="1419"/>
      <c r="Q163" s="1419"/>
      <c r="R163" s="1419"/>
      <c r="S163" s="1419"/>
      <c r="T163" s="1419"/>
      <c r="U163" s="1415"/>
      <c r="AN163" s="19">
        <f>IF(AND(AA162=1,EXACT(J163,"نفر اول")),(1),(0))</f>
        <v>0</v>
      </c>
      <c r="AO163" s="19">
        <f>IF(AN163=1,R162,0)</f>
        <v>0</v>
      </c>
      <c r="AP163" s="19">
        <f>IF(AND(AA162=1,EXACT(J163,"همكار")),(1),(0))</f>
        <v>0</v>
      </c>
      <c r="AQ163" s="19">
        <f>IF(AP163=1,R162,0)</f>
        <v>0</v>
      </c>
      <c r="AV163" s="19">
        <f>IF((AH162=1),R162,0)</f>
        <v>0</v>
      </c>
      <c r="AW163" s="19">
        <f>IF(AND(EXACT(AN163,"1"),EXACT(AH162,"1")),(1),(0))</f>
        <v>0</v>
      </c>
      <c r="AX163" s="19">
        <f>IF((AW163=1),AV163,0)</f>
        <v>0</v>
      </c>
      <c r="BB163" s="19">
        <f>IF((AI162=1),R162,0)</f>
        <v>0</v>
      </c>
      <c r="BC163" s="19">
        <f>IF(AND(EXACT(AI162,"1"),EXACT(AN163,"1")),(1),(0))</f>
        <v>0</v>
      </c>
      <c r="BD163" s="19">
        <f>IF((BC163=1),BB163,0)</f>
        <v>0</v>
      </c>
      <c r="BH163" s="19">
        <f>IF((AJ162=1),R162,0)</f>
        <v>0</v>
      </c>
      <c r="BI163" s="19">
        <f>IF(AND(EXACT(AJ162,"1"),EXACT(AN163,"1")),(1),(0))</f>
        <v>0</v>
      </c>
      <c r="BJ163" s="19">
        <f>IF((BI163=1),BH163,0)</f>
        <v>0</v>
      </c>
      <c r="BN163" s="19">
        <f>IF((AK162=1),R162,0)</f>
        <v>0</v>
      </c>
      <c r="BO163" s="19">
        <f>IF(AND(EXACT(AK162,"1"),EXACT(AN163,"1")),(1),(0))</f>
        <v>0</v>
      </c>
      <c r="BP163" s="19">
        <f>IF((BO163=1),BN163,0)</f>
        <v>0</v>
      </c>
      <c r="BT163" s="19">
        <f>IF((AL162=1),R162,0)</f>
        <v>0</v>
      </c>
      <c r="BU163" s="19">
        <f>IF(AND(EXACT(AN163,"1"),EXACT(AL162,"1")),(1),(0))</f>
        <v>0</v>
      </c>
      <c r="BV163" s="19">
        <f>IF((BU163=1),BT163,0)</f>
        <v>0</v>
      </c>
      <c r="BZ163" s="19">
        <f>IF((AM162=1),R162,0)</f>
        <v>0</v>
      </c>
      <c r="CA163" s="19">
        <f>IF(AND(EXACT(AM162,"1"),EXACT(AN163,"1")),(1),(0))</f>
        <v>0</v>
      </c>
      <c r="CB163" s="19">
        <f>IF((CA163=1),BZ163,0)</f>
        <v>0</v>
      </c>
    </row>
    <row r="164" spans="1:83" ht="20.25">
      <c r="A164" s="1420" t="s">
        <v>30</v>
      </c>
      <c r="B164" s="1421"/>
      <c r="C164" s="1421"/>
      <c r="D164" s="1422"/>
      <c r="E164" s="536" t="s">
        <v>1001</v>
      </c>
      <c r="F164" s="537"/>
      <c r="G164" s="538" t="s">
        <v>801</v>
      </c>
      <c r="H164" s="539"/>
      <c r="I164" s="538" t="s">
        <v>1002</v>
      </c>
      <c r="J164" s="525"/>
      <c r="K164" s="538" t="s">
        <v>1003</v>
      </c>
      <c r="L164" s="540"/>
      <c r="M164" s="538" t="s">
        <v>1004</v>
      </c>
      <c r="N164" s="541"/>
      <c r="O164" s="1266"/>
      <c r="P164" s="1423"/>
      <c r="Q164" s="1423"/>
      <c r="R164" s="1423"/>
      <c r="S164" s="1423"/>
      <c r="T164" s="1423"/>
      <c r="U164" s="1415"/>
      <c r="AR164" s="19">
        <f>IF(AND(AA162=1,EXACT(J164,"نفر اول")),(1),(0))</f>
        <v>0</v>
      </c>
      <c r="AS164" s="19">
        <f>IF(AR164=1,S162,0)</f>
        <v>0</v>
      </c>
      <c r="AT164" s="19">
        <f>IF(AND(AA162=1,EXACT(J164,"همكار")),(1),(0))</f>
        <v>0</v>
      </c>
      <c r="AU164" s="19">
        <f>IF(AT164=1,S162,0)</f>
        <v>0</v>
      </c>
      <c r="AY164" s="19">
        <f>IF((AH162=1),S162,0)</f>
        <v>0</v>
      </c>
      <c r="AZ164" s="19">
        <f>IF(AND(EXACT(AR164,"1"),EXACT(AH162,"1")),(1),(0))</f>
        <v>0</v>
      </c>
      <c r="BA164" s="19">
        <f>IF((AZ164=1),AY164,0)</f>
        <v>0</v>
      </c>
      <c r="BE164" s="19">
        <f>IF((AI162=1),S162,0)</f>
        <v>0</v>
      </c>
      <c r="BF164" s="19">
        <f>IF(AND(EXACT(AI162,"1"),EXACT(AR164,"1")),(1),(0))</f>
        <v>0</v>
      </c>
      <c r="BG164" s="19">
        <f>IF((BF164=1),BE164,0)</f>
        <v>0</v>
      </c>
      <c r="BK164" s="19">
        <f>IF((AJ162=1),S162,0)</f>
        <v>0</v>
      </c>
      <c r="BL164" s="19">
        <f>IF(AND(EXACT(AJ162,"1"),EXACT(AR164,"1")),(1),(0))</f>
        <v>0</v>
      </c>
      <c r="BM164" s="19">
        <f>IF((BL164=1),BK164,0)</f>
        <v>0</v>
      </c>
      <c r="BQ164" s="19">
        <f>IF((AJ162=1),S162,0)</f>
        <v>0</v>
      </c>
      <c r="BR164" s="19">
        <f>IF(AND(EXACT(AJ162,"1"),EXACT(AR164,"1")),(1),(0))</f>
        <v>0</v>
      </c>
      <c r="BS164" s="19">
        <f>IF((BL164=1),BK164,0)</f>
        <v>0</v>
      </c>
      <c r="BW164" s="19">
        <f>IF((AL162=1),S162,0)</f>
        <v>0</v>
      </c>
      <c r="BX164" s="19">
        <f>IF(AND(EXACT(AL162,"1"),EXACT(AR164,"1")),(1),(0))</f>
        <v>0</v>
      </c>
      <c r="BY164" s="19">
        <f>IF((BX164=1),BW164,0)</f>
        <v>0</v>
      </c>
      <c r="CC164" s="19">
        <f>IF((AM162=1),R162,0)</f>
        <v>0</v>
      </c>
      <c r="CD164" s="19">
        <f>IF(AND(EXACT(AM162,"1"),EXACT(AR164,"1")),(1),(0))</f>
        <v>0</v>
      </c>
      <c r="CE164" s="19">
        <f>IF((CD164=1),CC164,0)</f>
        <v>0</v>
      </c>
    </row>
    <row r="165" spans="1:83" ht="20.25">
      <c r="A165" s="12">
        <f>IF(AA165=0,0,IF(AA162=0,Z165,SUM(A162,AA165)))</f>
        <v>0</v>
      </c>
      <c r="B165" s="1157"/>
      <c r="C165" s="1157"/>
      <c r="D165" s="1157"/>
      <c r="E165" s="1182"/>
      <c r="F165" s="1424"/>
      <c r="G165" s="1424"/>
      <c r="H165" s="527"/>
      <c r="I165" s="528"/>
      <c r="J165" s="529"/>
      <c r="K165" s="530"/>
      <c r="L165" s="531"/>
      <c r="M165" s="532"/>
      <c r="N165" s="533"/>
      <c r="O165" s="532"/>
      <c r="P165" s="1182"/>
      <c r="Q165" s="1182"/>
      <c r="R165" s="534">
        <f t="shared" ref="R165" ca="1" si="200">IF(OR(EXACT(H165,""),EXACT(B165,""),EXACT(F166,""),EXACT(H166,""),EXACT(J166,""),EXACT(L166,""),EXACT(N166,""),EXACT(F165,""),EXACT(J165,""),EXACT(M165,""),EXACT(N165,""),EXACT(O165,""),EXACT(P165,"")),0,IF(OR(EXACT(P166,"مقاله پر استناد"),EXACT(P166,"مقاله داغ"),EXACT(P166,"مستخرج از برنامه تحقيقاتي ملي معطوف به رفع مشكلات كشور")),(1.5*(F166*N166*(IF(EXACT(J166,"نفر اول"),INDIRECT(CONCATENATE("'Data Base'!$d",H166)),INDIRECT(CONCATENATE("'Data Base'!$e",H166))))*((100-L166)/100))),IF(EXACT(P166,"Short Article"),(0.5*(F166*N166*(IF(EXACT(J166,"نفر اول"),INDIRECT(CONCATENATE("'Data Base'!$D",H166)),INDIRECT(CONCATENATE("'Data Base'!$E",H166))))*((100-L166)/100))),IF(EXACT(P166,"چاپ شده در نشريات بسيار پر استناد Nature و Science"),(2*(F166*N166*(IF(EXACT(J166,"نفر اول"),INDIRECT(CONCATENATE("'Data Base'!$D",H166)),INDIRECT(CONCATENATE("'Data Base'!$E",H166))))*((100-L166)/100))),IF(OR(EXACT(P166,"مستخرج از طرح پژوهشي محرمانه"),EXACT(P166,"مشترك با اساتيد دانشگاه خارج از كشور")),(1.2*(F166*N166*(IF(EXACT(J166,"نفر اول"),INDIRECT(CONCATENATE("'Data Base'!$D",H166)),INDIRECT(CONCATENATE("'Data Base'!$E",H166))))*((100-L166)/100))),(F166*N166*(IF(EXACT(J166,"نفر اول"),INDIRECT(CONCATENATE("'Data Base'!$d",H166)),INDIRECT(CONCATENATE("'Data Base'!$e",H166))))*((100-L166)/100)))))))</f>
        <v>0</v>
      </c>
      <c r="S165" s="535">
        <f t="shared" ref="S165" ca="1" si="201">IF(OR(EXACT(H165,""),EXACT(B165,""),EXACT(F167,""),EXACT(H167,""),EXACT(J167,""),EXACT(L167,""),EXACT(N167,""),EXACT(F165,""),EXACT(J165,""),EXACT(M165,""),EXACT(N165,""),EXACT(O165,""),EXACT(P165,"")),0,IF(OR(EXACT(P167,"مقاله پر استناد"),EXACT(P167,"مقاله داغ"),EXACT(P167,"مستخرج از برنامه تحقيقاتي ملي معطوف به رفع مشكلات كشور")),(1.5*(F167*N167*(IF(EXACT(J167,"نفر اول"),INDIRECT(CONCATENATE("'Data Base'!$d",H167)),INDIRECT(CONCATENATE("'Data Base'!$E",H167))))*((100-L167)/100))),IF(EXACT(P167,"Short Article"),(0.5*(F167*N167*(IF(EXACT(J167,"نفر اول"),INDIRECT(CONCATENATE("'Data Base'!$D",H167)),INDIRECT(CONCATENATE("'Data Base'!$E",H167))))*((100-L167)/100))),IF(EXACT(P167,"چاپ شده در نشريات بسيار پر استناد Nature و Science"),(2*(F167*N167*(IF(EXACT(J167,"نفر اول"),INDIRECT(CONCATENATE("'Data Base'!$D",H167)),INDIRECT(CONCATENATE("'Data Base'!$E",H167))))*((100-L167)/100))),IF(OR(EXACT(P167,"مستخرج از طرح پژوهشي محرمانه"),EXACT(P167,"مشترك با اساتيد دانشگاه خارج از كشور")),(1.2*(F167*N167*(IF(EXACT(J167,"نفر اول"),INDIRECT(CONCATENATE("'Data Base'!$D",H167)),INDIRECT(CONCATENATE("'Data Base'!$E",H167))))*((100-L167)/100))),(F167*N167*(IF(EXACT(J167,"نفر اول"),INDIRECT(CONCATENATE("'Data Base'!$D",H167)),INDIRECT(CONCATENATE("'Data Base'!$E",H167))))*((100-L167)/100)))))))</f>
        <v>0</v>
      </c>
      <c r="T165" s="147"/>
      <c r="U165" s="1414"/>
      <c r="Z165" s="19">
        <f>SUM(Z162,AA165)</f>
        <v>0</v>
      </c>
      <c r="AA165" s="19">
        <f>IF(OR(OR(B165="",F165="",H165="",J165="",P165=""),AND(M165="",O165="")),0,1)</f>
        <v>0</v>
      </c>
      <c r="AB165" s="19">
        <f t="shared" ref="AB165" ca="1" si="202">IF(AND(AA165=1,S165&gt;0),1,0)</f>
        <v>0</v>
      </c>
      <c r="AC165" s="19">
        <f t="shared" ref="AC165" ca="1" si="203">IF(AND(AA165=1,S165&lt;1),1,0)</f>
        <v>0</v>
      </c>
      <c r="AD165" s="19">
        <f ca="1">IF(AND(AA165=1,S165&gt;=1,AJ165=1),1,0)</f>
        <v>0</v>
      </c>
      <c r="AE165" s="19">
        <f ca="1">IF(AD165=1,S165,0)</f>
        <v>0</v>
      </c>
      <c r="AF165" s="19">
        <f ca="1">IF(AND(AA165=1,S165&gt;=1,AJ165=1,AR167=1),1,0)</f>
        <v>0</v>
      </c>
      <c r="AG165" s="19">
        <f ca="1">IF(AF165=1,S165,0)</f>
        <v>0</v>
      </c>
      <c r="AH165" s="19">
        <f>IF(OR(EXACT(H165,"JCR-Q1"),EXACT(H165,"JCR-Q2")),(1),(0))</f>
        <v>0</v>
      </c>
      <c r="AI165" s="19">
        <f>IF(OR(EXACT(H165,"JCR-Q1"),EXACT(H165,"JCR-Q2"),EXACT(H165,"JCR-Q3")),(1),(0))</f>
        <v>0</v>
      </c>
      <c r="AJ165" s="19">
        <f>IF(OR(EXACT(H165,"JCR-Q1"),EXACT(H165,"JCR-Q2"),EXACT(H165,"JCR-Q3"),EXACT(H165,"JCR-Q4")),(1),(0))</f>
        <v>0</v>
      </c>
      <c r="AK165" s="19">
        <f>IF(OR(EXACT(H165,"JCR-Q1"),EXACT(H165,"JCR-Q2"),EXACT(H165,"JCR-Q3"),EXACT(H165,"JCR-Q4"),EXACT(H165,"WOS")),(1),(0))</f>
        <v>0</v>
      </c>
      <c r="AL165" s="19">
        <f>IF(OR(EXACT(H165,"JCR-Q1"),EXACT(H165,"JCR-Q2"),EXACT(H165,"JCR-Q3"),EXACT(H165,"JCR-Q4"),EXACT(H165,"WOS"),EXACT(H165,"Scopus")),(1),(0))</f>
        <v>0</v>
      </c>
      <c r="AM165" s="19">
        <f>IF(OR(EXACT(H165,'Data Base'!$B$21),EXACT(H165,'Data Base'!$B$22)),(1),(0))</f>
        <v>0</v>
      </c>
    </row>
    <row r="166" spans="1:83" ht="20.25" customHeight="1">
      <c r="A166" s="1416" t="s">
        <v>29</v>
      </c>
      <c r="B166" s="1417"/>
      <c r="C166" s="1417"/>
      <c r="D166" s="1418"/>
      <c r="E166" s="514" t="s">
        <v>1001</v>
      </c>
      <c r="F166" s="515"/>
      <c r="G166" s="516" t="s">
        <v>801</v>
      </c>
      <c r="H166" s="517"/>
      <c r="I166" s="516" t="s">
        <v>1002</v>
      </c>
      <c r="J166" s="518"/>
      <c r="K166" s="516" t="s">
        <v>1003</v>
      </c>
      <c r="L166" s="519"/>
      <c r="M166" s="516" t="s">
        <v>1004</v>
      </c>
      <c r="N166" s="520"/>
      <c r="O166" s="1266" t="s">
        <v>55</v>
      </c>
      <c r="P166" s="1419"/>
      <c r="Q166" s="1419"/>
      <c r="R166" s="1419"/>
      <c r="S166" s="1419"/>
      <c r="T166" s="1419"/>
      <c r="U166" s="1415"/>
      <c r="AN166" s="19">
        <f>IF(AND(AA165=1,EXACT(J166,"نفر اول")),(1),(0))</f>
        <v>0</v>
      </c>
      <c r="AO166" s="19">
        <f>IF(AN166=1,R165,0)</f>
        <v>0</v>
      </c>
      <c r="AP166" s="19">
        <f>IF(AND(AA165=1,EXACT(J166,"همكار")),(1),(0))</f>
        <v>0</v>
      </c>
      <c r="AQ166" s="19">
        <f>IF(AP166=1,R165,0)</f>
        <v>0</v>
      </c>
      <c r="AV166" s="19">
        <f>IF((AH165=1),R165,0)</f>
        <v>0</v>
      </c>
      <c r="AW166" s="19">
        <f>IF(AND(EXACT(AN166,"1"),EXACT(AH165,"1")),(1),(0))</f>
        <v>0</v>
      </c>
      <c r="AX166" s="19">
        <f>IF((AW166=1),AV166,0)</f>
        <v>0</v>
      </c>
      <c r="BB166" s="19">
        <f>IF((AI165=1),R165,0)</f>
        <v>0</v>
      </c>
      <c r="BC166" s="19">
        <f>IF(AND(EXACT(AI165,"1"),EXACT(AN166,"1")),(1),(0))</f>
        <v>0</v>
      </c>
      <c r="BD166" s="19">
        <f>IF((BC166=1),BB166,0)</f>
        <v>0</v>
      </c>
      <c r="BH166" s="19">
        <f>IF((AJ165=1),R165,0)</f>
        <v>0</v>
      </c>
      <c r="BI166" s="19">
        <f>IF(AND(EXACT(AJ165,"1"),EXACT(AN166,"1")),(1),(0))</f>
        <v>0</v>
      </c>
      <c r="BJ166" s="19">
        <f>IF((BI166=1),BH166,0)</f>
        <v>0</v>
      </c>
      <c r="BN166" s="19">
        <f>IF((AK165=1),R165,0)</f>
        <v>0</v>
      </c>
      <c r="BO166" s="19">
        <f>IF(AND(EXACT(AK165,"1"),EXACT(AN166,"1")),(1),(0))</f>
        <v>0</v>
      </c>
      <c r="BP166" s="19">
        <f>IF((BO166=1),BN166,0)</f>
        <v>0</v>
      </c>
      <c r="BT166" s="19">
        <f>IF((AL165=1),R165,0)</f>
        <v>0</v>
      </c>
      <c r="BU166" s="19">
        <f>IF(AND(EXACT(AN166,"1"),EXACT(AL165,"1")),(1),(0))</f>
        <v>0</v>
      </c>
      <c r="BV166" s="19">
        <f>IF((BU166=1),BT166,0)</f>
        <v>0</v>
      </c>
      <c r="BZ166" s="19">
        <f>IF((AM165=1),R165,0)</f>
        <v>0</v>
      </c>
      <c r="CA166" s="19">
        <f>IF(AND(EXACT(AM165,"1"),EXACT(AN166,"1")),(1),(0))</f>
        <v>0</v>
      </c>
      <c r="CB166" s="19">
        <f>IF((CA166=1),BZ166,0)</f>
        <v>0</v>
      </c>
    </row>
    <row r="167" spans="1:83" ht="20.25">
      <c r="A167" s="1420" t="s">
        <v>30</v>
      </c>
      <c r="B167" s="1421"/>
      <c r="C167" s="1421"/>
      <c r="D167" s="1422"/>
      <c r="E167" s="536" t="s">
        <v>1001</v>
      </c>
      <c r="F167" s="537"/>
      <c r="G167" s="538" t="s">
        <v>801</v>
      </c>
      <c r="H167" s="539"/>
      <c r="I167" s="538" t="s">
        <v>1002</v>
      </c>
      <c r="J167" s="525"/>
      <c r="K167" s="538" t="s">
        <v>1003</v>
      </c>
      <c r="L167" s="540"/>
      <c r="M167" s="538" t="s">
        <v>1004</v>
      </c>
      <c r="N167" s="541"/>
      <c r="O167" s="1266"/>
      <c r="P167" s="1423"/>
      <c r="Q167" s="1423"/>
      <c r="R167" s="1423"/>
      <c r="S167" s="1423"/>
      <c r="T167" s="1423"/>
      <c r="U167" s="1415"/>
      <c r="AR167" s="19">
        <f>IF(AND(AA165=1,EXACT(J167,"نفر اول")),(1),(0))</f>
        <v>0</v>
      </c>
      <c r="AS167" s="19">
        <f>IF(AR167=1,S165,0)</f>
        <v>0</v>
      </c>
      <c r="AT167" s="19">
        <f>IF(AND(AA165=1,EXACT(J167,"همكار")),(1),(0))</f>
        <v>0</v>
      </c>
      <c r="AU167" s="19">
        <f>IF(AT167=1,S165,0)</f>
        <v>0</v>
      </c>
      <c r="AY167" s="19">
        <f>IF((AH165=1),S165,0)</f>
        <v>0</v>
      </c>
      <c r="AZ167" s="19">
        <f>IF(AND(EXACT(AR167,"1"),EXACT(AH165,"1")),(1),(0))</f>
        <v>0</v>
      </c>
      <c r="BA167" s="19">
        <f>IF((AZ167=1),AY167,0)</f>
        <v>0</v>
      </c>
      <c r="BE167" s="19">
        <f>IF((AI165=1),S165,0)</f>
        <v>0</v>
      </c>
      <c r="BF167" s="19">
        <f>IF(AND(EXACT(AI165,"1"),EXACT(AR167,"1")),(1),(0))</f>
        <v>0</v>
      </c>
      <c r="BG167" s="19">
        <f>IF((BF167=1),BE167,0)</f>
        <v>0</v>
      </c>
      <c r="BK167" s="19">
        <f>IF((AJ165=1),S165,0)</f>
        <v>0</v>
      </c>
      <c r="BL167" s="19">
        <f>IF(AND(EXACT(AJ165,"1"),EXACT(AR167,"1")),(1),(0))</f>
        <v>0</v>
      </c>
      <c r="BM167" s="19">
        <f>IF((BL167=1),BK167,0)</f>
        <v>0</v>
      </c>
      <c r="BQ167" s="19">
        <f>IF((AJ165=1),S165,0)</f>
        <v>0</v>
      </c>
      <c r="BR167" s="19">
        <f>IF(AND(EXACT(AJ165,"1"),EXACT(AR167,"1")),(1),(0))</f>
        <v>0</v>
      </c>
      <c r="BS167" s="19">
        <f>IF((BL167=1),BK167,0)</f>
        <v>0</v>
      </c>
      <c r="BW167" s="19">
        <f>IF((AL165=1),S165,0)</f>
        <v>0</v>
      </c>
      <c r="BX167" s="19">
        <f>IF(AND(EXACT(AL165,"1"),EXACT(AR167,"1")),(1),(0))</f>
        <v>0</v>
      </c>
      <c r="BY167" s="19">
        <f>IF((BX167=1),BW167,0)</f>
        <v>0</v>
      </c>
      <c r="CC167" s="19">
        <f>IF((AM165=1),R165,0)</f>
        <v>0</v>
      </c>
      <c r="CD167" s="19">
        <f>IF(AND(EXACT(AM165,"1"),EXACT(AR167,"1")),(1),(0))</f>
        <v>0</v>
      </c>
      <c r="CE167" s="19">
        <f>IF((CD167=1),CC167,0)</f>
        <v>0</v>
      </c>
    </row>
    <row r="168" spans="1:83" ht="20.25">
      <c r="A168" s="12">
        <f>IF(AA168=0,0,IF(AA165=0,Z168,SUM(A165,AA168)))</f>
        <v>0</v>
      </c>
      <c r="B168" s="1157"/>
      <c r="C168" s="1157"/>
      <c r="D168" s="1157"/>
      <c r="E168" s="1182"/>
      <c r="F168" s="1424"/>
      <c r="G168" s="1424"/>
      <c r="H168" s="527"/>
      <c r="I168" s="528"/>
      <c r="J168" s="529"/>
      <c r="K168" s="530"/>
      <c r="L168" s="531"/>
      <c r="M168" s="532"/>
      <c r="N168" s="533"/>
      <c r="O168" s="532"/>
      <c r="P168" s="1182"/>
      <c r="Q168" s="1182"/>
      <c r="R168" s="534">
        <f t="shared" ref="R168" ca="1" si="204">IF(OR(EXACT(H168,""),EXACT(B168,""),EXACT(F169,""),EXACT(H169,""),EXACT(J169,""),EXACT(L169,""),EXACT(N169,""),EXACT(F168,""),EXACT(J168,""),EXACT(M168,""),EXACT(N168,""),EXACT(O168,""),EXACT(P168,"")),0,IF(OR(EXACT(P169,"مقاله پر استناد"),EXACT(P169,"مقاله داغ"),EXACT(P169,"مستخرج از برنامه تحقيقاتي ملي معطوف به رفع مشكلات كشور")),(1.5*(F169*N169*(IF(EXACT(J169,"نفر اول"),INDIRECT(CONCATENATE("'Data Base'!$d",H169)),INDIRECT(CONCATENATE("'Data Base'!$e",H169))))*((100-L169)/100))),IF(EXACT(P169,"Short Article"),(0.5*(F169*N169*(IF(EXACT(J169,"نفر اول"),INDIRECT(CONCATENATE("'Data Base'!$D",H169)),INDIRECT(CONCATENATE("'Data Base'!$E",H169))))*((100-L169)/100))),IF(EXACT(P169,"چاپ شده در نشريات بسيار پر استناد Nature و Science"),(2*(F169*N169*(IF(EXACT(J169,"نفر اول"),INDIRECT(CONCATENATE("'Data Base'!$D",H169)),INDIRECT(CONCATENATE("'Data Base'!$E",H169))))*((100-L169)/100))),IF(OR(EXACT(P169,"مستخرج از طرح پژوهشي محرمانه"),EXACT(P169,"مشترك با اساتيد دانشگاه خارج از كشور")),(1.2*(F169*N169*(IF(EXACT(J169,"نفر اول"),INDIRECT(CONCATENATE("'Data Base'!$D",H169)),INDIRECT(CONCATENATE("'Data Base'!$E",H169))))*((100-L169)/100))),(F169*N169*(IF(EXACT(J169,"نفر اول"),INDIRECT(CONCATENATE("'Data Base'!$d",H169)),INDIRECT(CONCATENATE("'Data Base'!$e",H169))))*((100-L169)/100)))))))</f>
        <v>0</v>
      </c>
      <c r="S168" s="535">
        <f t="shared" ref="S168" ca="1" si="205">IF(OR(EXACT(H168,""),EXACT(B168,""),EXACT(F170,""),EXACT(H170,""),EXACT(J170,""),EXACT(L170,""),EXACT(N170,""),EXACT(F168,""),EXACT(J168,""),EXACT(M168,""),EXACT(N168,""),EXACT(O168,""),EXACT(P168,"")),0,IF(OR(EXACT(P170,"مقاله پر استناد"),EXACT(P170,"مقاله داغ"),EXACT(P170,"مستخرج از برنامه تحقيقاتي ملي معطوف به رفع مشكلات كشور")),(1.5*(F170*N170*(IF(EXACT(J170,"نفر اول"),INDIRECT(CONCATENATE("'Data Base'!$d",H170)),INDIRECT(CONCATENATE("'Data Base'!$E",H170))))*((100-L170)/100))),IF(EXACT(P170,"Short Article"),(0.5*(F170*N170*(IF(EXACT(J170,"نفر اول"),INDIRECT(CONCATENATE("'Data Base'!$D",H170)),INDIRECT(CONCATENATE("'Data Base'!$E",H170))))*((100-L170)/100))),IF(EXACT(P170,"چاپ شده در نشريات بسيار پر استناد Nature و Science"),(2*(F170*N170*(IF(EXACT(J170,"نفر اول"),INDIRECT(CONCATENATE("'Data Base'!$D",H170)),INDIRECT(CONCATENATE("'Data Base'!$E",H170))))*((100-L170)/100))),IF(OR(EXACT(P170,"مستخرج از طرح پژوهشي محرمانه"),EXACT(P170,"مشترك با اساتيد دانشگاه خارج از كشور")),(1.2*(F170*N170*(IF(EXACT(J170,"نفر اول"),INDIRECT(CONCATENATE("'Data Base'!$D",H170)),INDIRECT(CONCATENATE("'Data Base'!$E",H170))))*((100-L170)/100))),(F170*N170*(IF(EXACT(J170,"نفر اول"),INDIRECT(CONCATENATE("'Data Base'!$D",H170)),INDIRECT(CONCATENATE("'Data Base'!$E",H170))))*((100-L170)/100)))))))</f>
        <v>0</v>
      </c>
      <c r="T168" s="147"/>
      <c r="U168" s="1414"/>
      <c r="Z168" s="19">
        <f>SUM(Z165,AA168)</f>
        <v>0</v>
      </c>
      <c r="AA168" s="19">
        <f>IF(OR(OR(B168="",F168="",H168="",J168="",P168=""),AND(M168="",O168="")),0,1)</f>
        <v>0</v>
      </c>
      <c r="AB168" s="19">
        <f t="shared" ref="AB168" ca="1" si="206">IF(AND(AA168=1,S168&gt;0),1,0)</f>
        <v>0</v>
      </c>
      <c r="AC168" s="19">
        <f t="shared" ref="AC168" ca="1" si="207">IF(AND(AA168=1,S168&lt;1),1,0)</f>
        <v>0</v>
      </c>
      <c r="AD168" s="19">
        <f ca="1">IF(AND(AA168=1,S168&gt;=1,AJ168=1),1,0)</f>
        <v>0</v>
      </c>
      <c r="AE168" s="19">
        <f ca="1">IF(AD168=1,S168,0)</f>
        <v>0</v>
      </c>
      <c r="AF168" s="19">
        <f ca="1">IF(AND(AA168=1,S168&gt;=1,AJ168=1,AR170=1),1,0)</f>
        <v>0</v>
      </c>
      <c r="AG168" s="19">
        <f ca="1">IF(AF168=1,S168,0)</f>
        <v>0</v>
      </c>
      <c r="AH168" s="19">
        <f>IF(OR(EXACT(H168,"JCR-Q1"),EXACT(H168,"JCR-Q2")),(1),(0))</f>
        <v>0</v>
      </c>
      <c r="AI168" s="19">
        <f>IF(OR(EXACT(H168,"JCR-Q1"),EXACT(H168,"JCR-Q2"),EXACT(H168,"JCR-Q3")),(1),(0))</f>
        <v>0</v>
      </c>
      <c r="AJ168" s="19">
        <f>IF(OR(EXACT(H168,"JCR-Q1"),EXACT(H168,"JCR-Q2"),EXACT(H168,"JCR-Q3"),EXACT(H168,"JCR-Q4")),(1),(0))</f>
        <v>0</v>
      </c>
      <c r="AK168" s="19">
        <f>IF(OR(EXACT(H168,"JCR-Q1"),EXACT(H168,"JCR-Q2"),EXACT(H168,"JCR-Q3"),EXACT(H168,"JCR-Q4"),EXACT(H168,"WOS")),(1),(0))</f>
        <v>0</v>
      </c>
      <c r="AL168" s="19">
        <f>IF(OR(EXACT(H168,"JCR-Q1"),EXACT(H168,"JCR-Q2"),EXACT(H168,"JCR-Q3"),EXACT(H168,"JCR-Q4"),EXACT(H168,"WOS"),EXACT(H168,"Scopus")),(1),(0))</f>
        <v>0</v>
      </c>
      <c r="AM168" s="19">
        <f>IF(OR(EXACT(H168,'Data Base'!$B$21),EXACT(H168,'Data Base'!$B$22)),(1),(0))</f>
        <v>0</v>
      </c>
    </row>
    <row r="169" spans="1:83" ht="20.25" customHeight="1">
      <c r="A169" s="1416" t="s">
        <v>29</v>
      </c>
      <c r="B169" s="1417"/>
      <c r="C169" s="1417"/>
      <c r="D169" s="1418"/>
      <c r="E169" s="514" t="s">
        <v>1001</v>
      </c>
      <c r="F169" s="515"/>
      <c r="G169" s="516" t="s">
        <v>801</v>
      </c>
      <c r="H169" s="517"/>
      <c r="I169" s="516" t="s">
        <v>1002</v>
      </c>
      <c r="J169" s="518"/>
      <c r="K169" s="516" t="s">
        <v>1003</v>
      </c>
      <c r="L169" s="519"/>
      <c r="M169" s="516" t="s">
        <v>1004</v>
      </c>
      <c r="N169" s="520"/>
      <c r="O169" s="1266" t="s">
        <v>55</v>
      </c>
      <c r="P169" s="1419"/>
      <c r="Q169" s="1419"/>
      <c r="R169" s="1419"/>
      <c r="S169" s="1419"/>
      <c r="T169" s="1419"/>
      <c r="U169" s="1415"/>
      <c r="AN169" s="19">
        <f>IF(AND(AA168=1,EXACT(J169,"نفر اول")),(1),(0))</f>
        <v>0</v>
      </c>
      <c r="AO169" s="19">
        <f>IF(AN169=1,R168,0)</f>
        <v>0</v>
      </c>
      <c r="AP169" s="19">
        <f>IF(AND(AA168=1,EXACT(J169,"همكار")),(1),(0))</f>
        <v>0</v>
      </c>
      <c r="AQ169" s="19">
        <f>IF(AP169=1,R168,0)</f>
        <v>0</v>
      </c>
      <c r="AV169" s="19">
        <f>IF((AH168=1),R168,0)</f>
        <v>0</v>
      </c>
      <c r="AW169" s="19">
        <f>IF(AND(EXACT(AN169,"1"),EXACT(AH168,"1")),(1),(0))</f>
        <v>0</v>
      </c>
      <c r="AX169" s="19">
        <f>IF((AW169=1),AV169,0)</f>
        <v>0</v>
      </c>
      <c r="BB169" s="19">
        <f>IF((AI168=1),R168,0)</f>
        <v>0</v>
      </c>
      <c r="BC169" s="19">
        <f>IF(AND(EXACT(AI168,"1"),EXACT(AN169,"1")),(1),(0))</f>
        <v>0</v>
      </c>
      <c r="BD169" s="19">
        <f>IF((BC169=1),BB169,0)</f>
        <v>0</v>
      </c>
      <c r="BH169" s="19">
        <f>IF((AJ168=1),R168,0)</f>
        <v>0</v>
      </c>
      <c r="BI169" s="19">
        <f>IF(AND(EXACT(AJ168,"1"),EXACT(AN169,"1")),(1),(0))</f>
        <v>0</v>
      </c>
      <c r="BJ169" s="19">
        <f>IF((BI169=1),BH169,0)</f>
        <v>0</v>
      </c>
      <c r="BN169" s="19">
        <f>IF((AK168=1),R168,0)</f>
        <v>0</v>
      </c>
      <c r="BO169" s="19">
        <f>IF(AND(EXACT(AK168,"1"),EXACT(AN169,"1")),(1),(0))</f>
        <v>0</v>
      </c>
      <c r="BP169" s="19">
        <f>IF((BO169=1),BN169,0)</f>
        <v>0</v>
      </c>
      <c r="BT169" s="19">
        <f>IF((AL168=1),R168,0)</f>
        <v>0</v>
      </c>
      <c r="BU169" s="19">
        <f>IF(AND(EXACT(AN169,"1"),EXACT(AL168,"1")),(1),(0))</f>
        <v>0</v>
      </c>
      <c r="BV169" s="19">
        <f>IF((BU169=1),BT169,0)</f>
        <v>0</v>
      </c>
      <c r="BZ169" s="19">
        <f>IF((AM168=1),R168,0)</f>
        <v>0</v>
      </c>
      <c r="CA169" s="19">
        <f>IF(AND(EXACT(AM168,"1"),EXACT(AN169,"1")),(1),(0))</f>
        <v>0</v>
      </c>
      <c r="CB169" s="19">
        <f>IF((CA169=1),BZ169,0)</f>
        <v>0</v>
      </c>
    </row>
    <row r="170" spans="1:83" ht="20.25">
      <c r="A170" s="1420" t="s">
        <v>30</v>
      </c>
      <c r="B170" s="1421"/>
      <c r="C170" s="1421"/>
      <c r="D170" s="1422"/>
      <c r="E170" s="536" t="s">
        <v>1001</v>
      </c>
      <c r="F170" s="537"/>
      <c r="G170" s="538" t="s">
        <v>801</v>
      </c>
      <c r="H170" s="539"/>
      <c r="I170" s="538" t="s">
        <v>1002</v>
      </c>
      <c r="J170" s="525"/>
      <c r="K170" s="538" t="s">
        <v>1003</v>
      </c>
      <c r="L170" s="540"/>
      <c r="M170" s="538" t="s">
        <v>1004</v>
      </c>
      <c r="N170" s="541"/>
      <c r="O170" s="1266"/>
      <c r="P170" s="1423"/>
      <c r="Q170" s="1423"/>
      <c r="R170" s="1423"/>
      <c r="S170" s="1423"/>
      <c r="T170" s="1423"/>
      <c r="U170" s="1415"/>
      <c r="AR170" s="19">
        <f>IF(AND(AA168=1,EXACT(J170,"نفر اول")),(1),(0))</f>
        <v>0</v>
      </c>
      <c r="AS170" s="19">
        <f>IF(AR170=1,S168,0)</f>
        <v>0</v>
      </c>
      <c r="AT170" s="19">
        <f>IF(AND(AA168=1,EXACT(J170,"همكار")),(1),(0))</f>
        <v>0</v>
      </c>
      <c r="AU170" s="19">
        <f>IF(AT170=1,S168,0)</f>
        <v>0</v>
      </c>
      <c r="AY170" s="19">
        <f>IF((AH168=1),S168,0)</f>
        <v>0</v>
      </c>
      <c r="AZ170" s="19">
        <f>IF(AND(EXACT(AR170,"1"),EXACT(AH168,"1")),(1),(0))</f>
        <v>0</v>
      </c>
      <c r="BA170" s="19">
        <f>IF((AZ170=1),AY170,0)</f>
        <v>0</v>
      </c>
      <c r="BE170" s="19">
        <f>IF((AI168=1),S168,0)</f>
        <v>0</v>
      </c>
      <c r="BF170" s="19">
        <f>IF(AND(EXACT(AI168,"1"),EXACT(AR170,"1")),(1),(0))</f>
        <v>0</v>
      </c>
      <c r="BG170" s="19">
        <f>IF((BF170=1),BE170,0)</f>
        <v>0</v>
      </c>
      <c r="BK170" s="19">
        <f>IF((AJ168=1),S168,0)</f>
        <v>0</v>
      </c>
      <c r="BL170" s="19">
        <f>IF(AND(EXACT(AJ168,"1"),EXACT(AR170,"1")),(1),(0))</f>
        <v>0</v>
      </c>
      <c r="BM170" s="19">
        <f>IF((BL170=1),BK170,0)</f>
        <v>0</v>
      </c>
      <c r="BQ170" s="19">
        <f>IF((AJ168=1),S168,0)</f>
        <v>0</v>
      </c>
      <c r="BR170" s="19">
        <f>IF(AND(EXACT(AJ168,"1"),EXACT(AR170,"1")),(1),(0))</f>
        <v>0</v>
      </c>
      <c r="BS170" s="19">
        <f>IF((BL170=1),BK170,0)</f>
        <v>0</v>
      </c>
      <c r="BW170" s="19">
        <f>IF((AL168=1),S168,0)</f>
        <v>0</v>
      </c>
      <c r="BX170" s="19">
        <f>IF(AND(EXACT(AL168,"1"),EXACT(AR170,"1")),(1),(0))</f>
        <v>0</v>
      </c>
      <c r="BY170" s="19">
        <f>IF((BX170=1),BW170,0)</f>
        <v>0</v>
      </c>
      <c r="CC170" s="19">
        <f>IF((AM168=1),R168,0)</f>
        <v>0</v>
      </c>
      <c r="CD170" s="19">
        <f>IF(AND(EXACT(AM168,"1"),EXACT(AR170,"1")),(1),(0))</f>
        <v>0</v>
      </c>
      <c r="CE170" s="19">
        <f>IF((CD170=1),CC170,0)</f>
        <v>0</v>
      </c>
    </row>
    <row r="171" spans="1:83" ht="20.25">
      <c r="A171" s="12">
        <f>IF(AA171=0,0,IF(AA168=0,Z171,SUM(A168,AA171)))</f>
        <v>0</v>
      </c>
      <c r="B171" s="1157"/>
      <c r="C171" s="1157"/>
      <c r="D171" s="1157"/>
      <c r="E171" s="1182"/>
      <c r="F171" s="1424"/>
      <c r="G171" s="1424"/>
      <c r="H171" s="527"/>
      <c r="I171" s="528"/>
      <c r="J171" s="529"/>
      <c r="K171" s="530"/>
      <c r="L171" s="531"/>
      <c r="M171" s="532"/>
      <c r="N171" s="533"/>
      <c r="O171" s="532"/>
      <c r="P171" s="1182"/>
      <c r="Q171" s="1182"/>
      <c r="R171" s="534">
        <f t="shared" ref="R171" ca="1" si="208">IF(OR(EXACT(H171,""),EXACT(B171,""),EXACT(F172,""),EXACT(H172,""),EXACT(J172,""),EXACT(L172,""),EXACT(N172,""),EXACT(F171,""),EXACT(J171,""),EXACT(M171,""),EXACT(N171,""),EXACT(O171,""),EXACT(P171,"")),0,IF(OR(EXACT(P172,"مقاله پر استناد"),EXACT(P172,"مقاله داغ"),EXACT(P172,"مستخرج از برنامه تحقيقاتي ملي معطوف به رفع مشكلات كشور")),(1.5*(F172*N172*(IF(EXACT(J172,"نفر اول"),INDIRECT(CONCATENATE("'Data Base'!$d",H172)),INDIRECT(CONCATENATE("'Data Base'!$e",H172))))*((100-L172)/100))),IF(EXACT(P172,"Short Article"),(0.5*(F172*N172*(IF(EXACT(J172,"نفر اول"),INDIRECT(CONCATENATE("'Data Base'!$D",H172)),INDIRECT(CONCATENATE("'Data Base'!$E",H172))))*((100-L172)/100))),IF(EXACT(P172,"چاپ شده در نشريات بسيار پر استناد Nature و Science"),(2*(F172*N172*(IF(EXACT(J172,"نفر اول"),INDIRECT(CONCATENATE("'Data Base'!$D",H172)),INDIRECT(CONCATENATE("'Data Base'!$E",H172))))*((100-L172)/100))),IF(OR(EXACT(P172,"مستخرج از طرح پژوهشي محرمانه"),EXACT(P172,"مشترك با اساتيد دانشگاه خارج از كشور")),(1.2*(F172*N172*(IF(EXACT(J172,"نفر اول"),INDIRECT(CONCATENATE("'Data Base'!$D",H172)),INDIRECT(CONCATENATE("'Data Base'!$E",H172))))*((100-L172)/100))),(F172*N172*(IF(EXACT(J172,"نفر اول"),INDIRECT(CONCATENATE("'Data Base'!$d",H172)),INDIRECT(CONCATENATE("'Data Base'!$e",H172))))*((100-L172)/100)))))))</f>
        <v>0</v>
      </c>
      <c r="S171" s="535">
        <f t="shared" ref="S171" ca="1" si="209">IF(OR(EXACT(H171,""),EXACT(B171,""),EXACT(F173,""),EXACT(H173,""),EXACT(J173,""),EXACT(L173,""),EXACT(N173,""),EXACT(F171,""),EXACT(J171,""),EXACT(M171,""),EXACT(N171,""),EXACT(O171,""),EXACT(P171,"")),0,IF(OR(EXACT(P173,"مقاله پر استناد"),EXACT(P173,"مقاله داغ"),EXACT(P173,"مستخرج از برنامه تحقيقاتي ملي معطوف به رفع مشكلات كشور")),(1.5*(F173*N173*(IF(EXACT(J173,"نفر اول"),INDIRECT(CONCATENATE("'Data Base'!$d",H173)),INDIRECT(CONCATENATE("'Data Base'!$E",H173))))*((100-L173)/100))),IF(EXACT(P173,"Short Article"),(0.5*(F173*N173*(IF(EXACT(J173,"نفر اول"),INDIRECT(CONCATENATE("'Data Base'!$D",H173)),INDIRECT(CONCATENATE("'Data Base'!$E",H173))))*((100-L173)/100))),IF(EXACT(P173,"چاپ شده در نشريات بسيار پر استناد Nature و Science"),(2*(F173*N173*(IF(EXACT(J173,"نفر اول"),INDIRECT(CONCATENATE("'Data Base'!$D",H173)),INDIRECT(CONCATENATE("'Data Base'!$E",H173))))*((100-L173)/100))),IF(OR(EXACT(P173,"مستخرج از طرح پژوهشي محرمانه"),EXACT(P173,"مشترك با اساتيد دانشگاه خارج از كشور")),(1.2*(F173*N173*(IF(EXACT(J173,"نفر اول"),INDIRECT(CONCATENATE("'Data Base'!$D",H173)),INDIRECT(CONCATENATE("'Data Base'!$E",H173))))*((100-L173)/100))),(F173*N173*(IF(EXACT(J173,"نفر اول"),INDIRECT(CONCATENATE("'Data Base'!$D",H173)),INDIRECT(CONCATENATE("'Data Base'!$E",H173))))*((100-L173)/100)))))))</f>
        <v>0</v>
      </c>
      <c r="T171" s="147"/>
      <c r="U171" s="1414"/>
      <c r="Z171" s="19">
        <f>SUM(Z168,AA171)</f>
        <v>0</v>
      </c>
      <c r="AA171" s="19">
        <f>IF(OR(OR(B171="",F171="",H171="",J171="",P171=""),AND(M171="",O171="")),0,1)</f>
        <v>0</v>
      </c>
      <c r="AB171" s="19">
        <f t="shared" ref="AB171" ca="1" si="210">IF(AND(AA171=1,S171&gt;0),1,0)</f>
        <v>0</v>
      </c>
      <c r="AC171" s="19">
        <f t="shared" ref="AC171" ca="1" si="211">IF(AND(AA171=1,S171&lt;1),1,0)</f>
        <v>0</v>
      </c>
      <c r="AD171" s="19">
        <f ca="1">IF(AND(AA171=1,S171&gt;=1,AJ171=1),1,0)</f>
        <v>0</v>
      </c>
      <c r="AE171" s="19">
        <f ca="1">IF(AD171=1,S171,0)</f>
        <v>0</v>
      </c>
      <c r="AF171" s="19">
        <f ca="1">IF(AND(AA171=1,S171&gt;=1,AJ171=1,AR173=1),1,0)</f>
        <v>0</v>
      </c>
      <c r="AG171" s="19">
        <f ca="1">IF(AF171=1,S171,0)</f>
        <v>0</v>
      </c>
      <c r="AH171" s="19">
        <f>IF(OR(EXACT(H171,"JCR-Q1"),EXACT(H171,"JCR-Q2")),(1),(0))</f>
        <v>0</v>
      </c>
      <c r="AI171" s="19">
        <f>IF(OR(EXACT(H171,"JCR-Q1"),EXACT(H171,"JCR-Q2"),EXACT(H171,"JCR-Q3")),(1),(0))</f>
        <v>0</v>
      </c>
      <c r="AJ171" s="19">
        <f>IF(OR(EXACT(H171,"JCR-Q1"),EXACT(H171,"JCR-Q2"),EXACT(H171,"JCR-Q3"),EXACT(H171,"JCR-Q4")),(1),(0))</f>
        <v>0</v>
      </c>
      <c r="AK171" s="19">
        <f>IF(OR(EXACT(H171,"JCR-Q1"),EXACT(H171,"JCR-Q2"),EXACT(H171,"JCR-Q3"),EXACT(H171,"JCR-Q4"),EXACT(H171,"WOS")),(1),(0))</f>
        <v>0</v>
      </c>
      <c r="AL171" s="19">
        <f>IF(OR(EXACT(H171,"JCR-Q1"),EXACT(H171,"JCR-Q2"),EXACT(H171,"JCR-Q3"),EXACT(H171,"JCR-Q4"),EXACT(H171,"WOS"),EXACT(H171,"Scopus")),(1),(0))</f>
        <v>0</v>
      </c>
      <c r="AM171" s="19">
        <f>IF(OR(EXACT(H171,'Data Base'!$B$21),EXACT(H171,'Data Base'!$B$22)),(1),(0))</f>
        <v>0</v>
      </c>
    </row>
    <row r="172" spans="1:83" ht="20.25" customHeight="1">
      <c r="A172" s="1416" t="s">
        <v>29</v>
      </c>
      <c r="B172" s="1417"/>
      <c r="C172" s="1417"/>
      <c r="D172" s="1418"/>
      <c r="E172" s="514" t="s">
        <v>1001</v>
      </c>
      <c r="F172" s="515"/>
      <c r="G172" s="516" t="s">
        <v>801</v>
      </c>
      <c r="H172" s="517"/>
      <c r="I172" s="516" t="s">
        <v>1002</v>
      </c>
      <c r="J172" s="518"/>
      <c r="K172" s="516" t="s">
        <v>1003</v>
      </c>
      <c r="L172" s="519"/>
      <c r="M172" s="516" t="s">
        <v>1004</v>
      </c>
      <c r="N172" s="520"/>
      <c r="O172" s="1266" t="s">
        <v>55</v>
      </c>
      <c r="P172" s="1419"/>
      <c r="Q172" s="1419"/>
      <c r="R172" s="1419"/>
      <c r="S172" s="1419"/>
      <c r="T172" s="1419"/>
      <c r="U172" s="1415"/>
      <c r="AN172" s="19">
        <f>IF(AND(AA171=1,EXACT(J172,"نفر اول")),(1),(0))</f>
        <v>0</v>
      </c>
      <c r="AO172" s="19">
        <f>IF(AN172=1,R171,0)</f>
        <v>0</v>
      </c>
      <c r="AP172" s="19">
        <f>IF(AND(AA171=1,EXACT(J172,"همكار")),(1),(0))</f>
        <v>0</v>
      </c>
      <c r="AQ172" s="19">
        <f>IF(AP172=1,R171,0)</f>
        <v>0</v>
      </c>
      <c r="AV172" s="19">
        <f>IF((AH171=1),R171,0)</f>
        <v>0</v>
      </c>
      <c r="AW172" s="19">
        <f>IF(AND(EXACT(AN172,"1"),EXACT(AH171,"1")),(1),(0))</f>
        <v>0</v>
      </c>
      <c r="AX172" s="19">
        <f>IF((AW172=1),AV172,0)</f>
        <v>0</v>
      </c>
      <c r="BB172" s="19">
        <f>IF((AI171=1),R171,0)</f>
        <v>0</v>
      </c>
      <c r="BC172" s="19">
        <f>IF(AND(EXACT(AI171,"1"),EXACT(AN172,"1")),(1),(0))</f>
        <v>0</v>
      </c>
      <c r="BD172" s="19">
        <f>IF((BC172=1),BB172,0)</f>
        <v>0</v>
      </c>
      <c r="BH172" s="19">
        <f>IF((AJ171=1),R171,0)</f>
        <v>0</v>
      </c>
      <c r="BI172" s="19">
        <f>IF(AND(EXACT(AJ171,"1"),EXACT(AN172,"1")),(1),(0))</f>
        <v>0</v>
      </c>
      <c r="BJ172" s="19">
        <f>IF((BI172=1),BH172,0)</f>
        <v>0</v>
      </c>
      <c r="BN172" s="19">
        <f>IF((AK171=1),R171,0)</f>
        <v>0</v>
      </c>
      <c r="BO172" s="19">
        <f>IF(AND(EXACT(AK171,"1"),EXACT(AN172,"1")),(1),(0))</f>
        <v>0</v>
      </c>
      <c r="BP172" s="19">
        <f>IF((BO172=1),BN172,0)</f>
        <v>0</v>
      </c>
      <c r="BT172" s="19">
        <f>IF((AL171=1),R171,0)</f>
        <v>0</v>
      </c>
      <c r="BU172" s="19">
        <f>IF(AND(EXACT(AN172,"1"),EXACT(AL171,"1")),(1),(0))</f>
        <v>0</v>
      </c>
      <c r="BV172" s="19">
        <f>IF((BU172=1),BT172,0)</f>
        <v>0</v>
      </c>
      <c r="BZ172" s="19">
        <f>IF((AM171=1),R171,0)</f>
        <v>0</v>
      </c>
      <c r="CA172" s="19">
        <f>IF(AND(EXACT(AM171,"1"),EXACT(AN172,"1")),(1),(0))</f>
        <v>0</v>
      </c>
      <c r="CB172" s="19">
        <f>IF((CA172=1),BZ172,0)</f>
        <v>0</v>
      </c>
    </row>
    <row r="173" spans="1:83" ht="20.25">
      <c r="A173" s="1420" t="s">
        <v>30</v>
      </c>
      <c r="B173" s="1421"/>
      <c r="C173" s="1421"/>
      <c r="D173" s="1422"/>
      <c r="E173" s="536" t="s">
        <v>1001</v>
      </c>
      <c r="F173" s="537"/>
      <c r="G173" s="538" t="s">
        <v>801</v>
      </c>
      <c r="H173" s="539"/>
      <c r="I173" s="538" t="s">
        <v>1002</v>
      </c>
      <c r="J173" s="525"/>
      <c r="K173" s="538" t="s">
        <v>1003</v>
      </c>
      <c r="L173" s="540"/>
      <c r="M173" s="538" t="s">
        <v>1004</v>
      </c>
      <c r="N173" s="541"/>
      <c r="O173" s="1266"/>
      <c r="P173" s="1423"/>
      <c r="Q173" s="1423"/>
      <c r="R173" s="1423"/>
      <c r="S173" s="1423"/>
      <c r="T173" s="1423"/>
      <c r="U173" s="1415"/>
      <c r="AR173" s="19">
        <f>IF(AND(AA171=1,EXACT(J173,"نفر اول")),(1),(0))</f>
        <v>0</v>
      </c>
      <c r="AS173" s="19">
        <f>IF(AR173=1,S171,0)</f>
        <v>0</v>
      </c>
      <c r="AT173" s="19">
        <f>IF(AND(AA171=1,EXACT(J173,"همكار")),(1),(0))</f>
        <v>0</v>
      </c>
      <c r="AU173" s="19">
        <f>IF(AT173=1,S171,0)</f>
        <v>0</v>
      </c>
      <c r="AY173" s="19">
        <f>IF((AH171=1),S171,0)</f>
        <v>0</v>
      </c>
      <c r="AZ173" s="19">
        <f>IF(AND(EXACT(AR173,"1"),EXACT(AH171,"1")),(1),(0))</f>
        <v>0</v>
      </c>
      <c r="BA173" s="19">
        <f>IF((AZ173=1),AY173,0)</f>
        <v>0</v>
      </c>
      <c r="BE173" s="19">
        <f>IF((AI171=1),S171,0)</f>
        <v>0</v>
      </c>
      <c r="BF173" s="19">
        <f>IF(AND(EXACT(AI171,"1"),EXACT(AR173,"1")),(1),(0))</f>
        <v>0</v>
      </c>
      <c r="BG173" s="19">
        <f>IF((BF173=1),BE173,0)</f>
        <v>0</v>
      </c>
      <c r="BK173" s="19">
        <f>IF((AJ171=1),S171,0)</f>
        <v>0</v>
      </c>
      <c r="BL173" s="19">
        <f>IF(AND(EXACT(AJ171,"1"),EXACT(AR173,"1")),(1),(0))</f>
        <v>0</v>
      </c>
      <c r="BM173" s="19">
        <f>IF((BL173=1),BK173,0)</f>
        <v>0</v>
      </c>
      <c r="BQ173" s="19">
        <f>IF((AJ171=1),S171,0)</f>
        <v>0</v>
      </c>
      <c r="BR173" s="19">
        <f>IF(AND(EXACT(AJ171,"1"),EXACT(AR173,"1")),(1),(0))</f>
        <v>0</v>
      </c>
      <c r="BS173" s="19">
        <f>IF((BL173=1),BK173,0)</f>
        <v>0</v>
      </c>
      <c r="BW173" s="19">
        <f>IF((AL171=1),S171,0)</f>
        <v>0</v>
      </c>
      <c r="BX173" s="19">
        <f>IF(AND(EXACT(AL171,"1"),EXACT(AR173,"1")),(1),(0))</f>
        <v>0</v>
      </c>
      <c r="BY173" s="19">
        <f>IF((BX173=1),BW173,0)</f>
        <v>0</v>
      </c>
      <c r="CC173" s="19">
        <f>IF((AM171=1),R171,0)</f>
        <v>0</v>
      </c>
      <c r="CD173" s="19">
        <f>IF(AND(EXACT(AM171,"1"),EXACT(AR173,"1")),(1),(0))</f>
        <v>0</v>
      </c>
      <c r="CE173" s="19">
        <f>IF((CD173=1),CC173,0)</f>
        <v>0</v>
      </c>
    </row>
    <row r="174" spans="1:83" ht="20.25">
      <c r="A174" s="12">
        <f>IF(AA174=0,0,IF(AA171=0,Z174,SUM(A171,AA174)))</f>
        <v>0</v>
      </c>
      <c r="B174" s="1157"/>
      <c r="C174" s="1157"/>
      <c r="D174" s="1157"/>
      <c r="E174" s="1182"/>
      <c r="F174" s="1424"/>
      <c r="G174" s="1424"/>
      <c r="H174" s="527"/>
      <c r="I174" s="528"/>
      <c r="J174" s="529"/>
      <c r="K174" s="530"/>
      <c r="L174" s="531"/>
      <c r="M174" s="532"/>
      <c r="N174" s="533"/>
      <c r="O174" s="532"/>
      <c r="P174" s="1182"/>
      <c r="Q174" s="1182"/>
      <c r="R174" s="534">
        <f t="shared" ref="R174" ca="1" si="212">IF(OR(EXACT(H174,""),EXACT(B174,""),EXACT(F175,""),EXACT(H175,""),EXACT(J175,""),EXACT(L175,""),EXACT(N175,""),EXACT(F174,""),EXACT(J174,""),EXACT(M174,""),EXACT(N174,""),EXACT(O174,""),EXACT(P174,"")),0,IF(OR(EXACT(P175,"مقاله پر استناد"),EXACT(P175,"مقاله داغ"),EXACT(P175,"مستخرج از برنامه تحقيقاتي ملي معطوف به رفع مشكلات كشور")),(1.5*(F175*N175*(IF(EXACT(J175,"نفر اول"),INDIRECT(CONCATENATE("'Data Base'!$d",H175)),INDIRECT(CONCATENATE("'Data Base'!$e",H175))))*((100-L175)/100))),IF(EXACT(P175,"Short Article"),(0.5*(F175*N175*(IF(EXACT(J175,"نفر اول"),INDIRECT(CONCATENATE("'Data Base'!$D",H175)),INDIRECT(CONCATENATE("'Data Base'!$E",H175))))*((100-L175)/100))),IF(EXACT(P175,"چاپ شده در نشريات بسيار پر استناد Nature و Science"),(2*(F175*N175*(IF(EXACT(J175,"نفر اول"),INDIRECT(CONCATENATE("'Data Base'!$D",H175)),INDIRECT(CONCATENATE("'Data Base'!$E",H175))))*((100-L175)/100))),IF(OR(EXACT(P175,"مستخرج از طرح پژوهشي محرمانه"),EXACT(P175,"مشترك با اساتيد دانشگاه خارج از كشور")),(1.2*(F175*N175*(IF(EXACT(J175,"نفر اول"),INDIRECT(CONCATENATE("'Data Base'!$D",H175)),INDIRECT(CONCATENATE("'Data Base'!$E",H175))))*((100-L175)/100))),(F175*N175*(IF(EXACT(J175,"نفر اول"),INDIRECT(CONCATENATE("'Data Base'!$d",H175)),INDIRECT(CONCATENATE("'Data Base'!$e",H175))))*((100-L175)/100)))))))</f>
        <v>0</v>
      </c>
      <c r="S174" s="535">
        <f t="shared" ref="S174" ca="1" si="213">IF(OR(EXACT(H174,""),EXACT(B174,""),EXACT(F176,""),EXACT(H176,""),EXACT(J176,""),EXACT(L176,""),EXACT(N176,""),EXACT(F174,""),EXACT(J174,""),EXACT(M174,""),EXACT(N174,""),EXACT(O174,""),EXACT(P174,"")),0,IF(OR(EXACT(P176,"مقاله پر استناد"),EXACT(P176,"مقاله داغ"),EXACT(P176,"مستخرج از برنامه تحقيقاتي ملي معطوف به رفع مشكلات كشور")),(1.5*(F176*N176*(IF(EXACT(J176,"نفر اول"),INDIRECT(CONCATENATE("'Data Base'!$d",H176)),INDIRECT(CONCATENATE("'Data Base'!$E",H176))))*((100-L176)/100))),IF(EXACT(P176,"Short Article"),(0.5*(F176*N176*(IF(EXACT(J176,"نفر اول"),INDIRECT(CONCATENATE("'Data Base'!$D",H176)),INDIRECT(CONCATENATE("'Data Base'!$E",H176))))*((100-L176)/100))),IF(EXACT(P176,"چاپ شده در نشريات بسيار پر استناد Nature و Science"),(2*(F176*N176*(IF(EXACT(J176,"نفر اول"),INDIRECT(CONCATENATE("'Data Base'!$D",H176)),INDIRECT(CONCATENATE("'Data Base'!$E",H176))))*((100-L176)/100))),IF(OR(EXACT(P176,"مستخرج از طرح پژوهشي محرمانه"),EXACT(P176,"مشترك با اساتيد دانشگاه خارج از كشور")),(1.2*(F176*N176*(IF(EXACT(J176,"نفر اول"),INDIRECT(CONCATENATE("'Data Base'!$D",H176)),INDIRECT(CONCATENATE("'Data Base'!$E",H176))))*((100-L176)/100))),(F176*N176*(IF(EXACT(J176,"نفر اول"),INDIRECT(CONCATENATE("'Data Base'!$D",H176)),INDIRECT(CONCATENATE("'Data Base'!$E",H176))))*((100-L176)/100)))))))</f>
        <v>0</v>
      </c>
      <c r="T174" s="147"/>
      <c r="U174" s="1414"/>
      <c r="Z174" s="19">
        <f>SUM(Z171,AA174)</f>
        <v>0</v>
      </c>
      <c r="AA174" s="19">
        <f>IF(OR(OR(B174="",F174="",H174="",J174="",P174=""),AND(M174="",O174="")),0,1)</f>
        <v>0</v>
      </c>
      <c r="AB174" s="19">
        <f t="shared" ref="AB174" ca="1" si="214">IF(AND(AA174=1,S174&gt;0),1,0)</f>
        <v>0</v>
      </c>
      <c r="AC174" s="19">
        <f t="shared" ref="AC174" ca="1" si="215">IF(AND(AA174=1,S174&lt;1),1,0)</f>
        <v>0</v>
      </c>
      <c r="AD174" s="19">
        <f ca="1">IF(AND(AA174=1,S174&gt;=1,AJ174=1),1,0)</f>
        <v>0</v>
      </c>
      <c r="AE174" s="19">
        <f ca="1">IF(AD174=1,S174,0)</f>
        <v>0</v>
      </c>
      <c r="AF174" s="19">
        <f ca="1">IF(AND(AA174=1,S174&gt;=1,AJ174=1,AR176=1),1,0)</f>
        <v>0</v>
      </c>
      <c r="AG174" s="19">
        <f ca="1">IF(AF174=1,S174,0)</f>
        <v>0</v>
      </c>
      <c r="AH174" s="19">
        <f>IF(OR(EXACT(H174,"JCR-Q1"),EXACT(H174,"JCR-Q2")),(1),(0))</f>
        <v>0</v>
      </c>
      <c r="AI174" s="19">
        <f>IF(OR(EXACT(H174,"JCR-Q1"),EXACT(H174,"JCR-Q2"),EXACT(H174,"JCR-Q3")),(1),(0))</f>
        <v>0</v>
      </c>
      <c r="AJ174" s="19">
        <f>IF(OR(EXACT(H174,"JCR-Q1"),EXACT(H174,"JCR-Q2"),EXACT(H174,"JCR-Q3"),EXACT(H174,"JCR-Q4")),(1),(0))</f>
        <v>0</v>
      </c>
      <c r="AK174" s="19">
        <f>IF(OR(EXACT(H174,"JCR-Q1"),EXACT(H174,"JCR-Q2"),EXACT(H174,"JCR-Q3"),EXACT(H174,"JCR-Q4"),EXACT(H174,"WOS")),(1),(0))</f>
        <v>0</v>
      </c>
      <c r="AL174" s="19">
        <f>IF(OR(EXACT(H174,"JCR-Q1"),EXACT(H174,"JCR-Q2"),EXACT(H174,"JCR-Q3"),EXACT(H174,"JCR-Q4"),EXACT(H174,"WOS"),EXACT(H174,"Scopus")),(1),(0))</f>
        <v>0</v>
      </c>
      <c r="AM174" s="19">
        <f>IF(OR(EXACT(H174,'Data Base'!$B$21),EXACT(H174,'Data Base'!$B$22)),(1),(0))</f>
        <v>0</v>
      </c>
    </row>
    <row r="175" spans="1:83" ht="20.25" customHeight="1">
      <c r="A175" s="1416" t="s">
        <v>29</v>
      </c>
      <c r="B175" s="1417"/>
      <c r="C175" s="1417"/>
      <c r="D175" s="1418"/>
      <c r="E175" s="514" t="s">
        <v>1001</v>
      </c>
      <c r="F175" s="515"/>
      <c r="G175" s="516" t="s">
        <v>801</v>
      </c>
      <c r="H175" s="517"/>
      <c r="I175" s="516" t="s">
        <v>1002</v>
      </c>
      <c r="J175" s="518"/>
      <c r="K175" s="516" t="s">
        <v>1003</v>
      </c>
      <c r="L175" s="519"/>
      <c r="M175" s="516" t="s">
        <v>1004</v>
      </c>
      <c r="N175" s="520"/>
      <c r="O175" s="1266" t="s">
        <v>55</v>
      </c>
      <c r="P175" s="1419"/>
      <c r="Q175" s="1419"/>
      <c r="R175" s="1419"/>
      <c r="S175" s="1419"/>
      <c r="T175" s="1419"/>
      <c r="U175" s="1415"/>
      <c r="AN175" s="19">
        <f>IF(AND(AA174=1,EXACT(J175,"نفر اول")),(1),(0))</f>
        <v>0</v>
      </c>
      <c r="AO175" s="19">
        <f>IF(AN175=1,R174,0)</f>
        <v>0</v>
      </c>
      <c r="AP175" s="19">
        <f>IF(AND(AA174=1,EXACT(J175,"همكار")),(1),(0))</f>
        <v>0</v>
      </c>
      <c r="AQ175" s="19">
        <f>IF(AP175=1,R174,0)</f>
        <v>0</v>
      </c>
      <c r="AV175" s="19">
        <f>IF((AH174=1),R174,0)</f>
        <v>0</v>
      </c>
      <c r="AW175" s="19">
        <f>IF(AND(EXACT(AN175,"1"),EXACT(AH174,"1")),(1),(0))</f>
        <v>0</v>
      </c>
      <c r="AX175" s="19">
        <f>IF((AW175=1),AV175,0)</f>
        <v>0</v>
      </c>
      <c r="BB175" s="19">
        <f>IF((AI174=1),R174,0)</f>
        <v>0</v>
      </c>
      <c r="BC175" s="19">
        <f>IF(AND(EXACT(AI174,"1"),EXACT(AN175,"1")),(1),(0))</f>
        <v>0</v>
      </c>
      <c r="BD175" s="19">
        <f>IF((BC175=1),BB175,0)</f>
        <v>0</v>
      </c>
      <c r="BH175" s="19">
        <f>IF((AJ174=1),R174,0)</f>
        <v>0</v>
      </c>
      <c r="BI175" s="19">
        <f>IF(AND(EXACT(AJ174,"1"),EXACT(AN175,"1")),(1),(0))</f>
        <v>0</v>
      </c>
      <c r="BJ175" s="19">
        <f>IF((BI175=1),BH175,0)</f>
        <v>0</v>
      </c>
      <c r="BN175" s="19">
        <f>IF((AK174=1),R174,0)</f>
        <v>0</v>
      </c>
      <c r="BO175" s="19">
        <f>IF(AND(EXACT(AK174,"1"),EXACT(AN175,"1")),(1),(0))</f>
        <v>0</v>
      </c>
      <c r="BP175" s="19">
        <f>IF((BO175=1),BN175,0)</f>
        <v>0</v>
      </c>
      <c r="BT175" s="19">
        <f>IF((AL174=1),R174,0)</f>
        <v>0</v>
      </c>
      <c r="BU175" s="19">
        <f>IF(AND(EXACT(AN175,"1"),EXACT(AL174,"1")),(1),(0))</f>
        <v>0</v>
      </c>
      <c r="BV175" s="19">
        <f>IF((BU175=1),BT175,0)</f>
        <v>0</v>
      </c>
      <c r="BZ175" s="19">
        <f>IF((AM174=1),R174,0)</f>
        <v>0</v>
      </c>
      <c r="CA175" s="19">
        <f>IF(AND(EXACT(AM174,"1"),EXACT(AN175,"1")),(1),(0))</f>
        <v>0</v>
      </c>
      <c r="CB175" s="19">
        <f>IF((CA175=1),BZ175,0)</f>
        <v>0</v>
      </c>
    </row>
    <row r="176" spans="1:83" ht="20.25">
      <c r="A176" s="1420" t="s">
        <v>30</v>
      </c>
      <c r="B176" s="1421"/>
      <c r="C176" s="1421"/>
      <c r="D176" s="1422"/>
      <c r="E176" s="536" t="s">
        <v>1001</v>
      </c>
      <c r="F176" s="537"/>
      <c r="G176" s="538" t="s">
        <v>801</v>
      </c>
      <c r="H176" s="539"/>
      <c r="I176" s="538" t="s">
        <v>1002</v>
      </c>
      <c r="J176" s="525"/>
      <c r="K176" s="538" t="s">
        <v>1003</v>
      </c>
      <c r="L176" s="540"/>
      <c r="M176" s="538" t="s">
        <v>1004</v>
      </c>
      <c r="N176" s="541"/>
      <c r="O176" s="1266"/>
      <c r="P176" s="1423"/>
      <c r="Q176" s="1423"/>
      <c r="R176" s="1423"/>
      <c r="S176" s="1423"/>
      <c r="T176" s="1423"/>
      <c r="U176" s="1415"/>
      <c r="AR176" s="19">
        <f>IF(AND(AA174=1,EXACT(J176,"نفر اول")),(1),(0))</f>
        <v>0</v>
      </c>
      <c r="AS176" s="19">
        <f>IF(AR176=1,S174,0)</f>
        <v>0</v>
      </c>
      <c r="AT176" s="19">
        <f>IF(AND(AA174=1,EXACT(J176,"همكار")),(1),(0))</f>
        <v>0</v>
      </c>
      <c r="AU176" s="19">
        <f>IF(AT176=1,S174,0)</f>
        <v>0</v>
      </c>
      <c r="AY176" s="19">
        <f>IF((AH174=1),S174,0)</f>
        <v>0</v>
      </c>
      <c r="AZ176" s="19">
        <f>IF(AND(EXACT(AR176,"1"),EXACT(AH174,"1")),(1),(0))</f>
        <v>0</v>
      </c>
      <c r="BA176" s="19">
        <f>IF((AZ176=1),AY176,0)</f>
        <v>0</v>
      </c>
      <c r="BE176" s="19">
        <f>IF((AI174=1),S174,0)</f>
        <v>0</v>
      </c>
      <c r="BF176" s="19">
        <f>IF(AND(EXACT(AI174,"1"),EXACT(AR176,"1")),(1),(0))</f>
        <v>0</v>
      </c>
      <c r="BG176" s="19">
        <f>IF((BF176=1),BE176,0)</f>
        <v>0</v>
      </c>
      <c r="BK176" s="19">
        <f>IF((AJ174=1),S174,0)</f>
        <v>0</v>
      </c>
      <c r="BL176" s="19">
        <f>IF(AND(EXACT(AJ174,"1"),EXACT(AR176,"1")),(1),(0))</f>
        <v>0</v>
      </c>
      <c r="BM176" s="19">
        <f>IF((BL176=1),BK176,0)</f>
        <v>0</v>
      </c>
      <c r="BQ176" s="19">
        <f>IF((AJ174=1),S174,0)</f>
        <v>0</v>
      </c>
      <c r="BR176" s="19">
        <f>IF(AND(EXACT(AJ174,"1"),EXACT(AR176,"1")),(1),(0))</f>
        <v>0</v>
      </c>
      <c r="BS176" s="19">
        <f>IF((BL176=1),BK176,0)</f>
        <v>0</v>
      </c>
      <c r="BW176" s="19">
        <f>IF((AL174=1),S174,0)</f>
        <v>0</v>
      </c>
      <c r="BX176" s="19">
        <f>IF(AND(EXACT(AL174,"1"),EXACT(AR176,"1")),(1),(0))</f>
        <v>0</v>
      </c>
      <c r="BY176" s="19">
        <f>IF((BX176=1),BW176,0)</f>
        <v>0</v>
      </c>
      <c r="CC176" s="19">
        <f>IF((AM174=1),R174,0)</f>
        <v>0</v>
      </c>
      <c r="CD176" s="19">
        <f>IF(AND(EXACT(AM174,"1"),EXACT(AR176,"1")),(1),(0))</f>
        <v>0</v>
      </c>
      <c r="CE176" s="19">
        <f>IF((CD176=1),CC176,0)</f>
        <v>0</v>
      </c>
    </row>
    <row r="177" spans="1:83" ht="20.25">
      <c r="A177" s="12">
        <f>IF(AA177=0,0,IF(AA174=0,Z177,SUM(A174,AA177)))</f>
        <v>0</v>
      </c>
      <c r="B177" s="1157"/>
      <c r="C177" s="1157"/>
      <c r="D177" s="1157"/>
      <c r="E177" s="1182"/>
      <c r="F177" s="1424"/>
      <c r="G177" s="1424"/>
      <c r="H177" s="527"/>
      <c r="I177" s="528"/>
      <c r="J177" s="529"/>
      <c r="K177" s="530"/>
      <c r="L177" s="531"/>
      <c r="M177" s="532"/>
      <c r="N177" s="533"/>
      <c r="O177" s="532"/>
      <c r="P177" s="1182"/>
      <c r="Q177" s="1182"/>
      <c r="R177" s="534">
        <f t="shared" ref="R177" ca="1" si="216">IF(OR(EXACT(H177,""),EXACT(B177,""),EXACT(F178,""),EXACT(H178,""),EXACT(J178,""),EXACT(L178,""),EXACT(N178,""),EXACT(F177,""),EXACT(J177,""),EXACT(M177,""),EXACT(N177,""),EXACT(O177,""),EXACT(P177,"")),0,IF(OR(EXACT(P178,"مقاله پر استناد"),EXACT(P178,"مقاله داغ"),EXACT(P178,"مستخرج از برنامه تحقيقاتي ملي معطوف به رفع مشكلات كشور")),(1.5*(F178*N178*(IF(EXACT(J178,"نفر اول"),INDIRECT(CONCATENATE("'Data Base'!$d",H178)),INDIRECT(CONCATENATE("'Data Base'!$e",H178))))*((100-L178)/100))),IF(EXACT(P178,"Short Article"),(0.5*(F178*N178*(IF(EXACT(J178,"نفر اول"),INDIRECT(CONCATENATE("'Data Base'!$D",H178)),INDIRECT(CONCATENATE("'Data Base'!$E",H178))))*((100-L178)/100))),IF(EXACT(P178,"چاپ شده در نشريات بسيار پر استناد Nature و Science"),(2*(F178*N178*(IF(EXACT(J178,"نفر اول"),INDIRECT(CONCATENATE("'Data Base'!$D",H178)),INDIRECT(CONCATENATE("'Data Base'!$E",H178))))*((100-L178)/100))),IF(OR(EXACT(P178,"مستخرج از طرح پژوهشي محرمانه"),EXACT(P178,"مشترك با اساتيد دانشگاه خارج از كشور")),(1.2*(F178*N178*(IF(EXACT(J178,"نفر اول"),INDIRECT(CONCATENATE("'Data Base'!$D",H178)),INDIRECT(CONCATENATE("'Data Base'!$E",H178))))*((100-L178)/100))),(F178*N178*(IF(EXACT(J178,"نفر اول"),INDIRECT(CONCATENATE("'Data Base'!$d",H178)),INDIRECT(CONCATENATE("'Data Base'!$e",H178))))*((100-L178)/100)))))))</f>
        <v>0</v>
      </c>
      <c r="S177" s="535">
        <f t="shared" ref="S177" ca="1" si="217">IF(OR(EXACT(H177,""),EXACT(B177,""),EXACT(F179,""),EXACT(H179,""),EXACT(J179,""),EXACT(L179,""),EXACT(N179,""),EXACT(F177,""),EXACT(J177,""),EXACT(M177,""),EXACT(N177,""),EXACT(O177,""),EXACT(P177,"")),0,IF(OR(EXACT(P179,"مقاله پر استناد"),EXACT(P179,"مقاله داغ"),EXACT(P179,"مستخرج از برنامه تحقيقاتي ملي معطوف به رفع مشكلات كشور")),(1.5*(F179*N179*(IF(EXACT(J179,"نفر اول"),INDIRECT(CONCATENATE("'Data Base'!$d",H179)),INDIRECT(CONCATENATE("'Data Base'!$E",H179))))*((100-L179)/100))),IF(EXACT(P179,"Short Article"),(0.5*(F179*N179*(IF(EXACT(J179,"نفر اول"),INDIRECT(CONCATENATE("'Data Base'!$D",H179)),INDIRECT(CONCATENATE("'Data Base'!$E",H179))))*((100-L179)/100))),IF(EXACT(P179,"چاپ شده در نشريات بسيار پر استناد Nature و Science"),(2*(F179*N179*(IF(EXACT(J179,"نفر اول"),INDIRECT(CONCATENATE("'Data Base'!$D",H179)),INDIRECT(CONCATENATE("'Data Base'!$E",H179))))*((100-L179)/100))),IF(OR(EXACT(P179,"مستخرج از طرح پژوهشي محرمانه"),EXACT(P179,"مشترك با اساتيد دانشگاه خارج از كشور")),(1.2*(F179*N179*(IF(EXACT(J179,"نفر اول"),INDIRECT(CONCATENATE("'Data Base'!$D",H179)),INDIRECT(CONCATENATE("'Data Base'!$E",H179))))*((100-L179)/100))),(F179*N179*(IF(EXACT(J179,"نفر اول"),INDIRECT(CONCATENATE("'Data Base'!$D",H179)),INDIRECT(CONCATENATE("'Data Base'!$E",H179))))*((100-L179)/100)))))))</f>
        <v>0</v>
      </c>
      <c r="T177" s="147"/>
      <c r="U177" s="1414"/>
      <c r="Z177" s="19">
        <f>SUM(Z174,AA177)</f>
        <v>0</v>
      </c>
      <c r="AA177" s="19">
        <f>IF(OR(OR(B177="",F177="",H177="",J177="",P177=""),AND(M177="",O177="")),0,1)</f>
        <v>0</v>
      </c>
      <c r="AB177" s="19">
        <f t="shared" ref="AB177" ca="1" si="218">IF(AND(AA177=1,S177&gt;0),1,0)</f>
        <v>0</v>
      </c>
      <c r="AC177" s="19">
        <f t="shared" ref="AC177" ca="1" si="219">IF(AND(AA177=1,S177&lt;1),1,0)</f>
        <v>0</v>
      </c>
      <c r="AD177" s="19">
        <f ca="1">IF(AND(AA177=1,S177&gt;=1,AJ177=1),1,0)</f>
        <v>0</v>
      </c>
      <c r="AE177" s="19">
        <f ca="1">IF(AD177=1,S177,0)</f>
        <v>0</v>
      </c>
      <c r="AF177" s="19">
        <f ca="1">IF(AND(AA177=1,S177&gt;=1,AJ177=1,AR179=1),1,0)</f>
        <v>0</v>
      </c>
      <c r="AG177" s="19">
        <f ca="1">IF(AF177=1,S177,0)</f>
        <v>0</v>
      </c>
      <c r="AH177" s="19">
        <f>IF(OR(EXACT(H177,"JCR-Q1"),EXACT(H177,"JCR-Q2")),(1),(0))</f>
        <v>0</v>
      </c>
      <c r="AI177" s="19">
        <f>IF(OR(EXACT(H177,"JCR-Q1"),EXACT(H177,"JCR-Q2"),EXACT(H177,"JCR-Q3")),(1),(0))</f>
        <v>0</v>
      </c>
      <c r="AJ177" s="19">
        <f>IF(OR(EXACT(H177,"JCR-Q1"),EXACT(H177,"JCR-Q2"),EXACT(H177,"JCR-Q3"),EXACT(H177,"JCR-Q4")),(1),(0))</f>
        <v>0</v>
      </c>
      <c r="AK177" s="19">
        <f>IF(OR(EXACT(H177,"JCR-Q1"),EXACT(H177,"JCR-Q2"),EXACT(H177,"JCR-Q3"),EXACT(H177,"JCR-Q4"),EXACT(H177,"WOS")),(1),(0))</f>
        <v>0</v>
      </c>
      <c r="AL177" s="19">
        <f>IF(OR(EXACT(H177,"JCR-Q1"),EXACT(H177,"JCR-Q2"),EXACT(H177,"JCR-Q3"),EXACT(H177,"JCR-Q4"),EXACT(H177,"WOS"),EXACT(H177,"Scopus")),(1),(0))</f>
        <v>0</v>
      </c>
      <c r="AM177" s="19">
        <f>IF(OR(EXACT(H177,'Data Base'!$B$21),EXACT(H177,'Data Base'!$B$22)),(1),(0))</f>
        <v>0</v>
      </c>
    </row>
    <row r="178" spans="1:83" ht="20.25" customHeight="1">
      <c r="A178" s="1416" t="s">
        <v>29</v>
      </c>
      <c r="B178" s="1417"/>
      <c r="C178" s="1417"/>
      <c r="D178" s="1418"/>
      <c r="E178" s="514" t="s">
        <v>1001</v>
      </c>
      <c r="F178" s="515"/>
      <c r="G178" s="516" t="s">
        <v>801</v>
      </c>
      <c r="H178" s="517"/>
      <c r="I178" s="516" t="s">
        <v>1002</v>
      </c>
      <c r="J178" s="518"/>
      <c r="K178" s="516" t="s">
        <v>1003</v>
      </c>
      <c r="L178" s="519"/>
      <c r="M178" s="516" t="s">
        <v>1004</v>
      </c>
      <c r="N178" s="520"/>
      <c r="O178" s="1266" t="s">
        <v>55</v>
      </c>
      <c r="P178" s="1419"/>
      <c r="Q178" s="1419"/>
      <c r="R178" s="1419"/>
      <c r="S178" s="1419"/>
      <c r="T178" s="1419"/>
      <c r="U178" s="1415"/>
      <c r="AN178" s="19">
        <f>IF(AND(AA177=1,EXACT(J178,"نفر اول")),(1),(0))</f>
        <v>0</v>
      </c>
      <c r="AO178" s="19">
        <f>IF(AN178=1,R177,0)</f>
        <v>0</v>
      </c>
      <c r="AP178" s="19">
        <f>IF(AND(AA177=1,EXACT(J178,"همكار")),(1),(0))</f>
        <v>0</v>
      </c>
      <c r="AQ178" s="19">
        <f>IF(AP178=1,R177,0)</f>
        <v>0</v>
      </c>
      <c r="AV178" s="19">
        <f>IF((AH177=1),R177,0)</f>
        <v>0</v>
      </c>
      <c r="AW178" s="19">
        <f>IF(AND(EXACT(AN178,"1"),EXACT(AH177,"1")),(1),(0))</f>
        <v>0</v>
      </c>
      <c r="AX178" s="19">
        <f>IF((AW178=1),AV178,0)</f>
        <v>0</v>
      </c>
      <c r="BB178" s="19">
        <f>IF((AI177=1),R177,0)</f>
        <v>0</v>
      </c>
      <c r="BC178" s="19">
        <f>IF(AND(EXACT(AI177,"1"),EXACT(AN178,"1")),(1),(0))</f>
        <v>0</v>
      </c>
      <c r="BD178" s="19">
        <f>IF((BC178=1),BB178,0)</f>
        <v>0</v>
      </c>
      <c r="BH178" s="19">
        <f>IF((AJ177=1),R177,0)</f>
        <v>0</v>
      </c>
      <c r="BI178" s="19">
        <f>IF(AND(EXACT(AJ177,"1"),EXACT(AN178,"1")),(1),(0))</f>
        <v>0</v>
      </c>
      <c r="BJ178" s="19">
        <f>IF((BI178=1),BH178,0)</f>
        <v>0</v>
      </c>
      <c r="BN178" s="19">
        <f>IF((AK177=1),R177,0)</f>
        <v>0</v>
      </c>
      <c r="BO178" s="19">
        <f>IF(AND(EXACT(AK177,"1"),EXACT(AN178,"1")),(1),(0))</f>
        <v>0</v>
      </c>
      <c r="BP178" s="19">
        <f>IF((BO178=1),BN178,0)</f>
        <v>0</v>
      </c>
      <c r="BT178" s="19">
        <f>IF((AL177=1),R177,0)</f>
        <v>0</v>
      </c>
      <c r="BU178" s="19">
        <f>IF(AND(EXACT(AN178,"1"),EXACT(AL177,"1")),(1),(0))</f>
        <v>0</v>
      </c>
      <c r="BV178" s="19">
        <f>IF((BU178=1),BT178,0)</f>
        <v>0</v>
      </c>
      <c r="BZ178" s="19">
        <f>IF((AM177=1),R177,0)</f>
        <v>0</v>
      </c>
      <c r="CA178" s="19">
        <f>IF(AND(EXACT(AM177,"1"),EXACT(AN178,"1")),(1),(0))</f>
        <v>0</v>
      </c>
      <c r="CB178" s="19">
        <f>IF((CA178=1),BZ178,0)</f>
        <v>0</v>
      </c>
    </row>
    <row r="179" spans="1:83" ht="20.25">
      <c r="A179" s="1420" t="s">
        <v>30</v>
      </c>
      <c r="B179" s="1421"/>
      <c r="C179" s="1421"/>
      <c r="D179" s="1422"/>
      <c r="E179" s="536" t="s">
        <v>1001</v>
      </c>
      <c r="F179" s="537"/>
      <c r="G179" s="538" t="s">
        <v>801</v>
      </c>
      <c r="H179" s="539"/>
      <c r="I179" s="538" t="s">
        <v>1002</v>
      </c>
      <c r="J179" s="525"/>
      <c r="K179" s="538" t="s">
        <v>1003</v>
      </c>
      <c r="L179" s="540"/>
      <c r="M179" s="538" t="s">
        <v>1004</v>
      </c>
      <c r="N179" s="541"/>
      <c r="O179" s="1266"/>
      <c r="P179" s="1423"/>
      <c r="Q179" s="1423"/>
      <c r="R179" s="1423"/>
      <c r="S179" s="1423"/>
      <c r="T179" s="1423"/>
      <c r="U179" s="1415"/>
      <c r="AR179" s="19">
        <f>IF(AND(AA177=1,EXACT(J179,"نفر اول")),(1),(0))</f>
        <v>0</v>
      </c>
      <c r="AS179" s="19">
        <f>IF(AR179=1,S177,0)</f>
        <v>0</v>
      </c>
      <c r="AT179" s="19">
        <f>IF(AND(AA177=1,EXACT(J179,"همكار")),(1),(0))</f>
        <v>0</v>
      </c>
      <c r="AU179" s="19">
        <f>IF(AT179=1,S177,0)</f>
        <v>0</v>
      </c>
      <c r="AY179" s="19">
        <f>IF((AH177=1),S177,0)</f>
        <v>0</v>
      </c>
      <c r="AZ179" s="19">
        <f>IF(AND(EXACT(AR179,"1"),EXACT(AH177,"1")),(1),(0))</f>
        <v>0</v>
      </c>
      <c r="BA179" s="19">
        <f>IF((AZ179=1),AY179,0)</f>
        <v>0</v>
      </c>
      <c r="BE179" s="19">
        <f>IF((AI177=1),S177,0)</f>
        <v>0</v>
      </c>
      <c r="BF179" s="19">
        <f>IF(AND(EXACT(AI177,"1"),EXACT(AR179,"1")),(1),(0))</f>
        <v>0</v>
      </c>
      <c r="BG179" s="19">
        <f>IF((BF179=1),BE179,0)</f>
        <v>0</v>
      </c>
      <c r="BK179" s="19">
        <f>IF((AJ177=1),S177,0)</f>
        <v>0</v>
      </c>
      <c r="BL179" s="19">
        <f>IF(AND(EXACT(AJ177,"1"),EXACT(AR179,"1")),(1),(0))</f>
        <v>0</v>
      </c>
      <c r="BM179" s="19">
        <f>IF((BL179=1),BK179,0)</f>
        <v>0</v>
      </c>
      <c r="BQ179" s="19">
        <f>IF((AJ177=1),S177,0)</f>
        <v>0</v>
      </c>
      <c r="BR179" s="19">
        <f>IF(AND(EXACT(AJ177,"1"),EXACT(AR179,"1")),(1),(0))</f>
        <v>0</v>
      </c>
      <c r="BS179" s="19">
        <f>IF((BL179=1),BK179,0)</f>
        <v>0</v>
      </c>
      <c r="BW179" s="19">
        <f>IF((AL177=1),S177,0)</f>
        <v>0</v>
      </c>
      <c r="BX179" s="19">
        <f>IF(AND(EXACT(AL177,"1"),EXACT(AR179,"1")),(1),(0))</f>
        <v>0</v>
      </c>
      <c r="BY179" s="19">
        <f>IF((BX179=1),BW179,0)</f>
        <v>0</v>
      </c>
      <c r="CC179" s="19">
        <f>IF((AM177=1),R177,0)</f>
        <v>0</v>
      </c>
      <c r="CD179" s="19">
        <f>IF(AND(EXACT(AM177,"1"),EXACT(AR179,"1")),(1),(0))</f>
        <v>0</v>
      </c>
      <c r="CE179" s="19">
        <f>IF((CD179=1),CC179,0)</f>
        <v>0</v>
      </c>
    </row>
    <row r="180" spans="1:83" ht="20.25">
      <c r="A180" s="12">
        <f>IF(AA180=0,0,IF(AA177=0,Z180,SUM(A177,AA180)))</f>
        <v>0</v>
      </c>
      <c r="B180" s="1157"/>
      <c r="C180" s="1157"/>
      <c r="D180" s="1157"/>
      <c r="E180" s="1182"/>
      <c r="F180" s="1424"/>
      <c r="G180" s="1424"/>
      <c r="H180" s="527"/>
      <c r="I180" s="528"/>
      <c r="J180" s="529"/>
      <c r="K180" s="530"/>
      <c r="L180" s="531"/>
      <c r="M180" s="532"/>
      <c r="N180" s="533"/>
      <c r="O180" s="532"/>
      <c r="P180" s="1182"/>
      <c r="Q180" s="1182"/>
      <c r="R180" s="534">
        <f t="shared" ref="R180" ca="1" si="220">IF(OR(EXACT(H180,""),EXACT(B180,""),EXACT(F181,""),EXACT(H181,""),EXACT(J181,""),EXACT(L181,""),EXACT(N181,""),EXACT(F180,""),EXACT(J180,""),EXACT(M180,""),EXACT(N180,""),EXACT(O180,""),EXACT(P180,"")),0,IF(OR(EXACT(P181,"مقاله پر استناد"),EXACT(P181,"مقاله داغ"),EXACT(P181,"مستخرج از برنامه تحقيقاتي ملي معطوف به رفع مشكلات كشور")),(1.5*(F181*N181*(IF(EXACT(J181,"نفر اول"),INDIRECT(CONCATENATE("'Data Base'!$d",H181)),INDIRECT(CONCATENATE("'Data Base'!$e",H181))))*((100-L181)/100))),IF(EXACT(P181,"Short Article"),(0.5*(F181*N181*(IF(EXACT(J181,"نفر اول"),INDIRECT(CONCATENATE("'Data Base'!$D",H181)),INDIRECT(CONCATENATE("'Data Base'!$E",H181))))*((100-L181)/100))),IF(EXACT(P181,"چاپ شده در نشريات بسيار پر استناد Nature و Science"),(2*(F181*N181*(IF(EXACT(J181,"نفر اول"),INDIRECT(CONCATENATE("'Data Base'!$D",H181)),INDIRECT(CONCATENATE("'Data Base'!$E",H181))))*((100-L181)/100))),IF(OR(EXACT(P181,"مستخرج از طرح پژوهشي محرمانه"),EXACT(P181,"مشترك با اساتيد دانشگاه خارج از كشور")),(1.2*(F181*N181*(IF(EXACT(J181,"نفر اول"),INDIRECT(CONCATENATE("'Data Base'!$D",H181)),INDIRECT(CONCATENATE("'Data Base'!$E",H181))))*((100-L181)/100))),(F181*N181*(IF(EXACT(J181,"نفر اول"),INDIRECT(CONCATENATE("'Data Base'!$d",H181)),INDIRECT(CONCATENATE("'Data Base'!$e",H181))))*((100-L181)/100)))))))</f>
        <v>0</v>
      </c>
      <c r="S180" s="535">
        <f t="shared" ref="S180" ca="1" si="221">IF(OR(EXACT(H180,""),EXACT(B180,""),EXACT(F182,""),EXACT(H182,""),EXACT(J182,""),EXACT(L182,""),EXACT(N182,""),EXACT(F180,""),EXACT(J180,""),EXACT(M180,""),EXACT(N180,""),EXACT(O180,""),EXACT(P180,"")),0,IF(OR(EXACT(P182,"مقاله پر استناد"),EXACT(P182,"مقاله داغ"),EXACT(P182,"مستخرج از برنامه تحقيقاتي ملي معطوف به رفع مشكلات كشور")),(1.5*(F182*N182*(IF(EXACT(J182,"نفر اول"),INDIRECT(CONCATENATE("'Data Base'!$d",H182)),INDIRECT(CONCATENATE("'Data Base'!$E",H182))))*((100-L182)/100))),IF(EXACT(P182,"Short Article"),(0.5*(F182*N182*(IF(EXACT(J182,"نفر اول"),INDIRECT(CONCATENATE("'Data Base'!$D",H182)),INDIRECT(CONCATENATE("'Data Base'!$E",H182))))*((100-L182)/100))),IF(EXACT(P182,"چاپ شده در نشريات بسيار پر استناد Nature و Science"),(2*(F182*N182*(IF(EXACT(J182,"نفر اول"),INDIRECT(CONCATENATE("'Data Base'!$D",H182)),INDIRECT(CONCATENATE("'Data Base'!$E",H182))))*((100-L182)/100))),IF(OR(EXACT(P182,"مستخرج از طرح پژوهشي محرمانه"),EXACT(P182,"مشترك با اساتيد دانشگاه خارج از كشور")),(1.2*(F182*N182*(IF(EXACT(J182,"نفر اول"),INDIRECT(CONCATENATE("'Data Base'!$D",H182)),INDIRECT(CONCATENATE("'Data Base'!$E",H182))))*((100-L182)/100))),(F182*N182*(IF(EXACT(J182,"نفر اول"),INDIRECT(CONCATENATE("'Data Base'!$D",H182)),INDIRECT(CONCATENATE("'Data Base'!$E",H182))))*((100-L182)/100)))))))</f>
        <v>0</v>
      </c>
      <c r="T180" s="147"/>
      <c r="U180" s="1414"/>
      <c r="Z180" s="19">
        <f>SUM(Z177,AA180)</f>
        <v>0</v>
      </c>
      <c r="AA180" s="19">
        <f>IF(OR(OR(B180="",F180="",H180="",J180="",P180=""),AND(M180="",O180="")),0,1)</f>
        <v>0</v>
      </c>
      <c r="AB180" s="19">
        <f t="shared" ref="AB180" ca="1" si="222">IF(AND(AA180=1,S180&gt;0),1,0)</f>
        <v>0</v>
      </c>
      <c r="AC180" s="19">
        <f t="shared" ref="AC180" ca="1" si="223">IF(AND(AA180=1,S180&lt;1),1,0)</f>
        <v>0</v>
      </c>
      <c r="AD180" s="19">
        <f ca="1">IF(AND(AA180=1,S180&gt;=1,AJ180=1),1,0)</f>
        <v>0</v>
      </c>
      <c r="AE180" s="19">
        <f ca="1">IF(AD180=1,S180,0)</f>
        <v>0</v>
      </c>
      <c r="AF180" s="19">
        <f ca="1">IF(AND(AA180=1,S180&gt;=1,AJ180=1,AR182=1),1,0)</f>
        <v>0</v>
      </c>
      <c r="AG180" s="19">
        <f ca="1">IF(AF180=1,S180,0)</f>
        <v>0</v>
      </c>
      <c r="AH180" s="19">
        <f>IF(OR(EXACT(H180,"JCR-Q1"),EXACT(H180,"JCR-Q2")),(1),(0))</f>
        <v>0</v>
      </c>
      <c r="AI180" s="19">
        <f>IF(OR(EXACT(H180,"JCR-Q1"),EXACT(H180,"JCR-Q2"),EXACT(H180,"JCR-Q3")),(1),(0))</f>
        <v>0</v>
      </c>
      <c r="AJ180" s="19">
        <f>IF(OR(EXACT(H180,"JCR-Q1"),EXACT(H180,"JCR-Q2"),EXACT(H180,"JCR-Q3"),EXACT(H180,"JCR-Q4")),(1),(0))</f>
        <v>0</v>
      </c>
      <c r="AK180" s="19">
        <f>IF(OR(EXACT(H180,"JCR-Q1"),EXACT(H180,"JCR-Q2"),EXACT(H180,"JCR-Q3"),EXACT(H180,"JCR-Q4"),EXACT(H180,"WOS")),(1),(0))</f>
        <v>0</v>
      </c>
      <c r="AL180" s="19">
        <f>IF(OR(EXACT(H180,"JCR-Q1"),EXACT(H180,"JCR-Q2"),EXACT(H180,"JCR-Q3"),EXACT(H180,"JCR-Q4"),EXACT(H180,"WOS"),EXACT(H180,"Scopus")),(1),(0))</f>
        <v>0</v>
      </c>
      <c r="AM180" s="19">
        <f>IF(OR(EXACT(H180,'Data Base'!$B$21),EXACT(H180,'Data Base'!$B$22)),(1),(0))</f>
        <v>0</v>
      </c>
    </row>
    <row r="181" spans="1:83" ht="20.25" customHeight="1">
      <c r="A181" s="1416" t="s">
        <v>29</v>
      </c>
      <c r="B181" s="1417"/>
      <c r="C181" s="1417"/>
      <c r="D181" s="1418"/>
      <c r="E181" s="514" t="s">
        <v>1001</v>
      </c>
      <c r="F181" s="515"/>
      <c r="G181" s="516" t="s">
        <v>801</v>
      </c>
      <c r="H181" s="517"/>
      <c r="I181" s="516" t="s">
        <v>1002</v>
      </c>
      <c r="J181" s="518"/>
      <c r="K181" s="516" t="s">
        <v>1003</v>
      </c>
      <c r="L181" s="519"/>
      <c r="M181" s="516" t="s">
        <v>1004</v>
      </c>
      <c r="N181" s="520"/>
      <c r="O181" s="1266" t="s">
        <v>55</v>
      </c>
      <c r="P181" s="1419"/>
      <c r="Q181" s="1419"/>
      <c r="R181" s="1419"/>
      <c r="S181" s="1419"/>
      <c r="T181" s="1419"/>
      <c r="U181" s="1415"/>
      <c r="AN181" s="19">
        <f>IF(AND(AA180=1,EXACT(J181,"نفر اول")),(1),(0))</f>
        <v>0</v>
      </c>
      <c r="AO181" s="19">
        <f>IF(AN181=1,R180,0)</f>
        <v>0</v>
      </c>
      <c r="AP181" s="19">
        <f>IF(AND(AA180=1,EXACT(J181,"همكار")),(1),(0))</f>
        <v>0</v>
      </c>
      <c r="AQ181" s="19">
        <f>IF(AP181=1,R180,0)</f>
        <v>0</v>
      </c>
      <c r="AV181" s="19">
        <f>IF((AH180=1),R180,0)</f>
        <v>0</v>
      </c>
      <c r="AW181" s="19">
        <f>IF(AND(EXACT(AN181,"1"),EXACT(AH180,"1")),(1),(0))</f>
        <v>0</v>
      </c>
      <c r="AX181" s="19">
        <f>IF((AW181=1),AV181,0)</f>
        <v>0</v>
      </c>
      <c r="BB181" s="19">
        <f>IF((AI180=1),R180,0)</f>
        <v>0</v>
      </c>
      <c r="BC181" s="19">
        <f>IF(AND(EXACT(AI180,"1"),EXACT(AN181,"1")),(1),(0))</f>
        <v>0</v>
      </c>
      <c r="BD181" s="19">
        <f>IF((BC181=1),BB181,0)</f>
        <v>0</v>
      </c>
      <c r="BH181" s="19">
        <f>IF((AJ180=1),R180,0)</f>
        <v>0</v>
      </c>
      <c r="BI181" s="19">
        <f>IF(AND(EXACT(AJ180,"1"),EXACT(AN181,"1")),(1),(0))</f>
        <v>0</v>
      </c>
      <c r="BJ181" s="19">
        <f>IF((BI181=1),BH181,0)</f>
        <v>0</v>
      </c>
      <c r="BN181" s="19">
        <f>IF((AK180=1),R180,0)</f>
        <v>0</v>
      </c>
      <c r="BO181" s="19">
        <f>IF(AND(EXACT(AK180,"1"),EXACT(AN181,"1")),(1),(0))</f>
        <v>0</v>
      </c>
      <c r="BP181" s="19">
        <f>IF((BO181=1),BN181,0)</f>
        <v>0</v>
      </c>
      <c r="BT181" s="19">
        <f>IF((AL180=1),R180,0)</f>
        <v>0</v>
      </c>
      <c r="BU181" s="19">
        <f>IF(AND(EXACT(AN181,"1"),EXACT(AL180,"1")),(1),(0))</f>
        <v>0</v>
      </c>
      <c r="BV181" s="19">
        <f>IF((BU181=1),BT181,0)</f>
        <v>0</v>
      </c>
      <c r="BZ181" s="19">
        <f>IF((AM180=1),R180,0)</f>
        <v>0</v>
      </c>
      <c r="CA181" s="19">
        <f>IF(AND(EXACT(AM180,"1"),EXACT(AN181,"1")),(1),(0))</f>
        <v>0</v>
      </c>
      <c r="CB181" s="19">
        <f>IF((CA181=1),BZ181,0)</f>
        <v>0</v>
      </c>
    </row>
    <row r="182" spans="1:83" ht="20.25">
      <c r="A182" s="1420" t="s">
        <v>30</v>
      </c>
      <c r="B182" s="1421"/>
      <c r="C182" s="1421"/>
      <c r="D182" s="1422"/>
      <c r="E182" s="536" t="s">
        <v>1001</v>
      </c>
      <c r="F182" s="537"/>
      <c r="G182" s="538" t="s">
        <v>801</v>
      </c>
      <c r="H182" s="539"/>
      <c r="I182" s="538" t="s">
        <v>1002</v>
      </c>
      <c r="J182" s="525"/>
      <c r="K182" s="538" t="s">
        <v>1003</v>
      </c>
      <c r="L182" s="540"/>
      <c r="M182" s="538" t="s">
        <v>1004</v>
      </c>
      <c r="N182" s="541"/>
      <c r="O182" s="1266"/>
      <c r="P182" s="1423"/>
      <c r="Q182" s="1423"/>
      <c r="R182" s="1423"/>
      <c r="S182" s="1423"/>
      <c r="T182" s="1423"/>
      <c r="U182" s="1415"/>
      <c r="AR182" s="19">
        <f>IF(AND(AA180=1,EXACT(J182,"نفر اول")),(1),(0))</f>
        <v>0</v>
      </c>
      <c r="AS182" s="19">
        <f>IF(AR182=1,S180,0)</f>
        <v>0</v>
      </c>
      <c r="AT182" s="19">
        <f>IF(AND(AA180=1,EXACT(J182,"همكار")),(1),(0))</f>
        <v>0</v>
      </c>
      <c r="AU182" s="19">
        <f>IF(AT182=1,S180,0)</f>
        <v>0</v>
      </c>
      <c r="AY182" s="19">
        <f>IF((AH180=1),S180,0)</f>
        <v>0</v>
      </c>
      <c r="AZ182" s="19">
        <f>IF(AND(EXACT(AR182,"1"),EXACT(AH180,"1")),(1),(0))</f>
        <v>0</v>
      </c>
      <c r="BA182" s="19">
        <f>IF((AZ182=1),AY182,0)</f>
        <v>0</v>
      </c>
      <c r="BE182" s="19">
        <f>IF((AI180=1),S180,0)</f>
        <v>0</v>
      </c>
      <c r="BF182" s="19">
        <f>IF(AND(EXACT(AI180,"1"),EXACT(AR182,"1")),(1),(0))</f>
        <v>0</v>
      </c>
      <c r="BG182" s="19">
        <f>IF((BF182=1),BE182,0)</f>
        <v>0</v>
      </c>
      <c r="BK182" s="19">
        <f>IF((AJ180=1),S180,0)</f>
        <v>0</v>
      </c>
      <c r="BL182" s="19">
        <f>IF(AND(EXACT(AJ180,"1"),EXACT(AR182,"1")),(1),(0))</f>
        <v>0</v>
      </c>
      <c r="BM182" s="19">
        <f>IF((BL182=1),BK182,0)</f>
        <v>0</v>
      </c>
      <c r="BQ182" s="19">
        <f>IF((AJ180=1),S180,0)</f>
        <v>0</v>
      </c>
      <c r="BR182" s="19">
        <f>IF(AND(EXACT(AJ180,"1"),EXACT(AR182,"1")),(1),(0))</f>
        <v>0</v>
      </c>
      <c r="BS182" s="19">
        <f>IF((BL182=1),BK182,0)</f>
        <v>0</v>
      </c>
      <c r="BW182" s="19">
        <f>IF((AL180=1),S180,0)</f>
        <v>0</v>
      </c>
      <c r="BX182" s="19">
        <f>IF(AND(EXACT(AL180,"1"),EXACT(AR182,"1")),(1),(0))</f>
        <v>0</v>
      </c>
      <c r="BY182" s="19">
        <f>IF((BX182=1),BW182,0)</f>
        <v>0</v>
      </c>
      <c r="CC182" s="19">
        <f>IF((AM180=1),R180,0)</f>
        <v>0</v>
      </c>
      <c r="CD182" s="19">
        <f>IF(AND(EXACT(AM180,"1"),EXACT(AR182,"1")),(1),(0))</f>
        <v>0</v>
      </c>
      <c r="CE182" s="19">
        <f>IF((CD182=1),CC182,0)</f>
        <v>0</v>
      </c>
    </row>
    <row r="183" spans="1:83" ht="20.25">
      <c r="A183" s="12">
        <f>IF(AA183=0,0,IF(AA180=0,Z183,SUM(A180,AA183)))</f>
        <v>0</v>
      </c>
      <c r="B183" s="1157"/>
      <c r="C183" s="1157"/>
      <c r="D183" s="1157"/>
      <c r="E183" s="1182"/>
      <c r="F183" s="1424"/>
      <c r="G183" s="1424"/>
      <c r="H183" s="527"/>
      <c r="I183" s="528"/>
      <c r="J183" s="529"/>
      <c r="K183" s="530"/>
      <c r="L183" s="531"/>
      <c r="M183" s="532"/>
      <c r="N183" s="533"/>
      <c r="O183" s="532"/>
      <c r="P183" s="1182"/>
      <c r="Q183" s="1182"/>
      <c r="R183" s="534">
        <f t="shared" ref="R183" ca="1" si="224">IF(OR(EXACT(H183,""),EXACT(B183,""),EXACT(F184,""),EXACT(H184,""),EXACT(J184,""),EXACT(L184,""),EXACT(N184,""),EXACT(F183,""),EXACT(J183,""),EXACT(M183,""),EXACT(N183,""),EXACT(O183,""),EXACT(P183,"")),0,IF(OR(EXACT(P184,"مقاله پر استناد"),EXACT(P184,"مقاله داغ"),EXACT(P184,"مستخرج از برنامه تحقيقاتي ملي معطوف به رفع مشكلات كشور")),(1.5*(F184*N184*(IF(EXACT(J184,"نفر اول"),INDIRECT(CONCATENATE("'Data Base'!$d",H184)),INDIRECT(CONCATENATE("'Data Base'!$e",H184))))*((100-L184)/100))),IF(EXACT(P184,"Short Article"),(0.5*(F184*N184*(IF(EXACT(J184,"نفر اول"),INDIRECT(CONCATENATE("'Data Base'!$D",H184)),INDIRECT(CONCATENATE("'Data Base'!$E",H184))))*((100-L184)/100))),IF(EXACT(P184,"چاپ شده در نشريات بسيار پر استناد Nature و Science"),(2*(F184*N184*(IF(EXACT(J184,"نفر اول"),INDIRECT(CONCATENATE("'Data Base'!$D",H184)),INDIRECT(CONCATENATE("'Data Base'!$E",H184))))*((100-L184)/100))),IF(OR(EXACT(P184,"مستخرج از طرح پژوهشي محرمانه"),EXACT(P184,"مشترك با اساتيد دانشگاه خارج از كشور")),(1.2*(F184*N184*(IF(EXACT(J184,"نفر اول"),INDIRECT(CONCATENATE("'Data Base'!$D",H184)),INDIRECT(CONCATENATE("'Data Base'!$E",H184))))*((100-L184)/100))),(F184*N184*(IF(EXACT(J184,"نفر اول"),INDIRECT(CONCATENATE("'Data Base'!$d",H184)),INDIRECT(CONCATENATE("'Data Base'!$e",H184))))*((100-L184)/100)))))))</f>
        <v>0</v>
      </c>
      <c r="S183" s="535">
        <f t="shared" ref="S183" ca="1" si="225">IF(OR(EXACT(H183,""),EXACT(B183,""),EXACT(F185,""),EXACT(H185,""),EXACT(J185,""),EXACT(L185,""),EXACT(N185,""),EXACT(F183,""),EXACT(J183,""),EXACT(M183,""),EXACT(N183,""),EXACT(O183,""),EXACT(P183,"")),0,IF(OR(EXACT(P185,"مقاله پر استناد"),EXACT(P185,"مقاله داغ"),EXACT(P185,"مستخرج از برنامه تحقيقاتي ملي معطوف به رفع مشكلات كشور")),(1.5*(F185*N185*(IF(EXACT(J185,"نفر اول"),INDIRECT(CONCATENATE("'Data Base'!$d",H185)),INDIRECT(CONCATENATE("'Data Base'!$E",H185))))*((100-L185)/100))),IF(EXACT(P185,"Short Article"),(0.5*(F185*N185*(IF(EXACT(J185,"نفر اول"),INDIRECT(CONCATENATE("'Data Base'!$D",H185)),INDIRECT(CONCATENATE("'Data Base'!$E",H185))))*((100-L185)/100))),IF(EXACT(P185,"چاپ شده در نشريات بسيار پر استناد Nature و Science"),(2*(F185*N185*(IF(EXACT(J185,"نفر اول"),INDIRECT(CONCATENATE("'Data Base'!$D",H185)),INDIRECT(CONCATENATE("'Data Base'!$E",H185))))*((100-L185)/100))),IF(OR(EXACT(P185,"مستخرج از طرح پژوهشي محرمانه"),EXACT(P185,"مشترك با اساتيد دانشگاه خارج از كشور")),(1.2*(F185*N185*(IF(EXACT(J185,"نفر اول"),INDIRECT(CONCATENATE("'Data Base'!$D",H185)),INDIRECT(CONCATENATE("'Data Base'!$E",H185))))*((100-L185)/100))),(F185*N185*(IF(EXACT(J185,"نفر اول"),INDIRECT(CONCATENATE("'Data Base'!$D",H185)),INDIRECT(CONCATENATE("'Data Base'!$E",H185))))*((100-L185)/100)))))))</f>
        <v>0</v>
      </c>
      <c r="T183" s="147"/>
      <c r="U183" s="1414"/>
      <c r="Z183" s="19">
        <f>SUM(Z180,AA183)</f>
        <v>0</v>
      </c>
      <c r="AA183" s="19">
        <f>IF(OR(OR(B183="",F183="",H183="",J183="",P183=""),AND(M183="",O183="")),0,1)</f>
        <v>0</v>
      </c>
      <c r="AB183" s="19">
        <f t="shared" ref="AB183" ca="1" si="226">IF(AND(AA183=1,S183&gt;0),1,0)</f>
        <v>0</v>
      </c>
      <c r="AC183" s="19">
        <f t="shared" ref="AC183" ca="1" si="227">IF(AND(AA183=1,S183&lt;1),1,0)</f>
        <v>0</v>
      </c>
      <c r="AD183" s="19">
        <f ca="1">IF(AND(AA183=1,S183&gt;=1,AJ183=1),1,0)</f>
        <v>0</v>
      </c>
      <c r="AE183" s="19">
        <f ca="1">IF(AD183=1,S183,0)</f>
        <v>0</v>
      </c>
      <c r="AF183" s="19">
        <f ca="1">IF(AND(AA183=1,S183&gt;=1,AJ183=1,AR185=1),1,0)</f>
        <v>0</v>
      </c>
      <c r="AG183" s="19">
        <f ca="1">IF(AF183=1,S183,0)</f>
        <v>0</v>
      </c>
      <c r="AH183" s="19">
        <f>IF(OR(EXACT(H183,"JCR-Q1"),EXACT(H183,"JCR-Q2")),(1),(0))</f>
        <v>0</v>
      </c>
      <c r="AI183" s="19">
        <f>IF(OR(EXACT(H183,"JCR-Q1"),EXACT(H183,"JCR-Q2"),EXACT(H183,"JCR-Q3")),(1),(0))</f>
        <v>0</v>
      </c>
      <c r="AJ183" s="19">
        <f>IF(OR(EXACT(H183,"JCR-Q1"),EXACT(H183,"JCR-Q2"),EXACT(H183,"JCR-Q3"),EXACT(H183,"JCR-Q4")),(1),(0))</f>
        <v>0</v>
      </c>
      <c r="AK183" s="19">
        <f>IF(OR(EXACT(H183,"JCR-Q1"),EXACT(H183,"JCR-Q2"),EXACT(H183,"JCR-Q3"),EXACT(H183,"JCR-Q4"),EXACT(H183,"WOS")),(1),(0))</f>
        <v>0</v>
      </c>
      <c r="AL183" s="19">
        <f>IF(OR(EXACT(H183,"JCR-Q1"),EXACT(H183,"JCR-Q2"),EXACT(H183,"JCR-Q3"),EXACT(H183,"JCR-Q4"),EXACT(H183,"WOS"),EXACT(H183,"Scopus")),(1),(0))</f>
        <v>0</v>
      </c>
      <c r="AM183" s="19">
        <f>IF(OR(EXACT(H183,'Data Base'!$B$21),EXACT(H183,'Data Base'!$B$22)),(1),(0))</f>
        <v>0</v>
      </c>
    </row>
    <row r="184" spans="1:83" ht="20.25" customHeight="1">
      <c r="A184" s="1416" t="s">
        <v>29</v>
      </c>
      <c r="B184" s="1417"/>
      <c r="C184" s="1417"/>
      <c r="D184" s="1418"/>
      <c r="E184" s="514" t="s">
        <v>1001</v>
      </c>
      <c r="F184" s="515"/>
      <c r="G184" s="516" t="s">
        <v>801</v>
      </c>
      <c r="H184" s="517"/>
      <c r="I184" s="516" t="s">
        <v>1002</v>
      </c>
      <c r="J184" s="518"/>
      <c r="K184" s="516" t="s">
        <v>1003</v>
      </c>
      <c r="L184" s="519"/>
      <c r="M184" s="516" t="s">
        <v>1004</v>
      </c>
      <c r="N184" s="520"/>
      <c r="O184" s="1266" t="s">
        <v>55</v>
      </c>
      <c r="P184" s="1419"/>
      <c r="Q184" s="1419"/>
      <c r="R184" s="1419"/>
      <c r="S184" s="1419"/>
      <c r="T184" s="1419"/>
      <c r="U184" s="1415"/>
      <c r="AN184" s="19">
        <f>IF(AND(AA183=1,EXACT(J184,"نفر اول")),(1),(0))</f>
        <v>0</v>
      </c>
      <c r="AO184" s="19">
        <f>IF(AN184=1,R183,0)</f>
        <v>0</v>
      </c>
      <c r="AP184" s="19">
        <f>IF(AND(AA183=1,EXACT(J184,"همكار")),(1),(0))</f>
        <v>0</v>
      </c>
      <c r="AQ184" s="19">
        <f>IF(AP184=1,R183,0)</f>
        <v>0</v>
      </c>
      <c r="AV184" s="19">
        <f>IF((AH183=1),R183,0)</f>
        <v>0</v>
      </c>
      <c r="AW184" s="19">
        <f>IF(AND(EXACT(AN184,"1"),EXACT(AH183,"1")),(1),(0))</f>
        <v>0</v>
      </c>
      <c r="AX184" s="19">
        <f>IF((AW184=1),AV184,0)</f>
        <v>0</v>
      </c>
      <c r="BB184" s="19">
        <f>IF((AI183=1),R183,0)</f>
        <v>0</v>
      </c>
      <c r="BC184" s="19">
        <f>IF(AND(EXACT(AI183,"1"),EXACT(AN184,"1")),(1),(0))</f>
        <v>0</v>
      </c>
      <c r="BD184" s="19">
        <f>IF((BC184=1),BB184,0)</f>
        <v>0</v>
      </c>
      <c r="BH184" s="19">
        <f>IF((AJ183=1),R183,0)</f>
        <v>0</v>
      </c>
      <c r="BI184" s="19">
        <f>IF(AND(EXACT(AJ183,"1"),EXACT(AN184,"1")),(1),(0))</f>
        <v>0</v>
      </c>
      <c r="BJ184" s="19">
        <f>IF((BI184=1),BH184,0)</f>
        <v>0</v>
      </c>
      <c r="BN184" s="19">
        <f>IF((AK183=1),R183,0)</f>
        <v>0</v>
      </c>
      <c r="BO184" s="19">
        <f>IF(AND(EXACT(AK183,"1"),EXACT(AN184,"1")),(1),(0))</f>
        <v>0</v>
      </c>
      <c r="BP184" s="19">
        <f>IF((BO184=1),BN184,0)</f>
        <v>0</v>
      </c>
      <c r="BT184" s="19">
        <f>IF((AL183=1),R183,0)</f>
        <v>0</v>
      </c>
      <c r="BU184" s="19">
        <f>IF(AND(EXACT(AN184,"1"),EXACT(AL183,"1")),(1),(0))</f>
        <v>0</v>
      </c>
      <c r="BV184" s="19">
        <f>IF((BU184=1),BT184,0)</f>
        <v>0</v>
      </c>
      <c r="BZ184" s="19">
        <f>IF((AM183=1),R183,0)</f>
        <v>0</v>
      </c>
      <c r="CA184" s="19">
        <f>IF(AND(EXACT(AM183,"1"),EXACT(AN184,"1")),(1),(0))</f>
        <v>0</v>
      </c>
      <c r="CB184" s="19">
        <f>IF((CA184=1),BZ184,0)</f>
        <v>0</v>
      </c>
    </row>
    <row r="185" spans="1:83" ht="20.25">
      <c r="A185" s="1420" t="s">
        <v>30</v>
      </c>
      <c r="B185" s="1421"/>
      <c r="C185" s="1421"/>
      <c r="D185" s="1422"/>
      <c r="E185" s="536" t="s">
        <v>1001</v>
      </c>
      <c r="F185" s="537"/>
      <c r="G185" s="538" t="s">
        <v>801</v>
      </c>
      <c r="H185" s="539"/>
      <c r="I185" s="538" t="s">
        <v>1002</v>
      </c>
      <c r="J185" s="525"/>
      <c r="K185" s="538" t="s">
        <v>1003</v>
      </c>
      <c r="L185" s="540"/>
      <c r="M185" s="538" t="s">
        <v>1004</v>
      </c>
      <c r="N185" s="541"/>
      <c r="O185" s="1266"/>
      <c r="P185" s="1423"/>
      <c r="Q185" s="1423"/>
      <c r="R185" s="1423"/>
      <c r="S185" s="1423"/>
      <c r="T185" s="1423"/>
      <c r="U185" s="1415"/>
      <c r="AR185" s="19">
        <f>IF(AND(AA183=1,EXACT(J185,"نفر اول")),(1),(0))</f>
        <v>0</v>
      </c>
      <c r="AS185" s="19">
        <f>IF(AR185=1,S183,0)</f>
        <v>0</v>
      </c>
      <c r="AT185" s="19">
        <f>IF(AND(AA183=1,EXACT(J185,"همكار")),(1),(0))</f>
        <v>0</v>
      </c>
      <c r="AU185" s="19">
        <f>IF(AT185=1,S183,0)</f>
        <v>0</v>
      </c>
      <c r="AY185" s="19">
        <f>IF((AH183=1),S183,0)</f>
        <v>0</v>
      </c>
      <c r="AZ185" s="19">
        <f>IF(AND(EXACT(AR185,"1"),EXACT(AH183,"1")),(1),(0))</f>
        <v>0</v>
      </c>
      <c r="BA185" s="19">
        <f>IF((AZ185=1),AY185,0)</f>
        <v>0</v>
      </c>
      <c r="BE185" s="19">
        <f>IF((AI183=1),S183,0)</f>
        <v>0</v>
      </c>
      <c r="BF185" s="19">
        <f>IF(AND(EXACT(AI183,"1"),EXACT(AR185,"1")),(1),(0))</f>
        <v>0</v>
      </c>
      <c r="BG185" s="19">
        <f>IF((BF185=1),BE185,0)</f>
        <v>0</v>
      </c>
      <c r="BK185" s="19">
        <f>IF((AJ183=1),S183,0)</f>
        <v>0</v>
      </c>
      <c r="BL185" s="19">
        <f>IF(AND(EXACT(AJ183,"1"),EXACT(AR185,"1")),(1),(0))</f>
        <v>0</v>
      </c>
      <c r="BM185" s="19">
        <f>IF((BL185=1),BK185,0)</f>
        <v>0</v>
      </c>
      <c r="BQ185" s="19">
        <f>IF((AJ183=1),S183,0)</f>
        <v>0</v>
      </c>
      <c r="BR185" s="19">
        <f>IF(AND(EXACT(AJ183,"1"),EXACT(AR185,"1")),(1),(0))</f>
        <v>0</v>
      </c>
      <c r="BS185" s="19">
        <f>IF((BL185=1),BK185,0)</f>
        <v>0</v>
      </c>
      <c r="BW185" s="19">
        <f>IF((AL183=1),S183,0)</f>
        <v>0</v>
      </c>
      <c r="BX185" s="19">
        <f>IF(AND(EXACT(AL183,"1"),EXACT(AR185,"1")),(1),(0))</f>
        <v>0</v>
      </c>
      <c r="BY185" s="19">
        <f>IF((BX185=1),BW185,0)</f>
        <v>0</v>
      </c>
      <c r="CC185" s="19">
        <f>IF((AM183=1),R183,0)</f>
        <v>0</v>
      </c>
      <c r="CD185" s="19">
        <f>IF(AND(EXACT(AM183,"1"),EXACT(AR185,"1")),(1),(0))</f>
        <v>0</v>
      </c>
      <c r="CE185" s="19">
        <f>IF((CD185=1),CC185,0)</f>
        <v>0</v>
      </c>
    </row>
    <row r="186" spans="1:83" ht="20.25">
      <c r="A186" s="12">
        <f>IF(AA186=0,0,IF(AA183=0,Z186,SUM(A183,AA186)))</f>
        <v>0</v>
      </c>
      <c r="B186" s="1157"/>
      <c r="C186" s="1157"/>
      <c r="D186" s="1157"/>
      <c r="E186" s="1182"/>
      <c r="F186" s="1424"/>
      <c r="G186" s="1424"/>
      <c r="H186" s="527"/>
      <c r="I186" s="528"/>
      <c r="J186" s="529"/>
      <c r="K186" s="530"/>
      <c r="L186" s="531"/>
      <c r="M186" s="532"/>
      <c r="N186" s="533"/>
      <c r="O186" s="532"/>
      <c r="P186" s="1182"/>
      <c r="Q186" s="1182"/>
      <c r="R186" s="534">
        <f t="shared" ref="R186" ca="1" si="228">IF(OR(EXACT(H186,""),EXACT(B186,""),EXACT(F187,""),EXACT(H187,""),EXACT(J187,""),EXACT(L187,""),EXACT(N187,""),EXACT(F186,""),EXACT(J186,""),EXACT(M186,""),EXACT(N186,""),EXACT(O186,""),EXACT(P186,"")),0,IF(OR(EXACT(P187,"مقاله پر استناد"),EXACT(P187,"مقاله داغ"),EXACT(P187,"مستخرج از برنامه تحقيقاتي ملي معطوف به رفع مشكلات كشور")),(1.5*(F187*N187*(IF(EXACT(J187,"نفر اول"),INDIRECT(CONCATENATE("'Data Base'!$d",H187)),INDIRECT(CONCATENATE("'Data Base'!$e",H187))))*((100-L187)/100))),IF(EXACT(P187,"Short Article"),(0.5*(F187*N187*(IF(EXACT(J187,"نفر اول"),INDIRECT(CONCATENATE("'Data Base'!$D",H187)),INDIRECT(CONCATENATE("'Data Base'!$E",H187))))*((100-L187)/100))),IF(EXACT(P187,"چاپ شده در نشريات بسيار پر استناد Nature و Science"),(2*(F187*N187*(IF(EXACT(J187,"نفر اول"),INDIRECT(CONCATENATE("'Data Base'!$D",H187)),INDIRECT(CONCATENATE("'Data Base'!$E",H187))))*((100-L187)/100))),IF(OR(EXACT(P187,"مستخرج از طرح پژوهشي محرمانه"),EXACT(P187,"مشترك با اساتيد دانشگاه خارج از كشور")),(1.2*(F187*N187*(IF(EXACT(J187,"نفر اول"),INDIRECT(CONCATENATE("'Data Base'!$D",H187)),INDIRECT(CONCATENATE("'Data Base'!$E",H187))))*((100-L187)/100))),(F187*N187*(IF(EXACT(J187,"نفر اول"),INDIRECT(CONCATENATE("'Data Base'!$d",H187)),INDIRECT(CONCATENATE("'Data Base'!$e",H187))))*((100-L187)/100)))))))</f>
        <v>0</v>
      </c>
      <c r="S186" s="535">
        <f t="shared" ref="S186" ca="1" si="229">IF(OR(EXACT(H186,""),EXACT(B186,""),EXACT(F188,""),EXACT(H188,""),EXACT(J188,""),EXACT(L188,""),EXACT(N188,""),EXACT(F186,""),EXACT(J186,""),EXACT(M186,""),EXACT(N186,""),EXACT(O186,""),EXACT(P186,"")),0,IF(OR(EXACT(P188,"مقاله پر استناد"),EXACT(P188,"مقاله داغ"),EXACT(P188,"مستخرج از برنامه تحقيقاتي ملي معطوف به رفع مشكلات كشور")),(1.5*(F188*N188*(IF(EXACT(J188,"نفر اول"),INDIRECT(CONCATENATE("'Data Base'!$d",H188)),INDIRECT(CONCATENATE("'Data Base'!$E",H188))))*((100-L188)/100))),IF(EXACT(P188,"Short Article"),(0.5*(F188*N188*(IF(EXACT(J188,"نفر اول"),INDIRECT(CONCATENATE("'Data Base'!$D",H188)),INDIRECT(CONCATENATE("'Data Base'!$E",H188))))*((100-L188)/100))),IF(EXACT(P188,"چاپ شده در نشريات بسيار پر استناد Nature و Science"),(2*(F188*N188*(IF(EXACT(J188,"نفر اول"),INDIRECT(CONCATENATE("'Data Base'!$D",H188)),INDIRECT(CONCATENATE("'Data Base'!$E",H188))))*((100-L188)/100))),IF(OR(EXACT(P188,"مستخرج از طرح پژوهشي محرمانه"),EXACT(P188,"مشترك با اساتيد دانشگاه خارج از كشور")),(1.2*(F188*N188*(IF(EXACT(J188,"نفر اول"),INDIRECT(CONCATENATE("'Data Base'!$D",H188)),INDIRECT(CONCATENATE("'Data Base'!$E",H188))))*((100-L188)/100))),(F188*N188*(IF(EXACT(J188,"نفر اول"),INDIRECT(CONCATENATE("'Data Base'!$D",H188)),INDIRECT(CONCATENATE("'Data Base'!$E",H188))))*((100-L188)/100)))))))</f>
        <v>0</v>
      </c>
      <c r="T186" s="147"/>
      <c r="U186" s="1414"/>
      <c r="Z186" s="19">
        <f>SUM(Z183,AA186)</f>
        <v>0</v>
      </c>
      <c r="AA186" s="19">
        <f>IF(OR(OR(B186="",F186="",H186="",J186="",P186=""),AND(M186="",O186="")),0,1)</f>
        <v>0</v>
      </c>
      <c r="AB186" s="19">
        <f t="shared" ref="AB186" ca="1" si="230">IF(AND(AA186=1,S186&gt;0),1,0)</f>
        <v>0</v>
      </c>
      <c r="AC186" s="19">
        <f t="shared" ref="AC186" ca="1" si="231">IF(AND(AA186=1,S186&lt;1),1,0)</f>
        <v>0</v>
      </c>
      <c r="AD186" s="19">
        <f ca="1">IF(AND(AA186=1,S186&gt;=1,AJ186=1),1,0)</f>
        <v>0</v>
      </c>
      <c r="AE186" s="19">
        <f ca="1">IF(AD186=1,S186,0)</f>
        <v>0</v>
      </c>
      <c r="AF186" s="19">
        <f ca="1">IF(AND(AA186=1,S186&gt;=1,AJ186=1,AR188=1),1,0)</f>
        <v>0</v>
      </c>
      <c r="AG186" s="19">
        <f ca="1">IF(AF186=1,S186,0)</f>
        <v>0</v>
      </c>
      <c r="AH186" s="19">
        <f>IF(OR(EXACT(H186,"JCR-Q1"),EXACT(H186,"JCR-Q2")),(1),(0))</f>
        <v>0</v>
      </c>
      <c r="AI186" s="19">
        <f>IF(OR(EXACT(H186,"JCR-Q1"),EXACT(H186,"JCR-Q2"),EXACT(H186,"JCR-Q3")),(1),(0))</f>
        <v>0</v>
      </c>
      <c r="AJ186" s="19">
        <f>IF(OR(EXACT(H186,"JCR-Q1"),EXACT(H186,"JCR-Q2"),EXACT(H186,"JCR-Q3"),EXACT(H186,"JCR-Q4")),(1),(0))</f>
        <v>0</v>
      </c>
      <c r="AK186" s="19">
        <f>IF(OR(EXACT(H186,"JCR-Q1"),EXACT(H186,"JCR-Q2"),EXACT(H186,"JCR-Q3"),EXACT(H186,"JCR-Q4"),EXACT(H186,"WOS")),(1),(0))</f>
        <v>0</v>
      </c>
      <c r="AL186" s="19">
        <f>IF(OR(EXACT(H186,"JCR-Q1"),EXACT(H186,"JCR-Q2"),EXACT(H186,"JCR-Q3"),EXACT(H186,"JCR-Q4"),EXACT(H186,"WOS"),EXACT(H186,"Scopus")),(1),(0))</f>
        <v>0</v>
      </c>
      <c r="AM186" s="19">
        <f>IF(OR(EXACT(H186,'Data Base'!$B$21),EXACT(H186,'Data Base'!$B$22)),(1),(0))</f>
        <v>0</v>
      </c>
    </row>
    <row r="187" spans="1:83" ht="20.25" customHeight="1">
      <c r="A187" s="1416" t="s">
        <v>29</v>
      </c>
      <c r="B187" s="1417"/>
      <c r="C187" s="1417"/>
      <c r="D187" s="1418"/>
      <c r="E187" s="514" t="s">
        <v>1001</v>
      </c>
      <c r="F187" s="515"/>
      <c r="G187" s="516" t="s">
        <v>801</v>
      </c>
      <c r="H187" s="517"/>
      <c r="I187" s="516" t="s">
        <v>1002</v>
      </c>
      <c r="J187" s="518"/>
      <c r="K187" s="516" t="s">
        <v>1003</v>
      </c>
      <c r="L187" s="519"/>
      <c r="M187" s="516" t="s">
        <v>1004</v>
      </c>
      <c r="N187" s="520"/>
      <c r="O187" s="1266" t="s">
        <v>55</v>
      </c>
      <c r="P187" s="1419"/>
      <c r="Q187" s="1419"/>
      <c r="R187" s="1419"/>
      <c r="S187" s="1419"/>
      <c r="T187" s="1419"/>
      <c r="U187" s="1415"/>
      <c r="AN187" s="19">
        <f>IF(AND(AA186=1,EXACT(J187,"نفر اول")),(1),(0))</f>
        <v>0</v>
      </c>
      <c r="AO187" s="19">
        <f>IF(AN187=1,R186,0)</f>
        <v>0</v>
      </c>
      <c r="AP187" s="19">
        <f>IF(AND(AA186=1,EXACT(J187,"همكار")),(1),(0))</f>
        <v>0</v>
      </c>
      <c r="AQ187" s="19">
        <f>IF(AP187=1,R186,0)</f>
        <v>0</v>
      </c>
      <c r="AV187" s="19">
        <f>IF((AH186=1),R186,0)</f>
        <v>0</v>
      </c>
      <c r="AW187" s="19">
        <f>IF(AND(EXACT(AN187,"1"),EXACT(AH186,"1")),(1),(0))</f>
        <v>0</v>
      </c>
      <c r="AX187" s="19">
        <f>IF((AW187=1),AV187,0)</f>
        <v>0</v>
      </c>
      <c r="BB187" s="19">
        <f>IF((AI186=1),R186,0)</f>
        <v>0</v>
      </c>
      <c r="BC187" s="19">
        <f>IF(AND(EXACT(AI186,"1"),EXACT(AN187,"1")),(1),(0))</f>
        <v>0</v>
      </c>
      <c r="BD187" s="19">
        <f>IF((BC187=1),BB187,0)</f>
        <v>0</v>
      </c>
      <c r="BH187" s="19">
        <f>IF((AJ186=1),R186,0)</f>
        <v>0</v>
      </c>
      <c r="BI187" s="19">
        <f>IF(AND(EXACT(AJ186,"1"),EXACT(AN187,"1")),(1),(0))</f>
        <v>0</v>
      </c>
      <c r="BJ187" s="19">
        <f>IF((BI187=1),BH187,0)</f>
        <v>0</v>
      </c>
      <c r="BN187" s="19">
        <f>IF((AK186=1),R186,0)</f>
        <v>0</v>
      </c>
      <c r="BO187" s="19">
        <f>IF(AND(EXACT(AK186,"1"),EXACT(AN187,"1")),(1),(0))</f>
        <v>0</v>
      </c>
      <c r="BP187" s="19">
        <f>IF((BO187=1),BN187,0)</f>
        <v>0</v>
      </c>
      <c r="BT187" s="19">
        <f>IF((AL186=1),R186,0)</f>
        <v>0</v>
      </c>
      <c r="BU187" s="19">
        <f>IF(AND(EXACT(AN187,"1"),EXACT(AL186,"1")),(1),(0))</f>
        <v>0</v>
      </c>
      <c r="BV187" s="19">
        <f>IF((BU187=1),BT187,0)</f>
        <v>0</v>
      </c>
      <c r="BZ187" s="19">
        <f>IF((AM186=1),R186,0)</f>
        <v>0</v>
      </c>
      <c r="CA187" s="19">
        <f>IF(AND(EXACT(AM186,"1"),EXACT(AN187,"1")),(1),(0))</f>
        <v>0</v>
      </c>
      <c r="CB187" s="19">
        <f>IF((CA187=1),BZ187,0)</f>
        <v>0</v>
      </c>
    </row>
    <row r="188" spans="1:83" ht="20.25">
      <c r="A188" s="1420" t="s">
        <v>30</v>
      </c>
      <c r="B188" s="1421"/>
      <c r="C188" s="1421"/>
      <c r="D188" s="1422"/>
      <c r="E188" s="536" t="s">
        <v>1001</v>
      </c>
      <c r="F188" s="537"/>
      <c r="G188" s="538" t="s">
        <v>801</v>
      </c>
      <c r="H188" s="539"/>
      <c r="I188" s="538" t="s">
        <v>1002</v>
      </c>
      <c r="J188" s="525"/>
      <c r="K188" s="538" t="s">
        <v>1003</v>
      </c>
      <c r="L188" s="540"/>
      <c r="M188" s="538" t="s">
        <v>1004</v>
      </c>
      <c r="N188" s="541"/>
      <c r="O188" s="1266"/>
      <c r="P188" s="1423"/>
      <c r="Q188" s="1423"/>
      <c r="R188" s="1423"/>
      <c r="S188" s="1423"/>
      <c r="T188" s="1423"/>
      <c r="U188" s="1415"/>
      <c r="AR188" s="19">
        <f>IF(AND(AA186=1,EXACT(J188,"نفر اول")),(1),(0))</f>
        <v>0</v>
      </c>
      <c r="AS188" s="19">
        <f>IF(AR188=1,S186,0)</f>
        <v>0</v>
      </c>
      <c r="AT188" s="19">
        <f>IF(AND(AA186=1,EXACT(J188,"همكار")),(1),(0))</f>
        <v>0</v>
      </c>
      <c r="AU188" s="19">
        <f>IF(AT188=1,S186,0)</f>
        <v>0</v>
      </c>
      <c r="AY188" s="19">
        <f>IF((AH186=1),S186,0)</f>
        <v>0</v>
      </c>
      <c r="AZ188" s="19">
        <f>IF(AND(EXACT(AR188,"1"),EXACT(AH186,"1")),(1),(0))</f>
        <v>0</v>
      </c>
      <c r="BA188" s="19">
        <f>IF((AZ188=1),AY188,0)</f>
        <v>0</v>
      </c>
      <c r="BE188" s="19">
        <f>IF((AI186=1),S186,0)</f>
        <v>0</v>
      </c>
      <c r="BF188" s="19">
        <f>IF(AND(EXACT(AI186,"1"),EXACT(AR188,"1")),(1),(0))</f>
        <v>0</v>
      </c>
      <c r="BG188" s="19">
        <f>IF((BF188=1),BE188,0)</f>
        <v>0</v>
      </c>
      <c r="BK188" s="19">
        <f>IF((AJ186=1),S186,0)</f>
        <v>0</v>
      </c>
      <c r="BL188" s="19">
        <f>IF(AND(EXACT(AJ186,"1"),EXACT(AR188,"1")),(1),(0))</f>
        <v>0</v>
      </c>
      <c r="BM188" s="19">
        <f>IF((BL188=1),BK188,0)</f>
        <v>0</v>
      </c>
      <c r="BQ188" s="19">
        <f>IF((AJ186=1),S186,0)</f>
        <v>0</v>
      </c>
      <c r="BR188" s="19">
        <f>IF(AND(EXACT(AJ186,"1"),EXACT(AR188,"1")),(1),(0))</f>
        <v>0</v>
      </c>
      <c r="BS188" s="19">
        <f>IF((BL188=1),BK188,0)</f>
        <v>0</v>
      </c>
      <c r="BW188" s="19">
        <f>IF((AL186=1),S186,0)</f>
        <v>0</v>
      </c>
      <c r="BX188" s="19">
        <f>IF(AND(EXACT(AL186,"1"),EXACT(AR188,"1")),(1),(0))</f>
        <v>0</v>
      </c>
      <c r="BY188" s="19">
        <f>IF((BX188=1),BW188,0)</f>
        <v>0</v>
      </c>
      <c r="CC188" s="19">
        <f>IF((AM186=1),R186,0)</f>
        <v>0</v>
      </c>
      <c r="CD188" s="19">
        <f>IF(AND(EXACT(AM186,"1"),EXACT(AR188,"1")),(1),(0))</f>
        <v>0</v>
      </c>
      <c r="CE188" s="19">
        <f>IF((CD188=1),CC188,0)</f>
        <v>0</v>
      </c>
    </row>
    <row r="189" spans="1:83" ht="20.25">
      <c r="A189" s="12">
        <f>IF(AA189=0,0,IF(AA186=0,Z189,SUM(A186,AA189)))</f>
        <v>0</v>
      </c>
      <c r="B189" s="1157"/>
      <c r="C189" s="1157"/>
      <c r="D189" s="1157"/>
      <c r="E189" s="1182"/>
      <c r="F189" s="1424"/>
      <c r="G189" s="1424"/>
      <c r="H189" s="527"/>
      <c r="I189" s="528"/>
      <c r="J189" s="529"/>
      <c r="K189" s="530"/>
      <c r="L189" s="531"/>
      <c r="M189" s="532"/>
      <c r="N189" s="533"/>
      <c r="O189" s="532"/>
      <c r="P189" s="1182"/>
      <c r="Q189" s="1182"/>
      <c r="R189" s="534">
        <f t="shared" ref="R189" ca="1" si="232">IF(OR(EXACT(H189,""),EXACT(B189,""),EXACT(F190,""),EXACT(H190,""),EXACT(J190,""),EXACT(L190,""),EXACT(N190,""),EXACT(F189,""),EXACT(J189,""),EXACT(M189,""),EXACT(N189,""),EXACT(O189,""),EXACT(P189,"")),0,IF(OR(EXACT(P190,"مقاله پر استناد"),EXACT(P190,"مقاله داغ"),EXACT(P190,"مستخرج از برنامه تحقيقاتي ملي معطوف به رفع مشكلات كشور")),(1.5*(F190*N190*(IF(EXACT(J190,"نفر اول"),INDIRECT(CONCATENATE("'Data Base'!$d",H190)),INDIRECT(CONCATENATE("'Data Base'!$e",H190))))*((100-L190)/100))),IF(EXACT(P190,"Short Article"),(0.5*(F190*N190*(IF(EXACT(J190,"نفر اول"),INDIRECT(CONCATENATE("'Data Base'!$D",H190)),INDIRECT(CONCATENATE("'Data Base'!$E",H190))))*((100-L190)/100))),IF(EXACT(P190,"چاپ شده در نشريات بسيار پر استناد Nature و Science"),(2*(F190*N190*(IF(EXACT(J190,"نفر اول"),INDIRECT(CONCATENATE("'Data Base'!$D",H190)),INDIRECT(CONCATENATE("'Data Base'!$E",H190))))*((100-L190)/100))),IF(OR(EXACT(P190,"مستخرج از طرح پژوهشي محرمانه"),EXACT(P190,"مشترك با اساتيد دانشگاه خارج از كشور")),(1.2*(F190*N190*(IF(EXACT(J190,"نفر اول"),INDIRECT(CONCATENATE("'Data Base'!$D",H190)),INDIRECT(CONCATENATE("'Data Base'!$E",H190))))*((100-L190)/100))),(F190*N190*(IF(EXACT(J190,"نفر اول"),INDIRECT(CONCATENATE("'Data Base'!$d",H190)),INDIRECT(CONCATENATE("'Data Base'!$e",H190))))*((100-L190)/100)))))))</f>
        <v>0</v>
      </c>
      <c r="S189" s="535">
        <f t="shared" ref="S189" ca="1" si="233">IF(OR(EXACT(H189,""),EXACT(B189,""),EXACT(F191,""),EXACT(H191,""),EXACT(J191,""),EXACT(L191,""),EXACT(N191,""),EXACT(F189,""),EXACT(J189,""),EXACT(M189,""),EXACT(N189,""),EXACT(O189,""),EXACT(P189,"")),0,IF(OR(EXACT(P191,"مقاله پر استناد"),EXACT(P191,"مقاله داغ"),EXACT(P191,"مستخرج از برنامه تحقيقاتي ملي معطوف به رفع مشكلات كشور")),(1.5*(F191*N191*(IF(EXACT(J191,"نفر اول"),INDIRECT(CONCATENATE("'Data Base'!$d",H191)),INDIRECT(CONCATENATE("'Data Base'!$E",H191))))*((100-L191)/100))),IF(EXACT(P191,"Short Article"),(0.5*(F191*N191*(IF(EXACT(J191,"نفر اول"),INDIRECT(CONCATENATE("'Data Base'!$D",H191)),INDIRECT(CONCATENATE("'Data Base'!$E",H191))))*((100-L191)/100))),IF(EXACT(P191,"چاپ شده در نشريات بسيار پر استناد Nature و Science"),(2*(F191*N191*(IF(EXACT(J191,"نفر اول"),INDIRECT(CONCATENATE("'Data Base'!$D",H191)),INDIRECT(CONCATENATE("'Data Base'!$E",H191))))*((100-L191)/100))),IF(OR(EXACT(P191,"مستخرج از طرح پژوهشي محرمانه"),EXACT(P191,"مشترك با اساتيد دانشگاه خارج از كشور")),(1.2*(F191*N191*(IF(EXACT(J191,"نفر اول"),INDIRECT(CONCATENATE("'Data Base'!$D",H191)),INDIRECT(CONCATENATE("'Data Base'!$E",H191))))*((100-L191)/100))),(F191*N191*(IF(EXACT(J191,"نفر اول"),INDIRECT(CONCATENATE("'Data Base'!$D",H191)),INDIRECT(CONCATENATE("'Data Base'!$E",H191))))*((100-L191)/100)))))))</f>
        <v>0</v>
      </c>
      <c r="T189" s="147"/>
      <c r="U189" s="1414"/>
      <c r="Z189" s="19">
        <f>SUM(Z186,AA189)</f>
        <v>0</v>
      </c>
      <c r="AA189" s="19">
        <f>IF(OR(OR(B189="",F189="",H189="",J189="",P189=""),AND(M189="",O189="")),0,1)</f>
        <v>0</v>
      </c>
      <c r="AB189" s="19">
        <f t="shared" ref="AB189" ca="1" si="234">IF(AND(AA189=1,S189&gt;0),1,0)</f>
        <v>0</v>
      </c>
      <c r="AC189" s="19">
        <f t="shared" ref="AC189" ca="1" si="235">IF(AND(AA189=1,S189&lt;1),1,0)</f>
        <v>0</v>
      </c>
      <c r="AD189" s="19">
        <f ca="1">IF(AND(AA189=1,S189&gt;=1,AJ189=1),1,0)</f>
        <v>0</v>
      </c>
      <c r="AE189" s="19">
        <f ca="1">IF(AD189=1,S189,0)</f>
        <v>0</v>
      </c>
      <c r="AF189" s="19">
        <f ca="1">IF(AND(AA189=1,S189&gt;=1,AJ189=1,AR191=1),1,0)</f>
        <v>0</v>
      </c>
      <c r="AG189" s="19">
        <f ca="1">IF(AF189=1,S189,0)</f>
        <v>0</v>
      </c>
      <c r="AH189" s="19">
        <f>IF(OR(EXACT(H189,"JCR-Q1"),EXACT(H189,"JCR-Q2")),(1),(0))</f>
        <v>0</v>
      </c>
      <c r="AI189" s="19">
        <f>IF(OR(EXACT(H189,"JCR-Q1"),EXACT(H189,"JCR-Q2"),EXACT(H189,"JCR-Q3")),(1),(0))</f>
        <v>0</v>
      </c>
      <c r="AJ189" s="19">
        <f>IF(OR(EXACT(H189,"JCR-Q1"),EXACT(H189,"JCR-Q2"),EXACT(H189,"JCR-Q3"),EXACT(H189,"JCR-Q4")),(1),(0))</f>
        <v>0</v>
      </c>
      <c r="AK189" s="19">
        <f>IF(OR(EXACT(H189,"JCR-Q1"),EXACT(H189,"JCR-Q2"),EXACT(H189,"JCR-Q3"),EXACT(H189,"JCR-Q4"),EXACT(H189,"WOS")),(1),(0))</f>
        <v>0</v>
      </c>
      <c r="AL189" s="19">
        <f>IF(OR(EXACT(H189,"JCR-Q1"),EXACT(H189,"JCR-Q2"),EXACT(H189,"JCR-Q3"),EXACT(H189,"JCR-Q4"),EXACT(H189,"WOS"),EXACT(H189,"Scopus")),(1),(0))</f>
        <v>0</v>
      </c>
      <c r="AM189" s="19">
        <f>IF(OR(EXACT(H189,'Data Base'!$B$21),EXACT(H189,'Data Base'!$B$22)),(1),(0))</f>
        <v>0</v>
      </c>
    </row>
    <row r="190" spans="1:83" ht="20.25" customHeight="1">
      <c r="A190" s="1416" t="s">
        <v>29</v>
      </c>
      <c r="B190" s="1417"/>
      <c r="C190" s="1417"/>
      <c r="D190" s="1418"/>
      <c r="E190" s="514" t="s">
        <v>1001</v>
      </c>
      <c r="F190" s="515"/>
      <c r="G190" s="516" t="s">
        <v>801</v>
      </c>
      <c r="H190" s="517"/>
      <c r="I190" s="516" t="s">
        <v>1002</v>
      </c>
      <c r="J190" s="518"/>
      <c r="K190" s="516" t="s">
        <v>1003</v>
      </c>
      <c r="L190" s="519"/>
      <c r="M190" s="516" t="s">
        <v>1004</v>
      </c>
      <c r="N190" s="520"/>
      <c r="O190" s="1266" t="s">
        <v>55</v>
      </c>
      <c r="P190" s="1419"/>
      <c r="Q190" s="1419"/>
      <c r="R190" s="1419"/>
      <c r="S190" s="1419"/>
      <c r="T190" s="1419"/>
      <c r="U190" s="1415"/>
      <c r="AN190" s="19">
        <f>IF(AND(AA189=1,EXACT(J190,"نفر اول")),(1),(0))</f>
        <v>0</v>
      </c>
      <c r="AO190" s="19">
        <f>IF(AN190=1,R189,0)</f>
        <v>0</v>
      </c>
      <c r="AP190" s="19">
        <f>IF(AND(AA189=1,EXACT(J190,"همكار")),(1),(0))</f>
        <v>0</v>
      </c>
      <c r="AQ190" s="19">
        <f>IF(AP190=1,R189,0)</f>
        <v>0</v>
      </c>
      <c r="AV190" s="19">
        <f>IF((AH189=1),R189,0)</f>
        <v>0</v>
      </c>
      <c r="AW190" s="19">
        <f>IF(AND(EXACT(AN190,"1"),EXACT(AH189,"1")),(1),(0))</f>
        <v>0</v>
      </c>
      <c r="AX190" s="19">
        <f>IF((AW190=1),AV190,0)</f>
        <v>0</v>
      </c>
      <c r="BB190" s="19">
        <f>IF((AI189=1),R189,0)</f>
        <v>0</v>
      </c>
      <c r="BC190" s="19">
        <f>IF(AND(EXACT(AI189,"1"),EXACT(AN190,"1")),(1),(0))</f>
        <v>0</v>
      </c>
      <c r="BD190" s="19">
        <f>IF((BC190=1),BB190,0)</f>
        <v>0</v>
      </c>
      <c r="BH190" s="19">
        <f>IF((AJ189=1),R189,0)</f>
        <v>0</v>
      </c>
      <c r="BI190" s="19">
        <f>IF(AND(EXACT(AJ189,"1"),EXACT(AN190,"1")),(1),(0))</f>
        <v>0</v>
      </c>
      <c r="BJ190" s="19">
        <f>IF((BI190=1),BH190,0)</f>
        <v>0</v>
      </c>
      <c r="BN190" s="19">
        <f>IF((AK189=1),R189,0)</f>
        <v>0</v>
      </c>
      <c r="BO190" s="19">
        <f>IF(AND(EXACT(AK189,"1"),EXACT(AN190,"1")),(1),(0))</f>
        <v>0</v>
      </c>
      <c r="BP190" s="19">
        <f>IF((BO190=1),BN190,0)</f>
        <v>0</v>
      </c>
      <c r="BT190" s="19">
        <f>IF((AL189=1),R189,0)</f>
        <v>0</v>
      </c>
      <c r="BU190" s="19">
        <f>IF(AND(EXACT(AN190,"1"),EXACT(AL189,"1")),(1),(0))</f>
        <v>0</v>
      </c>
      <c r="BV190" s="19">
        <f>IF((BU190=1),BT190,0)</f>
        <v>0</v>
      </c>
      <c r="BZ190" s="19">
        <f>IF((AM189=1),R189,0)</f>
        <v>0</v>
      </c>
      <c r="CA190" s="19">
        <f>IF(AND(EXACT(AM189,"1"),EXACT(AN190,"1")),(1),(0))</f>
        <v>0</v>
      </c>
      <c r="CB190" s="19">
        <f>IF((CA190=1),BZ190,0)</f>
        <v>0</v>
      </c>
    </row>
    <row r="191" spans="1:83" ht="20.25">
      <c r="A191" s="1420" t="s">
        <v>30</v>
      </c>
      <c r="B191" s="1421"/>
      <c r="C191" s="1421"/>
      <c r="D191" s="1422"/>
      <c r="E191" s="536" t="s">
        <v>1001</v>
      </c>
      <c r="F191" s="537"/>
      <c r="G191" s="538" t="s">
        <v>801</v>
      </c>
      <c r="H191" s="539"/>
      <c r="I191" s="538" t="s">
        <v>1002</v>
      </c>
      <c r="J191" s="525"/>
      <c r="K191" s="538" t="s">
        <v>1003</v>
      </c>
      <c r="L191" s="540"/>
      <c r="M191" s="538" t="s">
        <v>1004</v>
      </c>
      <c r="N191" s="541"/>
      <c r="O191" s="1266"/>
      <c r="P191" s="1423"/>
      <c r="Q191" s="1423"/>
      <c r="R191" s="1423"/>
      <c r="S191" s="1423"/>
      <c r="T191" s="1423"/>
      <c r="U191" s="1415"/>
      <c r="AR191" s="19">
        <f>IF(AND(AA189=1,EXACT(J191,"نفر اول")),(1),(0))</f>
        <v>0</v>
      </c>
      <c r="AS191" s="19">
        <f>IF(AR191=1,S189,0)</f>
        <v>0</v>
      </c>
      <c r="AT191" s="19">
        <f>IF(AND(AA189=1,EXACT(J191,"همكار")),(1),(0))</f>
        <v>0</v>
      </c>
      <c r="AU191" s="19">
        <f>IF(AT191=1,S189,0)</f>
        <v>0</v>
      </c>
      <c r="AY191" s="19">
        <f>IF((AH189=1),S189,0)</f>
        <v>0</v>
      </c>
      <c r="AZ191" s="19">
        <f>IF(AND(EXACT(AR191,"1"),EXACT(AH189,"1")),(1),(0))</f>
        <v>0</v>
      </c>
      <c r="BA191" s="19">
        <f>IF((AZ191=1),AY191,0)</f>
        <v>0</v>
      </c>
      <c r="BE191" s="19">
        <f>IF((AI189=1),S189,0)</f>
        <v>0</v>
      </c>
      <c r="BF191" s="19">
        <f>IF(AND(EXACT(AI189,"1"),EXACT(AR191,"1")),(1),(0))</f>
        <v>0</v>
      </c>
      <c r="BG191" s="19">
        <f>IF((BF191=1),BE191,0)</f>
        <v>0</v>
      </c>
      <c r="BK191" s="19">
        <f>IF((AJ189=1),S189,0)</f>
        <v>0</v>
      </c>
      <c r="BL191" s="19">
        <f>IF(AND(EXACT(AJ189,"1"),EXACT(AR191,"1")),(1),(0))</f>
        <v>0</v>
      </c>
      <c r="BM191" s="19">
        <f>IF((BL191=1),BK191,0)</f>
        <v>0</v>
      </c>
      <c r="BQ191" s="19">
        <f>IF((AJ189=1),S189,0)</f>
        <v>0</v>
      </c>
      <c r="BR191" s="19">
        <f>IF(AND(EXACT(AJ189,"1"),EXACT(AR191,"1")),(1),(0))</f>
        <v>0</v>
      </c>
      <c r="BS191" s="19">
        <f>IF((BL191=1),BK191,0)</f>
        <v>0</v>
      </c>
      <c r="BW191" s="19">
        <f>IF((AL189=1),S189,0)</f>
        <v>0</v>
      </c>
      <c r="BX191" s="19">
        <f>IF(AND(EXACT(AL189,"1"),EXACT(AR191,"1")),(1),(0))</f>
        <v>0</v>
      </c>
      <c r="BY191" s="19">
        <f>IF((BX191=1),BW191,0)</f>
        <v>0</v>
      </c>
      <c r="CC191" s="19">
        <f>IF((AM189=1),R189,0)</f>
        <v>0</v>
      </c>
      <c r="CD191" s="19">
        <f>IF(AND(EXACT(AM189,"1"),EXACT(AR191,"1")),(1),(0))</f>
        <v>0</v>
      </c>
      <c r="CE191" s="19">
        <f>IF((CD191=1),CC191,0)</f>
        <v>0</v>
      </c>
    </row>
    <row r="192" spans="1:83" ht="20.25">
      <c r="A192" s="12">
        <f>IF(AA192=0,0,IF(AA189=0,Z192,SUM(A189,AA192)))</f>
        <v>0</v>
      </c>
      <c r="B192" s="1157"/>
      <c r="C192" s="1157"/>
      <c r="D192" s="1157"/>
      <c r="E192" s="1182"/>
      <c r="F192" s="1424"/>
      <c r="G192" s="1424"/>
      <c r="H192" s="527"/>
      <c r="I192" s="528"/>
      <c r="J192" s="529"/>
      <c r="K192" s="530"/>
      <c r="L192" s="531"/>
      <c r="M192" s="532"/>
      <c r="N192" s="533"/>
      <c r="O192" s="532"/>
      <c r="P192" s="1182"/>
      <c r="Q192" s="1182"/>
      <c r="R192" s="534">
        <f t="shared" ref="R192" ca="1" si="236">IF(OR(EXACT(H192,""),EXACT(B192,""),EXACT(F193,""),EXACT(H193,""),EXACT(J193,""),EXACT(L193,""),EXACT(N193,""),EXACT(F192,""),EXACT(J192,""),EXACT(M192,""),EXACT(N192,""),EXACT(O192,""),EXACT(P192,"")),0,IF(OR(EXACT(P193,"مقاله پر استناد"),EXACT(P193,"مقاله داغ"),EXACT(P193,"مستخرج از برنامه تحقيقاتي ملي معطوف به رفع مشكلات كشور")),(1.5*(F193*N193*(IF(EXACT(J193,"نفر اول"),INDIRECT(CONCATENATE("'Data Base'!$d",H193)),INDIRECT(CONCATENATE("'Data Base'!$e",H193))))*((100-L193)/100))),IF(EXACT(P193,"Short Article"),(0.5*(F193*N193*(IF(EXACT(J193,"نفر اول"),INDIRECT(CONCATENATE("'Data Base'!$D",H193)),INDIRECT(CONCATENATE("'Data Base'!$E",H193))))*((100-L193)/100))),IF(EXACT(P193,"چاپ شده در نشريات بسيار پر استناد Nature و Science"),(2*(F193*N193*(IF(EXACT(J193,"نفر اول"),INDIRECT(CONCATENATE("'Data Base'!$D",H193)),INDIRECT(CONCATENATE("'Data Base'!$E",H193))))*((100-L193)/100))),IF(OR(EXACT(P193,"مستخرج از طرح پژوهشي محرمانه"),EXACT(P193,"مشترك با اساتيد دانشگاه خارج از كشور")),(1.2*(F193*N193*(IF(EXACT(J193,"نفر اول"),INDIRECT(CONCATENATE("'Data Base'!$D",H193)),INDIRECT(CONCATENATE("'Data Base'!$E",H193))))*((100-L193)/100))),(F193*N193*(IF(EXACT(J193,"نفر اول"),INDIRECT(CONCATENATE("'Data Base'!$d",H193)),INDIRECT(CONCATENATE("'Data Base'!$e",H193))))*((100-L193)/100)))))))</f>
        <v>0</v>
      </c>
      <c r="S192" s="535">
        <f t="shared" ref="S192" ca="1" si="237">IF(OR(EXACT(H192,""),EXACT(B192,""),EXACT(F194,""),EXACT(H194,""),EXACT(J194,""),EXACT(L194,""),EXACT(N194,""),EXACT(F192,""),EXACT(J192,""),EXACT(M192,""),EXACT(N192,""),EXACT(O192,""),EXACT(P192,"")),0,IF(OR(EXACT(P194,"مقاله پر استناد"),EXACT(P194,"مقاله داغ"),EXACT(P194,"مستخرج از برنامه تحقيقاتي ملي معطوف به رفع مشكلات كشور")),(1.5*(F194*N194*(IF(EXACT(J194,"نفر اول"),INDIRECT(CONCATENATE("'Data Base'!$d",H194)),INDIRECT(CONCATENATE("'Data Base'!$E",H194))))*((100-L194)/100))),IF(EXACT(P194,"Short Article"),(0.5*(F194*N194*(IF(EXACT(J194,"نفر اول"),INDIRECT(CONCATENATE("'Data Base'!$D",H194)),INDIRECT(CONCATENATE("'Data Base'!$E",H194))))*((100-L194)/100))),IF(EXACT(P194,"چاپ شده در نشريات بسيار پر استناد Nature و Science"),(2*(F194*N194*(IF(EXACT(J194,"نفر اول"),INDIRECT(CONCATENATE("'Data Base'!$D",H194)),INDIRECT(CONCATENATE("'Data Base'!$E",H194))))*((100-L194)/100))),IF(OR(EXACT(P194,"مستخرج از طرح پژوهشي محرمانه"),EXACT(P194,"مشترك با اساتيد دانشگاه خارج از كشور")),(1.2*(F194*N194*(IF(EXACT(J194,"نفر اول"),INDIRECT(CONCATENATE("'Data Base'!$D",H194)),INDIRECT(CONCATENATE("'Data Base'!$E",H194))))*((100-L194)/100))),(F194*N194*(IF(EXACT(J194,"نفر اول"),INDIRECT(CONCATENATE("'Data Base'!$D",H194)),INDIRECT(CONCATENATE("'Data Base'!$E",H194))))*((100-L194)/100)))))))</f>
        <v>0</v>
      </c>
      <c r="T192" s="147"/>
      <c r="U192" s="1414"/>
      <c r="Z192" s="19">
        <f>SUM(Z189,AA192)</f>
        <v>0</v>
      </c>
      <c r="AA192" s="19">
        <f>IF(OR(OR(B192="",F192="",H192="",J192="",P192=""),AND(M192="",O192="")),0,1)</f>
        <v>0</v>
      </c>
      <c r="AB192" s="19">
        <f t="shared" ref="AB192" ca="1" si="238">IF(AND(AA192=1,S192&gt;0),1,0)</f>
        <v>0</v>
      </c>
      <c r="AC192" s="19">
        <f t="shared" ref="AC192" ca="1" si="239">IF(AND(AA192=1,S192&lt;1),1,0)</f>
        <v>0</v>
      </c>
      <c r="AD192" s="19">
        <f ca="1">IF(AND(AA192=1,S192&gt;=1,AJ192=1),1,0)</f>
        <v>0</v>
      </c>
      <c r="AE192" s="19">
        <f ca="1">IF(AD192=1,S192,0)</f>
        <v>0</v>
      </c>
      <c r="AF192" s="19">
        <f ca="1">IF(AND(AA192=1,S192&gt;=1,AJ192=1,AR194=1),1,0)</f>
        <v>0</v>
      </c>
      <c r="AG192" s="19">
        <f ca="1">IF(AF192=1,S192,0)</f>
        <v>0</v>
      </c>
      <c r="AH192" s="19">
        <f>IF(OR(EXACT(H192,"JCR-Q1"),EXACT(H192,"JCR-Q2")),(1),(0))</f>
        <v>0</v>
      </c>
      <c r="AI192" s="19">
        <f>IF(OR(EXACT(H192,"JCR-Q1"),EXACT(H192,"JCR-Q2"),EXACT(H192,"JCR-Q3")),(1),(0))</f>
        <v>0</v>
      </c>
      <c r="AJ192" s="19">
        <f>IF(OR(EXACT(H192,"JCR-Q1"),EXACT(H192,"JCR-Q2"),EXACT(H192,"JCR-Q3"),EXACT(H192,"JCR-Q4")),(1),(0))</f>
        <v>0</v>
      </c>
      <c r="AK192" s="19">
        <f>IF(OR(EXACT(H192,"JCR-Q1"),EXACT(H192,"JCR-Q2"),EXACT(H192,"JCR-Q3"),EXACT(H192,"JCR-Q4"),EXACT(H192,"WOS")),(1),(0))</f>
        <v>0</v>
      </c>
      <c r="AL192" s="19">
        <f>IF(OR(EXACT(H192,"JCR-Q1"),EXACT(H192,"JCR-Q2"),EXACT(H192,"JCR-Q3"),EXACT(H192,"JCR-Q4"),EXACT(H192,"WOS"),EXACT(H192,"Scopus")),(1),(0))</f>
        <v>0</v>
      </c>
      <c r="AM192" s="19">
        <f>IF(OR(EXACT(H192,'Data Base'!$B$21),EXACT(H192,'Data Base'!$B$22)),(1),(0))</f>
        <v>0</v>
      </c>
    </row>
    <row r="193" spans="1:83" ht="20.25" customHeight="1">
      <c r="A193" s="1416" t="s">
        <v>29</v>
      </c>
      <c r="B193" s="1417"/>
      <c r="C193" s="1417"/>
      <c r="D193" s="1418"/>
      <c r="E193" s="514" t="s">
        <v>1001</v>
      </c>
      <c r="F193" s="515"/>
      <c r="G193" s="516" t="s">
        <v>801</v>
      </c>
      <c r="H193" s="517"/>
      <c r="I193" s="516" t="s">
        <v>1002</v>
      </c>
      <c r="J193" s="518"/>
      <c r="K193" s="516" t="s">
        <v>1003</v>
      </c>
      <c r="L193" s="519"/>
      <c r="M193" s="516" t="s">
        <v>1004</v>
      </c>
      <c r="N193" s="520"/>
      <c r="O193" s="1266" t="s">
        <v>55</v>
      </c>
      <c r="P193" s="1419"/>
      <c r="Q193" s="1419"/>
      <c r="R193" s="1419"/>
      <c r="S193" s="1419"/>
      <c r="T193" s="1419"/>
      <c r="U193" s="1415"/>
      <c r="AN193" s="19">
        <f>IF(AND(AA192=1,EXACT(J193,"نفر اول")),(1),(0))</f>
        <v>0</v>
      </c>
      <c r="AO193" s="19">
        <f>IF(AN193=1,R192,0)</f>
        <v>0</v>
      </c>
      <c r="AP193" s="19">
        <f>IF(AND(AA192=1,EXACT(J193,"همكار")),(1),(0))</f>
        <v>0</v>
      </c>
      <c r="AQ193" s="19">
        <f>IF(AP193=1,R192,0)</f>
        <v>0</v>
      </c>
      <c r="AV193" s="19">
        <f>IF((AH192=1),R192,0)</f>
        <v>0</v>
      </c>
      <c r="AW193" s="19">
        <f>IF(AND(EXACT(AN193,"1"),EXACT(AH192,"1")),(1),(0))</f>
        <v>0</v>
      </c>
      <c r="AX193" s="19">
        <f>IF((AW193=1),AV193,0)</f>
        <v>0</v>
      </c>
      <c r="BB193" s="19">
        <f>IF((AI192=1),R192,0)</f>
        <v>0</v>
      </c>
      <c r="BC193" s="19">
        <f>IF(AND(EXACT(AI192,"1"),EXACT(AN193,"1")),(1),(0))</f>
        <v>0</v>
      </c>
      <c r="BD193" s="19">
        <f>IF((BC193=1),BB193,0)</f>
        <v>0</v>
      </c>
      <c r="BH193" s="19">
        <f>IF((AJ192=1),R192,0)</f>
        <v>0</v>
      </c>
      <c r="BI193" s="19">
        <f>IF(AND(EXACT(AJ192,"1"),EXACT(AN193,"1")),(1),(0))</f>
        <v>0</v>
      </c>
      <c r="BJ193" s="19">
        <f>IF((BI193=1),BH193,0)</f>
        <v>0</v>
      </c>
      <c r="BN193" s="19">
        <f>IF((AK192=1),R192,0)</f>
        <v>0</v>
      </c>
      <c r="BO193" s="19">
        <f>IF(AND(EXACT(AK192,"1"),EXACT(AN193,"1")),(1),(0))</f>
        <v>0</v>
      </c>
      <c r="BP193" s="19">
        <f>IF((BO193=1),BN193,0)</f>
        <v>0</v>
      </c>
      <c r="BT193" s="19">
        <f>IF((AL192=1),R192,0)</f>
        <v>0</v>
      </c>
      <c r="BU193" s="19">
        <f>IF(AND(EXACT(AN193,"1"),EXACT(AL192,"1")),(1),(0))</f>
        <v>0</v>
      </c>
      <c r="BV193" s="19">
        <f>IF((BU193=1),BT193,0)</f>
        <v>0</v>
      </c>
      <c r="BZ193" s="19">
        <f>IF((AM192=1),R192,0)</f>
        <v>0</v>
      </c>
      <c r="CA193" s="19">
        <f>IF(AND(EXACT(AM192,"1"),EXACT(AN193,"1")),(1),(0))</f>
        <v>0</v>
      </c>
      <c r="CB193" s="19">
        <f>IF((CA193=1),BZ193,0)</f>
        <v>0</v>
      </c>
    </row>
    <row r="194" spans="1:83" ht="20.25">
      <c r="A194" s="1420" t="s">
        <v>30</v>
      </c>
      <c r="B194" s="1421"/>
      <c r="C194" s="1421"/>
      <c r="D194" s="1422"/>
      <c r="E194" s="536" t="s">
        <v>1001</v>
      </c>
      <c r="F194" s="537"/>
      <c r="G194" s="538" t="s">
        <v>801</v>
      </c>
      <c r="H194" s="539"/>
      <c r="I194" s="538" t="s">
        <v>1002</v>
      </c>
      <c r="J194" s="525"/>
      <c r="K194" s="538" t="s">
        <v>1003</v>
      </c>
      <c r="L194" s="540"/>
      <c r="M194" s="538" t="s">
        <v>1004</v>
      </c>
      <c r="N194" s="541"/>
      <c r="O194" s="1266"/>
      <c r="P194" s="1423"/>
      <c r="Q194" s="1423"/>
      <c r="R194" s="1423"/>
      <c r="S194" s="1423"/>
      <c r="T194" s="1423"/>
      <c r="U194" s="1415"/>
      <c r="AR194" s="19">
        <f>IF(AND(AA192=1,EXACT(J194,"نفر اول")),(1),(0))</f>
        <v>0</v>
      </c>
      <c r="AS194" s="19">
        <f>IF(AR194=1,S192,0)</f>
        <v>0</v>
      </c>
      <c r="AT194" s="19">
        <f>IF(AND(AA192=1,EXACT(J194,"همكار")),(1),(0))</f>
        <v>0</v>
      </c>
      <c r="AU194" s="19">
        <f>IF(AT194=1,S192,0)</f>
        <v>0</v>
      </c>
      <c r="AY194" s="19">
        <f>IF((AH192=1),S192,0)</f>
        <v>0</v>
      </c>
      <c r="AZ194" s="19">
        <f>IF(AND(EXACT(AR194,"1"),EXACT(AH192,"1")),(1),(0))</f>
        <v>0</v>
      </c>
      <c r="BA194" s="19">
        <f>IF((AZ194=1),AY194,0)</f>
        <v>0</v>
      </c>
      <c r="BE194" s="19">
        <f>IF((AI192=1),S192,0)</f>
        <v>0</v>
      </c>
      <c r="BF194" s="19">
        <f>IF(AND(EXACT(AI192,"1"),EXACT(AR194,"1")),(1),(0))</f>
        <v>0</v>
      </c>
      <c r="BG194" s="19">
        <f>IF((BF194=1),BE194,0)</f>
        <v>0</v>
      </c>
      <c r="BK194" s="19">
        <f>IF((AJ192=1),S192,0)</f>
        <v>0</v>
      </c>
      <c r="BL194" s="19">
        <f>IF(AND(EXACT(AJ192,"1"),EXACT(AR194,"1")),(1),(0))</f>
        <v>0</v>
      </c>
      <c r="BM194" s="19">
        <f>IF((BL194=1),BK194,0)</f>
        <v>0</v>
      </c>
      <c r="BQ194" s="19">
        <f>IF((AJ192=1),S192,0)</f>
        <v>0</v>
      </c>
      <c r="BR194" s="19">
        <f>IF(AND(EXACT(AJ192,"1"),EXACT(AR194,"1")),(1),(0))</f>
        <v>0</v>
      </c>
      <c r="BS194" s="19">
        <f>IF((BL194=1),BK194,0)</f>
        <v>0</v>
      </c>
      <c r="BW194" s="19">
        <f>IF((AL192=1),S192,0)</f>
        <v>0</v>
      </c>
      <c r="BX194" s="19">
        <f>IF(AND(EXACT(AL192,"1"),EXACT(AR194,"1")),(1),(0))</f>
        <v>0</v>
      </c>
      <c r="BY194" s="19">
        <f>IF((BX194=1),BW194,0)</f>
        <v>0</v>
      </c>
      <c r="CC194" s="19">
        <f>IF((AM192=1),R192,0)</f>
        <v>0</v>
      </c>
      <c r="CD194" s="19">
        <f>IF(AND(EXACT(AM192,"1"),EXACT(AR194,"1")),(1),(0))</f>
        <v>0</v>
      </c>
      <c r="CE194" s="19">
        <f>IF((CD194=1),CC194,0)</f>
        <v>0</v>
      </c>
    </row>
    <row r="195" spans="1:83" ht="20.25">
      <c r="A195" s="12">
        <f>IF(AA195=0,0,IF(AA192=0,Z195,SUM(A192,AA195)))</f>
        <v>0</v>
      </c>
      <c r="B195" s="1157"/>
      <c r="C195" s="1157"/>
      <c r="D195" s="1157"/>
      <c r="E195" s="1182"/>
      <c r="F195" s="1424"/>
      <c r="G195" s="1424"/>
      <c r="H195" s="527"/>
      <c r="I195" s="528"/>
      <c r="J195" s="529"/>
      <c r="K195" s="530"/>
      <c r="L195" s="531"/>
      <c r="M195" s="532"/>
      <c r="N195" s="533"/>
      <c r="O195" s="532"/>
      <c r="P195" s="1182"/>
      <c r="Q195" s="1182"/>
      <c r="R195" s="534">
        <f t="shared" ref="R195" ca="1" si="240">IF(OR(EXACT(H195,""),EXACT(B195,""),EXACT(F196,""),EXACT(H196,""),EXACT(J196,""),EXACT(L196,""),EXACT(N196,""),EXACT(F195,""),EXACT(J195,""),EXACT(M195,""),EXACT(N195,""),EXACT(O195,""),EXACT(P195,"")),0,IF(OR(EXACT(P196,"مقاله پر استناد"),EXACT(P196,"مقاله داغ"),EXACT(P196,"مستخرج از برنامه تحقيقاتي ملي معطوف به رفع مشكلات كشور")),(1.5*(F196*N196*(IF(EXACT(J196,"نفر اول"),INDIRECT(CONCATENATE("'Data Base'!$d",H196)),INDIRECT(CONCATENATE("'Data Base'!$e",H196))))*((100-L196)/100))),IF(EXACT(P196,"Short Article"),(0.5*(F196*N196*(IF(EXACT(J196,"نفر اول"),INDIRECT(CONCATENATE("'Data Base'!$D",H196)),INDIRECT(CONCATENATE("'Data Base'!$E",H196))))*((100-L196)/100))),IF(EXACT(P196,"چاپ شده در نشريات بسيار پر استناد Nature و Science"),(2*(F196*N196*(IF(EXACT(J196,"نفر اول"),INDIRECT(CONCATENATE("'Data Base'!$D",H196)),INDIRECT(CONCATENATE("'Data Base'!$E",H196))))*((100-L196)/100))),IF(OR(EXACT(P196,"مستخرج از طرح پژوهشي محرمانه"),EXACT(P196,"مشترك با اساتيد دانشگاه خارج از كشور")),(1.2*(F196*N196*(IF(EXACT(J196,"نفر اول"),INDIRECT(CONCATENATE("'Data Base'!$D",H196)),INDIRECT(CONCATENATE("'Data Base'!$E",H196))))*((100-L196)/100))),(F196*N196*(IF(EXACT(J196,"نفر اول"),INDIRECT(CONCATENATE("'Data Base'!$d",H196)),INDIRECT(CONCATENATE("'Data Base'!$e",H196))))*((100-L196)/100)))))))</f>
        <v>0</v>
      </c>
      <c r="S195" s="535">
        <f t="shared" ref="S195" ca="1" si="241">IF(OR(EXACT(H195,""),EXACT(B195,""),EXACT(F197,""),EXACT(H197,""),EXACT(J197,""),EXACT(L197,""),EXACT(N197,""),EXACT(F195,""),EXACT(J195,""),EXACT(M195,""),EXACT(N195,""),EXACT(O195,""),EXACT(P195,"")),0,IF(OR(EXACT(P197,"مقاله پر استناد"),EXACT(P197,"مقاله داغ"),EXACT(P197,"مستخرج از برنامه تحقيقاتي ملي معطوف به رفع مشكلات كشور")),(1.5*(F197*N197*(IF(EXACT(J197,"نفر اول"),INDIRECT(CONCATENATE("'Data Base'!$d",H197)),INDIRECT(CONCATENATE("'Data Base'!$E",H197))))*((100-L197)/100))),IF(EXACT(P197,"Short Article"),(0.5*(F197*N197*(IF(EXACT(J197,"نفر اول"),INDIRECT(CONCATENATE("'Data Base'!$D",H197)),INDIRECT(CONCATENATE("'Data Base'!$E",H197))))*((100-L197)/100))),IF(EXACT(P197,"چاپ شده در نشريات بسيار پر استناد Nature و Science"),(2*(F197*N197*(IF(EXACT(J197,"نفر اول"),INDIRECT(CONCATENATE("'Data Base'!$D",H197)),INDIRECT(CONCATENATE("'Data Base'!$E",H197))))*((100-L197)/100))),IF(OR(EXACT(P197,"مستخرج از طرح پژوهشي محرمانه"),EXACT(P197,"مشترك با اساتيد دانشگاه خارج از كشور")),(1.2*(F197*N197*(IF(EXACT(J197,"نفر اول"),INDIRECT(CONCATENATE("'Data Base'!$D",H197)),INDIRECT(CONCATENATE("'Data Base'!$E",H197))))*((100-L197)/100))),(F197*N197*(IF(EXACT(J197,"نفر اول"),INDIRECT(CONCATENATE("'Data Base'!$D",H197)),INDIRECT(CONCATENATE("'Data Base'!$E",H197))))*((100-L197)/100)))))))</f>
        <v>0</v>
      </c>
      <c r="T195" s="147"/>
      <c r="U195" s="1414"/>
      <c r="Z195" s="19">
        <f>SUM(Z192,AA195)</f>
        <v>0</v>
      </c>
      <c r="AA195" s="19">
        <f>IF(OR(OR(B195="",F195="",H195="",J195="",P195=""),AND(M195="",O195="")),0,1)</f>
        <v>0</v>
      </c>
      <c r="AB195" s="19">
        <f t="shared" ref="AB195" ca="1" si="242">IF(AND(AA195=1,S195&gt;0),1,0)</f>
        <v>0</v>
      </c>
      <c r="AC195" s="19">
        <f t="shared" ref="AC195" ca="1" si="243">IF(AND(AA195=1,S195&lt;1),1,0)</f>
        <v>0</v>
      </c>
      <c r="AD195" s="19">
        <f ca="1">IF(AND(AA195=1,S195&gt;=1,AJ195=1),1,0)</f>
        <v>0</v>
      </c>
      <c r="AE195" s="19">
        <f ca="1">IF(AD195=1,S195,0)</f>
        <v>0</v>
      </c>
      <c r="AF195" s="19">
        <f ca="1">IF(AND(AA195=1,S195&gt;=1,AJ195=1,AR197=1),1,0)</f>
        <v>0</v>
      </c>
      <c r="AG195" s="19">
        <f ca="1">IF(AF195=1,S195,0)</f>
        <v>0</v>
      </c>
      <c r="AH195" s="19">
        <f>IF(OR(EXACT(H195,"JCR-Q1"),EXACT(H195,"JCR-Q2")),(1),(0))</f>
        <v>0</v>
      </c>
      <c r="AI195" s="19">
        <f>IF(OR(EXACT(H195,"JCR-Q1"),EXACT(H195,"JCR-Q2"),EXACT(H195,"JCR-Q3")),(1),(0))</f>
        <v>0</v>
      </c>
      <c r="AJ195" s="19">
        <f>IF(OR(EXACT(H195,"JCR-Q1"),EXACT(H195,"JCR-Q2"),EXACT(H195,"JCR-Q3"),EXACT(H195,"JCR-Q4")),(1),(0))</f>
        <v>0</v>
      </c>
      <c r="AK195" s="19">
        <f>IF(OR(EXACT(H195,"JCR-Q1"),EXACT(H195,"JCR-Q2"),EXACT(H195,"JCR-Q3"),EXACT(H195,"JCR-Q4"),EXACT(H195,"WOS")),(1),(0))</f>
        <v>0</v>
      </c>
      <c r="AL195" s="19">
        <f>IF(OR(EXACT(H195,"JCR-Q1"),EXACT(H195,"JCR-Q2"),EXACT(H195,"JCR-Q3"),EXACT(H195,"JCR-Q4"),EXACT(H195,"WOS"),EXACT(H195,"Scopus")),(1),(0))</f>
        <v>0</v>
      </c>
      <c r="AM195" s="19">
        <f>IF(OR(EXACT(H195,'Data Base'!$B$21),EXACT(H195,'Data Base'!$B$22)),(1),(0))</f>
        <v>0</v>
      </c>
    </row>
    <row r="196" spans="1:83" ht="20.25" customHeight="1">
      <c r="A196" s="1416" t="s">
        <v>29</v>
      </c>
      <c r="B196" s="1417"/>
      <c r="C196" s="1417"/>
      <c r="D196" s="1418"/>
      <c r="E196" s="514" t="s">
        <v>1001</v>
      </c>
      <c r="F196" s="515"/>
      <c r="G196" s="516" t="s">
        <v>801</v>
      </c>
      <c r="H196" s="517"/>
      <c r="I196" s="516" t="s">
        <v>1002</v>
      </c>
      <c r="J196" s="518"/>
      <c r="K196" s="516" t="s">
        <v>1003</v>
      </c>
      <c r="L196" s="519"/>
      <c r="M196" s="516" t="s">
        <v>1004</v>
      </c>
      <c r="N196" s="520"/>
      <c r="O196" s="1266" t="s">
        <v>55</v>
      </c>
      <c r="P196" s="1419"/>
      <c r="Q196" s="1419"/>
      <c r="R196" s="1419"/>
      <c r="S196" s="1419"/>
      <c r="T196" s="1419"/>
      <c r="U196" s="1415"/>
      <c r="AN196" s="19">
        <f>IF(AND(AA195=1,EXACT(J196,"نفر اول")),(1),(0))</f>
        <v>0</v>
      </c>
      <c r="AO196" s="19">
        <f>IF(AN196=1,R195,0)</f>
        <v>0</v>
      </c>
      <c r="AP196" s="19">
        <f>IF(AND(AA195=1,EXACT(J196,"همكار")),(1),(0))</f>
        <v>0</v>
      </c>
      <c r="AQ196" s="19">
        <f>IF(AP196=1,R195,0)</f>
        <v>0</v>
      </c>
      <c r="AV196" s="19">
        <f>IF((AH195=1),R195,0)</f>
        <v>0</v>
      </c>
      <c r="AW196" s="19">
        <f>IF(AND(EXACT(AN196,"1"),EXACT(AH195,"1")),(1),(0))</f>
        <v>0</v>
      </c>
      <c r="AX196" s="19">
        <f>IF((AW196=1),AV196,0)</f>
        <v>0</v>
      </c>
      <c r="BB196" s="19">
        <f>IF((AI195=1),R195,0)</f>
        <v>0</v>
      </c>
      <c r="BC196" s="19">
        <f>IF(AND(EXACT(AI195,"1"),EXACT(AN196,"1")),(1),(0))</f>
        <v>0</v>
      </c>
      <c r="BD196" s="19">
        <f>IF((BC196=1),BB196,0)</f>
        <v>0</v>
      </c>
      <c r="BH196" s="19">
        <f>IF((AJ195=1),R195,0)</f>
        <v>0</v>
      </c>
      <c r="BI196" s="19">
        <f>IF(AND(EXACT(AJ195,"1"),EXACT(AN196,"1")),(1),(0))</f>
        <v>0</v>
      </c>
      <c r="BJ196" s="19">
        <f>IF((BI196=1),BH196,0)</f>
        <v>0</v>
      </c>
      <c r="BN196" s="19">
        <f>IF((AK195=1),R195,0)</f>
        <v>0</v>
      </c>
      <c r="BO196" s="19">
        <f>IF(AND(EXACT(AK195,"1"),EXACT(AN196,"1")),(1),(0))</f>
        <v>0</v>
      </c>
      <c r="BP196" s="19">
        <f>IF((BO196=1),BN196,0)</f>
        <v>0</v>
      </c>
      <c r="BT196" s="19">
        <f>IF((AL195=1),R195,0)</f>
        <v>0</v>
      </c>
      <c r="BU196" s="19">
        <f>IF(AND(EXACT(AN196,"1"),EXACT(AL195,"1")),(1),(0))</f>
        <v>0</v>
      </c>
      <c r="BV196" s="19">
        <f>IF((BU196=1),BT196,0)</f>
        <v>0</v>
      </c>
      <c r="BZ196" s="19">
        <f>IF((AM195=1),R195,0)</f>
        <v>0</v>
      </c>
      <c r="CA196" s="19">
        <f>IF(AND(EXACT(AM195,"1"),EXACT(AN196,"1")),(1),(0))</f>
        <v>0</v>
      </c>
      <c r="CB196" s="19">
        <f>IF((CA196=1),BZ196,0)</f>
        <v>0</v>
      </c>
    </row>
    <row r="197" spans="1:83" ht="20.25">
      <c r="A197" s="1420" t="s">
        <v>30</v>
      </c>
      <c r="B197" s="1421"/>
      <c r="C197" s="1421"/>
      <c r="D197" s="1422"/>
      <c r="E197" s="536" t="s">
        <v>1001</v>
      </c>
      <c r="F197" s="537"/>
      <c r="G197" s="538" t="s">
        <v>801</v>
      </c>
      <c r="H197" s="539"/>
      <c r="I197" s="538" t="s">
        <v>1002</v>
      </c>
      <c r="J197" s="525"/>
      <c r="K197" s="538" t="s">
        <v>1003</v>
      </c>
      <c r="L197" s="540"/>
      <c r="M197" s="538" t="s">
        <v>1004</v>
      </c>
      <c r="N197" s="541"/>
      <c r="O197" s="1266"/>
      <c r="P197" s="1423"/>
      <c r="Q197" s="1423"/>
      <c r="R197" s="1423"/>
      <c r="S197" s="1423"/>
      <c r="T197" s="1423"/>
      <c r="U197" s="1415"/>
      <c r="AR197" s="19">
        <f>IF(AND(AA195=1,EXACT(J197,"نفر اول")),(1),(0))</f>
        <v>0</v>
      </c>
      <c r="AS197" s="19">
        <f>IF(AR197=1,S195,0)</f>
        <v>0</v>
      </c>
      <c r="AT197" s="19">
        <f>IF(AND(AA195=1,EXACT(J197,"همكار")),(1),(0))</f>
        <v>0</v>
      </c>
      <c r="AU197" s="19">
        <f>IF(AT197=1,S195,0)</f>
        <v>0</v>
      </c>
      <c r="AY197" s="19">
        <f>IF((AH195=1),S195,0)</f>
        <v>0</v>
      </c>
      <c r="AZ197" s="19">
        <f>IF(AND(EXACT(AR197,"1"),EXACT(AH195,"1")),(1),(0))</f>
        <v>0</v>
      </c>
      <c r="BA197" s="19">
        <f>IF((AZ197=1),AY197,0)</f>
        <v>0</v>
      </c>
      <c r="BE197" s="19">
        <f>IF((AI195=1),S195,0)</f>
        <v>0</v>
      </c>
      <c r="BF197" s="19">
        <f>IF(AND(EXACT(AI195,"1"),EXACT(AR197,"1")),(1),(0))</f>
        <v>0</v>
      </c>
      <c r="BG197" s="19">
        <f>IF((BF197=1),BE197,0)</f>
        <v>0</v>
      </c>
      <c r="BK197" s="19">
        <f>IF((AJ195=1),S195,0)</f>
        <v>0</v>
      </c>
      <c r="BL197" s="19">
        <f>IF(AND(EXACT(AJ195,"1"),EXACT(AR197,"1")),(1),(0))</f>
        <v>0</v>
      </c>
      <c r="BM197" s="19">
        <f>IF((BL197=1),BK197,0)</f>
        <v>0</v>
      </c>
      <c r="BQ197" s="19">
        <f>IF((AJ195=1),S195,0)</f>
        <v>0</v>
      </c>
      <c r="BR197" s="19">
        <f>IF(AND(EXACT(AJ195,"1"),EXACT(AR197,"1")),(1),(0))</f>
        <v>0</v>
      </c>
      <c r="BS197" s="19">
        <f>IF((BL197=1),BK197,0)</f>
        <v>0</v>
      </c>
      <c r="BW197" s="19">
        <f>IF((AL195=1),S195,0)</f>
        <v>0</v>
      </c>
      <c r="BX197" s="19">
        <f>IF(AND(EXACT(AL195,"1"),EXACT(AR197,"1")),(1),(0))</f>
        <v>0</v>
      </c>
      <c r="BY197" s="19">
        <f>IF((BX197=1),BW197,0)</f>
        <v>0</v>
      </c>
      <c r="CC197" s="19">
        <f>IF((AM195=1),R195,0)</f>
        <v>0</v>
      </c>
      <c r="CD197" s="19">
        <f>IF(AND(EXACT(AM195,"1"),EXACT(AR197,"1")),(1),(0))</f>
        <v>0</v>
      </c>
      <c r="CE197" s="19">
        <f>IF((CD197=1),CC197,0)</f>
        <v>0</v>
      </c>
    </row>
    <row r="198" spans="1:83" ht="20.25">
      <c r="A198" s="12">
        <f>IF(AA198=0,0,IF(AA195=0,Z198,SUM(A195,AA198)))</f>
        <v>0</v>
      </c>
      <c r="B198" s="1157"/>
      <c r="C198" s="1157"/>
      <c r="D198" s="1157"/>
      <c r="E198" s="1182"/>
      <c r="F198" s="1424"/>
      <c r="G198" s="1424"/>
      <c r="H198" s="527"/>
      <c r="I198" s="528"/>
      <c r="J198" s="529"/>
      <c r="K198" s="530"/>
      <c r="L198" s="531"/>
      <c r="M198" s="532"/>
      <c r="N198" s="533"/>
      <c r="O198" s="532"/>
      <c r="P198" s="1182"/>
      <c r="Q198" s="1182"/>
      <c r="R198" s="534">
        <f t="shared" ref="R198" ca="1" si="244">IF(OR(EXACT(H198,""),EXACT(B198,""),EXACT(F199,""),EXACT(H199,""),EXACT(J199,""),EXACT(L199,""),EXACT(N199,""),EXACT(F198,""),EXACT(J198,""),EXACT(M198,""),EXACT(N198,""),EXACT(O198,""),EXACT(P198,"")),0,IF(OR(EXACT(P199,"مقاله پر استناد"),EXACT(P199,"مقاله داغ"),EXACT(P199,"مستخرج از برنامه تحقيقاتي ملي معطوف به رفع مشكلات كشور")),(1.5*(F199*N199*(IF(EXACT(J199,"نفر اول"),INDIRECT(CONCATENATE("'Data Base'!$d",H199)),INDIRECT(CONCATENATE("'Data Base'!$e",H199))))*((100-L199)/100))),IF(EXACT(P199,"Short Article"),(0.5*(F199*N199*(IF(EXACT(J199,"نفر اول"),INDIRECT(CONCATENATE("'Data Base'!$D",H199)),INDIRECT(CONCATENATE("'Data Base'!$E",H199))))*((100-L199)/100))),IF(EXACT(P199,"چاپ شده در نشريات بسيار پر استناد Nature و Science"),(2*(F199*N199*(IF(EXACT(J199,"نفر اول"),INDIRECT(CONCATENATE("'Data Base'!$D",H199)),INDIRECT(CONCATENATE("'Data Base'!$E",H199))))*((100-L199)/100))),IF(OR(EXACT(P199,"مستخرج از طرح پژوهشي محرمانه"),EXACT(P199,"مشترك با اساتيد دانشگاه خارج از كشور")),(1.2*(F199*N199*(IF(EXACT(J199,"نفر اول"),INDIRECT(CONCATENATE("'Data Base'!$D",H199)),INDIRECT(CONCATENATE("'Data Base'!$E",H199))))*((100-L199)/100))),(F199*N199*(IF(EXACT(J199,"نفر اول"),INDIRECT(CONCATENATE("'Data Base'!$d",H199)),INDIRECT(CONCATENATE("'Data Base'!$e",H199))))*((100-L199)/100)))))))</f>
        <v>0</v>
      </c>
      <c r="S198" s="535">
        <f t="shared" ref="S198" ca="1" si="245">IF(OR(EXACT(H198,""),EXACT(B198,""),EXACT(F200,""),EXACT(H200,""),EXACT(J200,""),EXACT(L200,""),EXACT(N200,""),EXACT(F198,""),EXACT(J198,""),EXACT(M198,""),EXACT(N198,""),EXACT(O198,""),EXACT(P198,"")),0,IF(OR(EXACT(P200,"مقاله پر استناد"),EXACT(P200,"مقاله داغ"),EXACT(P200,"مستخرج از برنامه تحقيقاتي ملي معطوف به رفع مشكلات كشور")),(1.5*(F200*N200*(IF(EXACT(J200,"نفر اول"),INDIRECT(CONCATENATE("'Data Base'!$d",H200)),INDIRECT(CONCATENATE("'Data Base'!$E",H200))))*((100-L200)/100))),IF(EXACT(P200,"Short Article"),(0.5*(F200*N200*(IF(EXACT(J200,"نفر اول"),INDIRECT(CONCATENATE("'Data Base'!$D",H200)),INDIRECT(CONCATENATE("'Data Base'!$E",H200))))*((100-L200)/100))),IF(EXACT(P200,"چاپ شده در نشريات بسيار پر استناد Nature و Science"),(2*(F200*N200*(IF(EXACT(J200,"نفر اول"),INDIRECT(CONCATENATE("'Data Base'!$D",H200)),INDIRECT(CONCATENATE("'Data Base'!$E",H200))))*((100-L200)/100))),IF(OR(EXACT(P200,"مستخرج از طرح پژوهشي محرمانه"),EXACT(P200,"مشترك با اساتيد دانشگاه خارج از كشور")),(1.2*(F200*N200*(IF(EXACT(J200,"نفر اول"),INDIRECT(CONCATENATE("'Data Base'!$D",H200)),INDIRECT(CONCATENATE("'Data Base'!$E",H200))))*((100-L200)/100))),(F200*N200*(IF(EXACT(J200,"نفر اول"),INDIRECT(CONCATENATE("'Data Base'!$D",H200)),INDIRECT(CONCATENATE("'Data Base'!$E",H200))))*((100-L200)/100)))))))</f>
        <v>0</v>
      </c>
      <c r="T198" s="147"/>
      <c r="U198" s="1414"/>
      <c r="Z198" s="19">
        <f>SUM(Z195,AA198)</f>
        <v>0</v>
      </c>
      <c r="AA198" s="19">
        <f>IF(OR(OR(B198="",F198="",H198="",J198="",P198=""),AND(M198="",O198="")),0,1)</f>
        <v>0</v>
      </c>
      <c r="AB198" s="19">
        <f t="shared" ref="AB198" ca="1" si="246">IF(AND(AA198=1,S198&gt;0),1,0)</f>
        <v>0</v>
      </c>
      <c r="AC198" s="19">
        <f t="shared" ref="AC198" ca="1" si="247">IF(AND(AA198=1,S198&lt;1),1,0)</f>
        <v>0</v>
      </c>
      <c r="AD198" s="19">
        <f ca="1">IF(AND(AA198=1,S198&gt;=1,AJ198=1),1,0)</f>
        <v>0</v>
      </c>
      <c r="AE198" s="19">
        <f ca="1">IF(AD198=1,S198,0)</f>
        <v>0</v>
      </c>
      <c r="AF198" s="19">
        <f ca="1">IF(AND(AA198=1,S198&gt;=1,AJ198=1,AR200=1),1,0)</f>
        <v>0</v>
      </c>
      <c r="AG198" s="19">
        <f ca="1">IF(AF198=1,S198,0)</f>
        <v>0</v>
      </c>
      <c r="AH198" s="19">
        <f>IF(OR(EXACT(H198,"JCR-Q1"),EXACT(H198,"JCR-Q2")),(1),(0))</f>
        <v>0</v>
      </c>
      <c r="AI198" s="19">
        <f>IF(OR(EXACT(H198,"JCR-Q1"),EXACT(H198,"JCR-Q2"),EXACT(H198,"JCR-Q3")),(1),(0))</f>
        <v>0</v>
      </c>
      <c r="AJ198" s="19">
        <f>IF(OR(EXACT(H198,"JCR-Q1"),EXACT(H198,"JCR-Q2"),EXACT(H198,"JCR-Q3"),EXACT(H198,"JCR-Q4")),(1),(0))</f>
        <v>0</v>
      </c>
      <c r="AK198" s="19">
        <f>IF(OR(EXACT(H198,"JCR-Q1"),EXACT(H198,"JCR-Q2"),EXACT(H198,"JCR-Q3"),EXACT(H198,"JCR-Q4"),EXACT(H198,"WOS")),(1),(0))</f>
        <v>0</v>
      </c>
      <c r="AL198" s="19">
        <f>IF(OR(EXACT(H198,"JCR-Q1"),EXACT(H198,"JCR-Q2"),EXACT(H198,"JCR-Q3"),EXACT(H198,"JCR-Q4"),EXACT(H198,"WOS"),EXACT(H198,"Scopus")),(1),(0))</f>
        <v>0</v>
      </c>
      <c r="AM198" s="19">
        <f>IF(OR(EXACT(H198,'Data Base'!$B$21),EXACT(H198,'Data Base'!$B$22)),(1),(0))</f>
        <v>0</v>
      </c>
    </row>
    <row r="199" spans="1:83" ht="20.25" customHeight="1">
      <c r="A199" s="1416" t="s">
        <v>29</v>
      </c>
      <c r="B199" s="1417"/>
      <c r="C199" s="1417"/>
      <c r="D199" s="1418"/>
      <c r="E199" s="514" t="s">
        <v>1001</v>
      </c>
      <c r="F199" s="515"/>
      <c r="G199" s="516" t="s">
        <v>801</v>
      </c>
      <c r="H199" s="517"/>
      <c r="I199" s="516" t="s">
        <v>1002</v>
      </c>
      <c r="J199" s="518"/>
      <c r="K199" s="516" t="s">
        <v>1003</v>
      </c>
      <c r="L199" s="519"/>
      <c r="M199" s="516" t="s">
        <v>1004</v>
      </c>
      <c r="N199" s="520"/>
      <c r="O199" s="1266" t="s">
        <v>55</v>
      </c>
      <c r="P199" s="1419"/>
      <c r="Q199" s="1419"/>
      <c r="R199" s="1419"/>
      <c r="S199" s="1419"/>
      <c r="T199" s="1419"/>
      <c r="U199" s="1415"/>
      <c r="AN199" s="19">
        <f>IF(AND(AA198=1,EXACT(J199,"نفر اول")),(1),(0))</f>
        <v>0</v>
      </c>
      <c r="AO199" s="19">
        <f>IF(AN199=1,R198,0)</f>
        <v>0</v>
      </c>
      <c r="AP199" s="19">
        <f>IF(AND(AA198=1,EXACT(J199,"همكار")),(1),(0))</f>
        <v>0</v>
      </c>
      <c r="AQ199" s="19">
        <f>IF(AP199=1,R198,0)</f>
        <v>0</v>
      </c>
      <c r="AV199" s="19">
        <f>IF((AH198=1),R198,0)</f>
        <v>0</v>
      </c>
      <c r="AW199" s="19">
        <f>IF(AND(EXACT(AN199,"1"),EXACT(AH198,"1")),(1),(0))</f>
        <v>0</v>
      </c>
      <c r="AX199" s="19">
        <f>IF((AW199=1),AV199,0)</f>
        <v>0</v>
      </c>
      <c r="BB199" s="19">
        <f>IF((AI198=1),R198,0)</f>
        <v>0</v>
      </c>
      <c r="BC199" s="19">
        <f>IF(AND(EXACT(AI198,"1"),EXACT(AN199,"1")),(1),(0))</f>
        <v>0</v>
      </c>
      <c r="BD199" s="19">
        <f>IF((BC199=1),BB199,0)</f>
        <v>0</v>
      </c>
      <c r="BH199" s="19">
        <f>IF((AJ198=1),R198,0)</f>
        <v>0</v>
      </c>
      <c r="BI199" s="19">
        <f>IF(AND(EXACT(AJ198,"1"),EXACT(AN199,"1")),(1),(0))</f>
        <v>0</v>
      </c>
      <c r="BJ199" s="19">
        <f>IF((BI199=1),BH199,0)</f>
        <v>0</v>
      </c>
      <c r="BN199" s="19">
        <f>IF((AK198=1),R198,0)</f>
        <v>0</v>
      </c>
      <c r="BO199" s="19">
        <f>IF(AND(EXACT(AK198,"1"),EXACT(AN199,"1")),(1),(0))</f>
        <v>0</v>
      </c>
      <c r="BP199" s="19">
        <f>IF((BO199=1),BN199,0)</f>
        <v>0</v>
      </c>
      <c r="BT199" s="19">
        <f>IF((AL198=1),R198,0)</f>
        <v>0</v>
      </c>
      <c r="BU199" s="19">
        <f>IF(AND(EXACT(AN199,"1"),EXACT(AL198,"1")),(1),(0))</f>
        <v>0</v>
      </c>
      <c r="BV199" s="19">
        <f>IF((BU199=1),BT199,0)</f>
        <v>0</v>
      </c>
      <c r="BZ199" s="19">
        <f>IF((AM198=1),R198,0)</f>
        <v>0</v>
      </c>
      <c r="CA199" s="19">
        <f>IF(AND(EXACT(AM198,"1"),EXACT(AN199,"1")),(1),(0))</f>
        <v>0</v>
      </c>
      <c r="CB199" s="19">
        <f>IF((CA199=1),BZ199,0)</f>
        <v>0</v>
      </c>
    </row>
    <row r="200" spans="1:83" ht="20.25">
      <c r="A200" s="1420" t="s">
        <v>30</v>
      </c>
      <c r="B200" s="1421"/>
      <c r="C200" s="1421"/>
      <c r="D200" s="1422"/>
      <c r="E200" s="536" t="s">
        <v>1001</v>
      </c>
      <c r="F200" s="537"/>
      <c r="G200" s="538" t="s">
        <v>801</v>
      </c>
      <c r="H200" s="539"/>
      <c r="I200" s="538" t="s">
        <v>1002</v>
      </c>
      <c r="J200" s="525"/>
      <c r="K200" s="538" t="s">
        <v>1003</v>
      </c>
      <c r="L200" s="540"/>
      <c r="M200" s="538" t="s">
        <v>1004</v>
      </c>
      <c r="N200" s="541"/>
      <c r="O200" s="1266"/>
      <c r="P200" s="1423"/>
      <c r="Q200" s="1423"/>
      <c r="R200" s="1423"/>
      <c r="S200" s="1423"/>
      <c r="T200" s="1423"/>
      <c r="U200" s="1415"/>
      <c r="AR200" s="19">
        <f>IF(AND(AA198=1,EXACT(J200,"نفر اول")),(1),(0))</f>
        <v>0</v>
      </c>
      <c r="AS200" s="19">
        <f>IF(AR200=1,S198,0)</f>
        <v>0</v>
      </c>
      <c r="AT200" s="19">
        <f>IF(AND(AA198=1,EXACT(J200,"همكار")),(1),(0))</f>
        <v>0</v>
      </c>
      <c r="AU200" s="19">
        <f>IF(AT200=1,S198,0)</f>
        <v>0</v>
      </c>
      <c r="AY200" s="19">
        <f>IF((AH198=1),S198,0)</f>
        <v>0</v>
      </c>
      <c r="AZ200" s="19">
        <f>IF(AND(EXACT(AR200,"1"),EXACT(AH198,"1")),(1),(0))</f>
        <v>0</v>
      </c>
      <c r="BA200" s="19">
        <f>IF((AZ200=1),AY200,0)</f>
        <v>0</v>
      </c>
      <c r="BE200" s="19">
        <f>IF((AI198=1),S198,0)</f>
        <v>0</v>
      </c>
      <c r="BF200" s="19">
        <f>IF(AND(EXACT(AI198,"1"),EXACT(AR200,"1")),(1),(0))</f>
        <v>0</v>
      </c>
      <c r="BG200" s="19">
        <f>IF((BF200=1),BE200,0)</f>
        <v>0</v>
      </c>
      <c r="BK200" s="19">
        <f>IF((AJ198=1),S198,0)</f>
        <v>0</v>
      </c>
      <c r="BL200" s="19">
        <f>IF(AND(EXACT(AJ198,"1"),EXACT(AR200,"1")),(1),(0))</f>
        <v>0</v>
      </c>
      <c r="BM200" s="19">
        <f>IF((BL200=1),BK200,0)</f>
        <v>0</v>
      </c>
      <c r="BQ200" s="19">
        <f>IF((AJ198=1),S198,0)</f>
        <v>0</v>
      </c>
      <c r="BR200" s="19">
        <f>IF(AND(EXACT(AJ198,"1"),EXACT(AR200,"1")),(1),(0))</f>
        <v>0</v>
      </c>
      <c r="BS200" s="19">
        <f>IF((BL200=1),BK200,0)</f>
        <v>0</v>
      </c>
      <c r="BW200" s="19">
        <f>IF((AL198=1),S198,0)</f>
        <v>0</v>
      </c>
      <c r="BX200" s="19">
        <f>IF(AND(EXACT(AL198,"1"),EXACT(AR200,"1")),(1),(0))</f>
        <v>0</v>
      </c>
      <c r="BY200" s="19">
        <f>IF((BX200=1),BW200,0)</f>
        <v>0</v>
      </c>
      <c r="CC200" s="19">
        <f>IF((AM198=1),R198,0)</f>
        <v>0</v>
      </c>
      <c r="CD200" s="19">
        <f>IF(AND(EXACT(AM198,"1"),EXACT(AR200,"1")),(1),(0))</f>
        <v>0</v>
      </c>
      <c r="CE200" s="19">
        <f>IF((CD200=1),CC200,0)</f>
        <v>0</v>
      </c>
    </row>
    <row r="201" spans="1:83" ht="20.25">
      <c r="A201" s="12">
        <f>IF(AA201=0,0,IF(AA198=0,Z201,SUM(A198,AA201)))</f>
        <v>0</v>
      </c>
      <c r="B201" s="1157"/>
      <c r="C201" s="1157"/>
      <c r="D201" s="1157"/>
      <c r="E201" s="1182"/>
      <c r="F201" s="1424"/>
      <c r="G201" s="1424"/>
      <c r="H201" s="527"/>
      <c r="I201" s="528"/>
      <c r="J201" s="529"/>
      <c r="K201" s="530"/>
      <c r="L201" s="531"/>
      <c r="M201" s="532"/>
      <c r="N201" s="533"/>
      <c r="O201" s="532"/>
      <c r="P201" s="1182"/>
      <c r="Q201" s="1182"/>
      <c r="R201" s="534">
        <f t="shared" ref="R201" ca="1" si="248">IF(OR(EXACT(H201,""),EXACT(B201,""),EXACT(F202,""),EXACT(H202,""),EXACT(J202,""),EXACT(L202,""),EXACT(N202,""),EXACT(F201,""),EXACT(J201,""),EXACT(M201,""),EXACT(N201,""),EXACT(O201,""),EXACT(P201,"")),0,IF(OR(EXACT(P202,"مقاله پر استناد"),EXACT(P202,"مقاله داغ"),EXACT(P202,"مستخرج از برنامه تحقيقاتي ملي معطوف به رفع مشكلات كشور")),(1.5*(F202*N202*(IF(EXACT(J202,"نفر اول"),INDIRECT(CONCATENATE("'Data Base'!$d",H202)),INDIRECT(CONCATENATE("'Data Base'!$e",H202))))*((100-L202)/100))),IF(EXACT(P202,"Short Article"),(0.5*(F202*N202*(IF(EXACT(J202,"نفر اول"),INDIRECT(CONCATENATE("'Data Base'!$D",H202)),INDIRECT(CONCATENATE("'Data Base'!$E",H202))))*((100-L202)/100))),IF(EXACT(P202,"چاپ شده در نشريات بسيار پر استناد Nature و Science"),(2*(F202*N202*(IF(EXACT(J202,"نفر اول"),INDIRECT(CONCATENATE("'Data Base'!$D",H202)),INDIRECT(CONCATENATE("'Data Base'!$E",H202))))*((100-L202)/100))),IF(OR(EXACT(P202,"مستخرج از طرح پژوهشي محرمانه"),EXACT(P202,"مشترك با اساتيد دانشگاه خارج از كشور")),(1.2*(F202*N202*(IF(EXACT(J202,"نفر اول"),INDIRECT(CONCATENATE("'Data Base'!$D",H202)),INDIRECT(CONCATENATE("'Data Base'!$E",H202))))*((100-L202)/100))),(F202*N202*(IF(EXACT(J202,"نفر اول"),INDIRECT(CONCATENATE("'Data Base'!$d",H202)),INDIRECT(CONCATENATE("'Data Base'!$e",H202))))*((100-L202)/100)))))))</f>
        <v>0</v>
      </c>
      <c r="S201" s="535">
        <f t="shared" ref="S201" ca="1" si="249">IF(OR(EXACT(H201,""),EXACT(B201,""),EXACT(F203,""),EXACT(H203,""),EXACT(J203,""),EXACT(L203,""),EXACT(N203,""),EXACT(F201,""),EXACT(J201,""),EXACT(M201,""),EXACT(N201,""),EXACT(O201,""),EXACT(P201,"")),0,IF(OR(EXACT(P203,"مقاله پر استناد"),EXACT(P203,"مقاله داغ"),EXACT(P203,"مستخرج از برنامه تحقيقاتي ملي معطوف به رفع مشكلات كشور")),(1.5*(F203*N203*(IF(EXACT(J203,"نفر اول"),INDIRECT(CONCATENATE("'Data Base'!$d",H203)),INDIRECT(CONCATENATE("'Data Base'!$E",H203))))*((100-L203)/100))),IF(EXACT(P203,"Short Article"),(0.5*(F203*N203*(IF(EXACT(J203,"نفر اول"),INDIRECT(CONCATENATE("'Data Base'!$D",H203)),INDIRECT(CONCATENATE("'Data Base'!$E",H203))))*((100-L203)/100))),IF(EXACT(P203,"چاپ شده در نشريات بسيار پر استناد Nature و Science"),(2*(F203*N203*(IF(EXACT(J203,"نفر اول"),INDIRECT(CONCATENATE("'Data Base'!$D",H203)),INDIRECT(CONCATENATE("'Data Base'!$E",H203))))*((100-L203)/100))),IF(OR(EXACT(P203,"مستخرج از طرح پژوهشي محرمانه"),EXACT(P203,"مشترك با اساتيد دانشگاه خارج از كشور")),(1.2*(F203*N203*(IF(EXACT(J203,"نفر اول"),INDIRECT(CONCATENATE("'Data Base'!$D",H203)),INDIRECT(CONCATENATE("'Data Base'!$E",H203))))*((100-L203)/100))),(F203*N203*(IF(EXACT(J203,"نفر اول"),INDIRECT(CONCATENATE("'Data Base'!$D",H203)),INDIRECT(CONCATENATE("'Data Base'!$E",H203))))*((100-L203)/100)))))))</f>
        <v>0</v>
      </c>
      <c r="T201" s="147"/>
      <c r="U201" s="1414"/>
      <c r="Z201" s="19">
        <f>SUM(Z198,AA201)</f>
        <v>0</v>
      </c>
      <c r="AA201" s="19">
        <f>IF(OR(OR(B201="",F201="",H201="",J201="",P201=""),AND(M201="",O201="")),0,1)</f>
        <v>0</v>
      </c>
      <c r="AB201" s="19">
        <f t="shared" ref="AB201" ca="1" si="250">IF(AND(AA201=1,S201&gt;0),1,0)</f>
        <v>0</v>
      </c>
      <c r="AC201" s="19">
        <f t="shared" ref="AC201" ca="1" si="251">IF(AND(AA201=1,S201&lt;1),1,0)</f>
        <v>0</v>
      </c>
      <c r="AD201" s="19">
        <f ca="1">IF(AND(AA201=1,S201&gt;=1,AJ201=1),1,0)</f>
        <v>0</v>
      </c>
      <c r="AE201" s="19">
        <f ca="1">IF(AD201=1,S201,0)</f>
        <v>0</v>
      </c>
      <c r="AF201" s="19">
        <f ca="1">IF(AND(AA201=1,S201&gt;=1,AJ201=1,AR203=1),1,0)</f>
        <v>0</v>
      </c>
      <c r="AG201" s="19">
        <f ca="1">IF(AF201=1,S201,0)</f>
        <v>0</v>
      </c>
      <c r="AH201" s="19">
        <f>IF(OR(EXACT(H201,"JCR-Q1"),EXACT(H201,"JCR-Q2")),(1),(0))</f>
        <v>0</v>
      </c>
      <c r="AI201" s="19">
        <f>IF(OR(EXACT(H201,"JCR-Q1"),EXACT(H201,"JCR-Q2"),EXACT(H201,"JCR-Q3")),(1),(0))</f>
        <v>0</v>
      </c>
      <c r="AJ201" s="19">
        <f>IF(OR(EXACT(H201,"JCR-Q1"),EXACT(H201,"JCR-Q2"),EXACT(H201,"JCR-Q3"),EXACT(H201,"JCR-Q4")),(1),(0))</f>
        <v>0</v>
      </c>
      <c r="AK201" s="19">
        <f>IF(OR(EXACT(H201,"JCR-Q1"),EXACT(H201,"JCR-Q2"),EXACT(H201,"JCR-Q3"),EXACT(H201,"JCR-Q4"),EXACT(H201,"WOS")),(1),(0))</f>
        <v>0</v>
      </c>
      <c r="AL201" s="19">
        <f>IF(OR(EXACT(H201,"JCR-Q1"),EXACT(H201,"JCR-Q2"),EXACT(H201,"JCR-Q3"),EXACT(H201,"JCR-Q4"),EXACT(H201,"WOS"),EXACT(H201,"Scopus")),(1),(0))</f>
        <v>0</v>
      </c>
      <c r="AM201" s="19">
        <f>IF(OR(EXACT(H201,'Data Base'!$B$21),EXACT(H201,'Data Base'!$B$22)),(1),(0))</f>
        <v>0</v>
      </c>
    </row>
    <row r="202" spans="1:83" ht="20.25" customHeight="1">
      <c r="A202" s="1416" t="s">
        <v>29</v>
      </c>
      <c r="B202" s="1417"/>
      <c r="C202" s="1417"/>
      <c r="D202" s="1418"/>
      <c r="E202" s="514" t="s">
        <v>1001</v>
      </c>
      <c r="F202" s="515"/>
      <c r="G202" s="516" t="s">
        <v>801</v>
      </c>
      <c r="H202" s="517"/>
      <c r="I202" s="516" t="s">
        <v>1002</v>
      </c>
      <c r="J202" s="518"/>
      <c r="K202" s="516" t="s">
        <v>1003</v>
      </c>
      <c r="L202" s="519"/>
      <c r="M202" s="516" t="s">
        <v>1004</v>
      </c>
      <c r="N202" s="520"/>
      <c r="O202" s="1266" t="s">
        <v>55</v>
      </c>
      <c r="P202" s="1419"/>
      <c r="Q202" s="1419"/>
      <c r="R202" s="1419"/>
      <c r="S202" s="1419"/>
      <c r="T202" s="1419"/>
      <c r="U202" s="1415"/>
      <c r="AN202" s="19">
        <f>IF(AND(AA201=1,EXACT(J202,"نفر اول")),(1),(0))</f>
        <v>0</v>
      </c>
      <c r="AO202" s="19">
        <f>IF(AN202=1,R201,0)</f>
        <v>0</v>
      </c>
      <c r="AP202" s="19">
        <f>IF(AND(AA201=1,EXACT(J202,"همكار")),(1),(0))</f>
        <v>0</v>
      </c>
      <c r="AQ202" s="19">
        <f>IF(AP202=1,R201,0)</f>
        <v>0</v>
      </c>
      <c r="AV202" s="19">
        <f>IF((AH201=1),R201,0)</f>
        <v>0</v>
      </c>
      <c r="AW202" s="19">
        <f>IF(AND(EXACT(AN202,"1"),EXACT(AH201,"1")),(1),(0))</f>
        <v>0</v>
      </c>
      <c r="AX202" s="19">
        <f>IF((AW202=1),AV202,0)</f>
        <v>0</v>
      </c>
      <c r="BB202" s="19">
        <f>IF((AI201=1),R201,0)</f>
        <v>0</v>
      </c>
      <c r="BC202" s="19">
        <f>IF(AND(EXACT(AI201,"1"),EXACT(AN202,"1")),(1),(0))</f>
        <v>0</v>
      </c>
      <c r="BD202" s="19">
        <f>IF((BC202=1),BB202,0)</f>
        <v>0</v>
      </c>
      <c r="BH202" s="19">
        <f>IF((AJ201=1),R201,0)</f>
        <v>0</v>
      </c>
      <c r="BI202" s="19">
        <f>IF(AND(EXACT(AJ201,"1"),EXACT(AN202,"1")),(1),(0))</f>
        <v>0</v>
      </c>
      <c r="BJ202" s="19">
        <f>IF((BI202=1),BH202,0)</f>
        <v>0</v>
      </c>
      <c r="BN202" s="19">
        <f>IF((AK201=1),R201,0)</f>
        <v>0</v>
      </c>
      <c r="BO202" s="19">
        <f>IF(AND(EXACT(AK201,"1"),EXACT(AN202,"1")),(1),(0))</f>
        <v>0</v>
      </c>
      <c r="BP202" s="19">
        <f>IF((BO202=1),BN202,0)</f>
        <v>0</v>
      </c>
      <c r="BT202" s="19">
        <f>IF((AL201=1),R201,0)</f>
        <v>0</v>
      </c>
      <c r="BU202" s="19">
        <f>IF(AND(EXACT(AN202,"1"),EXACT(AL201,"1")),(1),(0))</f>
        <v>0</v>
      </c>
      <c r="BV202" s="19">
        <f>IF((BU202=1),BT202,0)</f>
        <v>0</v>
      </c>
      <c r="BZ202" s="19">
        <f>IF((AM201=1),R201,0)</f>
        <v>0</v>
      </c>
      <c r="CA202" s="19">
        <f>IF(AND(EXACT(AM201,"1"),EXACT(AN202,"1")),(1),(0))</f>
        <v>0</v>
      </c>
      <c r="CB202" s="19">
        <f>IF((CA202=1),BZ202,0)</f>
        <v>0</v>
      </c>
    </row>
    <row r="203" spans="1:83" ht="20.25">
      <c r="A203" s="1420" t="s">
        <v>30</v>
      </c>
      <c r="B203" s="1421"/>
      <c r="C203" s="1421"/>
      <c r="D203" s="1422"/>
      <c r="E203" s="536" t="s">
        <v>1001</v>
      </c>
      <c r="F203" s="537"/>
      <c r="G203" s="538" t="s">
        <v>801</v>
      </c>
      <c r="H203" s="539"/>
      <c r="I203" s="538" t="s">
        <v>1002</v>
      </c>
      <c r="J203" s="525"/>
      <c r="K203" s="538" t="s">
        <v>1003</v>
      </c>
      <c r="L203" s="540"/>
      <c r="M203" s="538" t="s">
        <v>1004</v>
      </c>
      <c r="N203" s="541"/>
      <c r="O203" s="1266"/>
      <c r="P203" s="1423"/>
      <c r="Q203" s="1423"/>
      <c r="R203" s="1423"/>
      <c r="S203" s="1423"/>
      <c r="T203" s="1423"/>
      <c r="U203" s="1415"/>
      <c r="AR203" s="19">
        <f>IF(AND(AA201=1,EXACT(J203,"نفر اول")),(1),(0))</f>
        <v>0</v>
      </c>
      <c r="AS203" s="19">
        <f>IF(AR203=1,S201,0)</f>
        <v>0</v>
      </c>
      <c r="AT203" s="19">
        <f>IF(AND(AA201=1,EXACT(J203,"همكار")),(1),(0))</f>
        <v>0</v>
      </c>
      <c r="AU203" s="19">
        <f>IF(AT203=1,S201,0)</f>
        <v>0</v>
      </c>
      <c r="AY203" s="19">
        <f>IF((AH201=1),S201,0)</f>
        <v>0</v>
      </c>
      <c r="AZ203" s="19">
        <f>IF(AND(EXACT(AR203,"1"),EXACT(AH201,"1")),(1),(0))</f>
        <v>0</v>
      </c>
      <c r="BA203" s="19">
        <f>IF((AZ203=1),AY203,0)</f>
        <v>0</v>
      </c>
      <c r="BE203" s="19">
        <f>IF((AI201=1),S201,0)</f>
        <v>0</v>
      </c>
      <c r="BF203" s="19">
        <f>IF(AND(EXACT(AI201,"1"),EXACT(AR203,"1")),(1),(0))</f>
        <v>0</v>
      </c>
      <c r="BG203" s="19">
        <f>IF((BF203=1),BE203,0)</f>
        <v>0</v>
      </c>
      <c r="BK203" s="19">
        <f>IF((AJ201=1),S201,0)</f>
        <v>0</v>
      </c>
      <c r="BL203" s="19">
        <f>IF(AND(EXACT(AJ201,"1"),EXACT(AR203,"1")),(1),(0))</f>
        <v>0</v>
      </c>
      <c r="BM203" s="19">
        <f>IF((BL203=1),BK203,0)</f>
        <v>0</v>
      </c>
      <c r="BQ203" s="19">
        <f>IF((AJ201=1),S201,0)</f>
        <v>0</v>
      </c>
      <c r="BR203" s="19">
        <f>IF(AND(EXACT(AJ201,"1"),EXACT(AR203,"1")),(1),(0))</f>
        <v>0</v>
      </c>
      <c r="BS203" s="19">
        <f>IF((BL203=1),BK203,0)</f>
        <v>0</v>
      </c>
      <c r="BW203" s="19">
        <f>IF((AL201=1),S201,0)</f>
        <v>0</v>
      </c>
      <c r="BX203" s="19">
        <f>IF(AND(EXACT(AL201,"1"),EXACT(AR203,"1")),(1),(0))</f>
        <v>0</v>
      </c>
      <c r="BY203" s="19">
        <f>IF((BX203=1),BW203,0)</f>
        <v>0</v>
      </c>
      <c r="CC203" s="19">
        <f>IF((AM201=1),R201,0)</f>
        <v>0</v>
      </c>
      <c r="CD203" s="19">
        <f>IF(AND(EXACT(AM201,"1"),EXACT(AR203,"1")),(1),(0))</f>
        <v>0</v>
      </c>
      <c r="CE203" s="19">
        <f>IF((CD203=1),CC203,0)</f>
        <v>0</v>
      </c>
    </row>
    <row r="204" spans="1:83" ht="20.25">
      <c r="A204" s="12">
        <f>IF(AA204=0,0,IF(AA201=0,Z204,SUM(A201,AA204)))</f>
        <v>0</v>
      </c>
      <c r="B204" s="1157"/>
      <c r="C204" s="1157"/>
      <c r="D204" s="1157"/>
      <c r="E204" s="1182"/>
      <c r="F204" s="1424"/>
      <c r="G204" s="1424"/>
      <c r="H204" s="527"/>
      <c r="I204" s="528"/>
      <c r="J204" s="529"/>
      <c r="K204" s="530"/>
      <c r="L204" s="531"/>
      <c r="M204" s="532"/>
      <c r="N204" s="533"/>
      <c r="O204" s="532"/>
      <c r="P204" s="1182"/>
      <c r="Q204" s="1182"/>
      <c r="R204" s="534">
        <f t="shared" ref="R204" ca="1" si="252">IF(OR(EXACT(H204,""),EXACT(B204,""),EXACT(F205,""),EXACT(H205,""),EXACT(J205,""),EXACT(L205,""),EXACT(N205,""),EXACT(F204,""),EXACT(J204,""),EXACT(M204,""),EXACT(N204,""),EXACT(O204,""),EXACT(P204,"")),0,IF(OR(EXACT(P205,"مقاله پر استناد"),EXACT(P205,"مقاله داغ"),EXACT(P205,"مستخرج از برنامه تحقيقاتي ملي معطوف به رفع مشكلات كشور")),(1.5*(F205*N205*(IF(EXACT(J205,"نفر اول"),INDIRECT(CONCATENATE("'Data Base'!$d",H205)),INDIRECT(CONCATENATE("'Data Base'!$e",H205))))*((100-L205)/100))),IF(EXACT(P205,"Short Article"),(0.5*(F205*N205*(IF(EXACT(J205,"نفر اول"),INDIRECT(CONCATENATE("'Data Base'!$D",H205)),INDIRECT(CONCATENATE("'Data Base'!$E",H205))))*((100-L205)/100))),IF(EXACT(P205,"چاپ شده در نشريات بسيار پر استناد Nature و Science"),(2*(F205*N205*(IF(EXACT(J205,"نفر اول"),INDIRECT(CONCATENATE("'Data Base'!$D",H205)),INDIRECT(CONCATENATE("'Data Base'!$E",H205))))*((100-L205)/100))),IF(OR(EXACT(P205,"مستخرج از طرح پژوهشي محرمانه"),EXACT(P205,"مشترك با اساتيد دانشگاه خارج از كشور")),(1.2*(F205*N205*(IF(EXACT(J205,"نفر اول"),INDIRECT(CONCATENATE("'Data Base'!$D",H205)),INDIRECT(CONCATENATE("'Data Base'!$E",H205))))*((100-L205)/100))),(F205*N205*(IF(EXACT(J205,"نفر اول"),INDIRECT(CONCATENATE("'Data Base'!$d",H205)),INDIRECT(CONCATENATE("'Data Base'!$e",H205))))*((100-L205)/100)))))))</f>
        <v>0</v>
      </c>
      <c r="S204" s="535">
        <f t="shared" ref="S204" ca="1" si="253">IF(OR(EXACT(H204,""),EXACT(B204,""),EXACT(F206,""),EXACT(H206,""),EXACT(J206,""),EXACT(L206,""),EXACT(N206,""),EXACT(F204,""),EXACT(J204,""),EXACT(M204,""),EXACT(N204,""),EXACT(O204,""),EXACT(P204,"")),0,IF(OR(EXACT(P206,"مقاله پر استناد"),EXACT(P206,"مقاله داغ"),EXACT(P206,"مستخرج از برنامه تحقيقاتي ملي معطوف به رفع مشكلات كشور")),(1.5*(F206*N206*(IF(EXACT(J206,"نفر اول"),INDIRECT(CONCATENATE("'Data Base'!$d",H206)),INDIRECT(CONCATENATE("'Data Base'!$E",H206))))*((100-L206)/100))),IF(EXACT(P206,"Short Article"),(0.5*(F206*N206*(IF(EXACT(J206,"نفر اول"),INDIRECT(CONCATENATE("'Data Base'!$D",H206)),INDIRECT(CONCATENATE("'Data Base'!$E",H206))))*((100-L206)/100))),IF(EXACT(P206,"چاپ شده در نشريات بسيار پر استناد Nature و Science"),(2*(F206*N206*(IF(EXACT(J206,"نفر اول"),INDIRECT(CONCATENATE("'Data Base'!$D",H206)),INDIRECT(CONCATENATE("'Data Base'!$E",H206))))*((100-L206)/100))),IF(OR(EXACT(P206,"مستخرج از طرح پژوهشي محرمانه"),EXACT(P206,"مشترك با اساتيد دانشگاه خارج از كشور")),(1.2*(F206*N206*(IF(EXACT(J206,"نفر اول"),INDIRECT(CONCATENATE("'Data Base'!$D",H206)),INDIRECT(CONCATENATE("'Data Base'!$E",H206))))*((100-L206)/100))),(F206*N206*(IF(EXACT(J206,"نفر اول"),INDIRECT(CONCATENATE("'Data Base'!$D",H206)),INDIRECT(CONCATENATE("'Data Base'!$E",H206))))*((100-L206)/100)))))))</f>
        <v>0</v>
      </c>
      <c r="T204" s="147"/>
      <c r="U204" s="1414"/>
      <c r="Z204" s="19">
        <f>SUM(Z201,AA204)</f>
        <v>0</v>
      </c>
      <c r="AA204" s="19">
        <f>IF(OR(OR(B204="",F204="",H204="",J204="",P204=""),AND(M204="",O204="")),0,1)</f>
        <v>0</v>
      </c>
      <c r="AB204" s="19">
        <f t="shared" ref="AB204" ca="1" si="254">IF(AND(AA204=1,S204&gt;0),1,0)</f>
        <v>0</v>
      </c>
      <c r="AC204" s="19">
        <f t="shared" ref="AC204" ca="1" si="255">IF(AND(AA204=1,S204&lt;1),1,0)</f>
        <v>0</v>
      </c>
      <c r="AD204" s="19">
        <f ca="1">IF(AND(AA204=1,S204&gt;=1,AJ204=1),1,0)</f>
        <v>0</v>
      </c>
      <c r="AE204" s="19">
        <f ca="1">IF(AD204=1,S204,0)</f>
        <v>0</v>
      </c>
      <c r="AF204" s="19">
        <f ca="1">IF(AND(AA204=1,S204&gt;=1,AJ204=1,AR206=1),1,0)</f>
        <v>0</v>
      </c>
      <c r="AG204" s="19">
        <f ca="1">IF(AF204=1,S204,0)</f>
        <v>0</v>
      </c>
      <c r="AH204" s="19">
        <f>IF(OR(EXACT(H204,"JCR-Q1"),EXACT(H204,"JCR-Q2")),(1),(0))</f>
        <v>0</v>
      </c>
      <c r="AI204" s="19">
        <f>IF(OR(EXACT(H204,"JCR-Q1"),EXACT(H204,"JCR-Q2"),EXACT(H204,"JCR-Q3")),(1),(0))</f>
        <v>0</v>
      </c>
      <c r="AJ204" s="19">
        <f>IF(OR(EXACT(H204,"JCR-Q1"),EXACT(H204,"JCR-Q2"),EXACT(H204,"JCR-Q3"),EXACT(H204,"JCR-Q4")),(1),(0))</f>
        <v>0</v>
      </c>
      <c r="AK204" s="19">
        <f>IF(OR(EXACT(H204,"JCR-Q1"),EXACT(H204,"JCR-Q2"),EXACT(H204,"JCR-Q3"),EXACT(H204,"JCR-Q4"),EXACT(H204,"WOS")),(1),(0))</f>
        <v>0</v>
      </c>
      <c r="AL204" s="19">
        <f>IF(OR(EXACT(H204,"JCR-Q1"),EXACT(H204,"JCR-Q2"),EXACT(H204,"JCR-Q3"),EXACT(H204,"JCR-Q4"),EXACT(H204,"WOS"),EXACT(H204,"Scopus")),(1),(0))</f>
        <v>0</v>
      </c>
      <c r="AM204" s="19">
        <f>IF(OR(EXACT(H204,'Data Base'!$B$21),EXACT(H204,'Data Base'!$B$22)),(1),(0))</f>
        <v>0</v>
      </c>
    </row>
    <row r="205" spans="1:83" ht="20.25" customHeight="1">
      <c r="A205" s="1416" t="s">
        <v>29</v>
      </c>
      <c r="B205" s="1417"/>
      <c r="C205" s="1417"/>
      <c r="D205" s="1418"/>
      <c r="E205" s="514" t="s">
        <v>1001</v>
      </c>
      <c r="F205" s="515"/>
      <c r="G205" s="516" t="s">
        <v>801</v>
      </c>
      <c r="H205" s="517"/>
      <c r="I205" s="516" t="s">
        <v>1002</v>
      </c>
      <c r="J205" s="518"/>
      <c r="K205" s="516" t="s">
        <v>1003</v>
      </c>
      <c r="L205" s="519"/>
      <c r="M205" s="516" t="s">
        <v>1004</v>
      </c>
      <c r="N205" s="520"/>
      <c r="O205" s="1266" t="s">
        <v>55</v>
      </c>
      <c r="P205" s="1419"/>
      <c r="Q205" s="1419"/>
      <c r="R205" s="1419"/>
      <c r="S205" s="1419"/>
      <c r="T205" s="1419"/>
      <c r="U205" s="1415"/>
      <c r="AN205" s="19">
        <f>IF(AND(AA204=1,EXACT(J205,"نفر اول")),(1),(0))</f>
        <v>0</v>
      </c>
      <c r="AO205" s="19">
        <f>IF(AN205=1,R204,0)</f>
        <v>0</v>
      </c>
      <c r="AP205" s="19">
        <f>IF(AND(AA204=1,EXACT(J205,"همكار")),(1),(0))</f>
        <v>0</v>
      </c>
      <c r="AQ205" s="19">
        <f>IF(AP205=1,R204,0)</f>
        <v>0</v>
      </c>
      <c r="AV205" s="19">
        <f>IF((AH204=1),R204,0)</f>
        <v>0</v>
      </c>
      <c r="AW205" s="19">
        <f>IF(AND(EXACT(AN205,"1"),EXACT(AH204,"1")),(1),(0))</f>
        <v>0</v>
      </c>
      <c r="AX205" s="19">
        <f>IF((AW205=1),AV205,0)</f>
        <v>0</v>
      </c>
      <c r="BB205" s="19">
        <f>IF((AI204=1),R204,0)</f>
        <v>0</v>
      </c>
      <c r="BC205" s="19">
        <f>IF(AND(EXACT(AI204,"1"),EXACT(AN205,"1")),(1),(0))</f>
        <v>0</v>
      </c>
      <c r="BD205" s="19">
        <f>IF((BC205=1),BB205,0)</f>
        <v>0</v>
      </c>
      <c r="BH205" s="19">
        <f>IF((AJ204=1),R204,0)</f>
        <v>0</v>
      </c>
      <c r="BI205" s="19">
        <f>IF(AND(EXACT(AJ204,"1"),EXACT(AN205,"1")),(1),(0))</f>
        <v>0</v>
      </c>
      <c r="BJ205" s="19">
        <f>IF((BI205=1),BH205,0)</f>
        <v>0</v>
      </c>
      <c r="BN205" s="19">
        <f>IF((AK204=1),R204,0)</f>
        <v>0</v>
      </c>
      <c r="BO205" s="19">
        <f>IF(AND(EXACT(AK204,"1"),EXACT(AN205,"1")),(1),(0))</f>
        <v>0</v>
      </c>
      <c r="BP205" s="19">
        <f>IF((BO205=1),BN205,0)</f>
        <v>0</v>
      </c>
      <c r="BT205" s="19">
        <f>IF((AL204=1),R204,0)</f>
        <v>0</v>
      </c>
      <c r="BU205" s="19">
        <f>IF(AND(EXACT(AN205,"1"),EXACT(AL204,"1")),(1),(0))</f>
        <v>0</v>
      </c>
      <c r="BV205" s="19">
        <f>IF((BU205=1),BT205,0)</f>
        <v>0</v>
      </c>
      <c r="BZ205" s="19">
        <f>IF((AM204=1),R204,0)</f>
        <v>0</v>
      </c>
      <c r="CA205" s="19">
        <f>IF(AND(EXACT(AM204,"1"),EXACT(AN205,"1")),(1),(0))</f>
        <v>0</v>
      </c>
      <c r="CB205" s="19">
        <f>IF((CA205=1),BZ205,0)</f>
        <v>0</v>
      </c>
    </row>
    <row r="206" spans="1:83" ht="20.25">
      <c r="A206" s="1420" t="s">
        <v>30</v>
      </c>
      <c r="B206" s="1421"/>
      <c r="C206" s="1421"/>
      <c r="D206" s="1422"/>
      <c r="E206" s="536" t="s">
        <v>1001</v>
      </c>
      <c r="F206" s="537"/>
      <c r="G206" s="538" t="s">
        <v>801</v>
      </c>
      <c r="H206" s="539"/>
      <c r="I206" s="538" t="s">
        <v>1002</v>
      </c>
      <c r="J206" s="525"/>
      <c r="K206" s="538" t="s">
        <v>1003</v>
      </c>
      <c r="L206" s="540"/>
      <c r="M206" s="538" t="s">
        <v>1004</v>
      </c>
      <c r="N206" s="541"/>
      <c r="O206" s="1266"/>
      <c r="P206" s="1423"/>
      <c r="Q206" s="1423"/>
      <c r="R206" s="1423"/>
      <c r="S206" s="1423"/>
      <c r="T206" s="1423"/>
      <c r="U206" s="1415"/>
      <c r="AR206" s="19">
        <f>IF(AND(AA204=1,EXACT(J206,"نفر اول")),(1),(0))</f>
        <v>0</v>
      </c>
      <c r="AS206" s="19">
        <f>IF(AR206=1,S204,0)</f>
        <v>0</v>
      </c>
      <c r="AT206" s="19">
        <f>IF(AND(AA204=1,EXACT(J206,"همكار")),(1),(0))</f>
        <v>0</v>
      </c>
      <c r="AU206" s="19">
        <f>IF(AT206=1,S204,0)</f>
        <v>0</v>
      </c>
      <c r="AY206" s="19">
        <f>IF((AH204=1),S204,0)</f>
        <v>0</v>
      </c>
      <c r="AZ206" s="19">
        <f>IF(AND(EXACT(AR206,"1"),EXACT(AH204,"1")),(1),(0))</f>
        <v>0</v>
      </c>
      <c r="BA206" s="19">
        <f>IF((AZ206=1),AY206,0)</f>
        <v>0</v>
      </c>
      <c r="BE206" s="19">
        <f>IF((AI204=1),S204,0)</f>
        <v>0</v>
      </c>
      <c r="BF206" s="19">
        <f>IF(AND(EXACT(AI204,"1"),EXACT(AR206,"1")),(1),(0))</f>
        <v>0</v>
      </c>
      <c r="BG206" s="19">
        <f>IF((BF206=1),BE206,0)</f>
        <v>0</v>
      </c>
      <c r="BK206" s="19">
        <f>IF((AJ204=1),S204,0)</f>
        <v>0</v>
      </c>
      <c r="BL206" s="19">
        <f>IF(AND(EXACT(AJ204,"1"),EXACT(AR206,"1")),(1),(0))</f>
        <v>0</v>
      </c>
      <c r="BM206" s="19">
        <f>IF((BL206=1),BK206,0)</f>
        <v>0</v>
      </c>
      <c r="BQ206" s="19">
        <f>IF((AJ204=1),S204,0)</f>
        <v>0</v>
      </c>
      <c r="BR206" s="19">
        <f>IF(AND(EXACT(AJ204,"1"),EXACT(AR206,"1")),(1),(0))</f>
        <v>0</v>
      </c>
      <c r="BS206" s="19">
        <f>IF((BL206=1),BK206,0)</f>
        <v>0</v>
      </c>
      <c r="BW206" s="19">
        <f>IF((AL204=1),S204,0)</f>
        <v>0</v>
      </c>
      <c r="BX206" s="19">
        <f>IF(AND(EXACT(AL204,"1"),EXACT(AR206,"1")),(1),(0))</f>
        <v>0</v>
      </c>
      <c r="BY206" s="19">
        <f>IF((BX206=1),BW206,0)</f>
        <v>0</v>
      </c>
      <c r="CC206" s="19">
        <f>IF((AM204=1),R204,0)</f>
        <v>0</v>
      </c>
      <c r="CD206" s="19">
        <f>IF(AND(EXACT(AM204,"1"),EXACT(AR206,"1")),(1),(0))</f>
        <v>0</v>
      </c>
      <c r="CE206" s="19">
        <f>IF((CD206=1),CC206,0)</f>
        <v>0</v>
      </c>
    </row>
    <row r="207" spans="1:83" ht="20.25">
      <c r="A207" s="12">
        <f>IF(AA207=0,0,IF(AA204=0,Z207,SUM(A204,AA207)))</f>
        <v>0</v>
      </c>
      <c r="B207" s="1157"/>
      <c r="C207" s="1157"/>
      <c r="D207" s="1157"/>
      <c r="E207" s="1182"/>
      <c r="F207" s="1424"/>
      <c r="G207" s="1424"/>
      <c r="H207" s="527"/>
      <c r="I207" s="528"/>
      <c r="J207" s="529"/>
      <c r="K207" s="530"/>
      <c r="L207" s="531"/>
      <c r="M207" s="532"/>
      <c r="N207" s="533"/>
      <c r="O207" s="532"/>
      <c r="P207" s="1182"/>
      <c r="Q207" s="1182"/>
      <c r="R207" s="534">
        <f t="shared" ref="R207" ca="1" si="256">IF(OR(EXACT(H207,""),EXACT(B207,""),EXACT(F208,""),EXACT(H208,""),EXACT(J208,""),EXACT(L208,""),EXACT(N208,""),EXACT(F207,""),EXACT(J207,""),EXACT(M207,""),EXACT(N207,""),EXACT(O207,""),EXACT(P207,"")),0,IF(OR(EXACT(P208,"مقاله پر استناد"),EXACT(P208,"مقاله داغ"),EXACT(P208,"مستخرج از برنامه تحقيقاتي ملي معطوف به رفع مشكلات كشور")),(1.5*(F208*N208*(IF(EXACT(J208,"نفر اول"),INDIRECT(CONCATENATE("'Data Base'!$d",H208)),INDIRECT(CONCATENATE("'Data Base'!$e",H208))))*((100-L208)/100))),IF(EXACT(P208,"Short Article"),(0.5*(F208*N208*(IF(EXACT(J208,"نفر اول"),INDIRECT(CONCATENATE("'Data Base'!$D",H208)),INDIRECT(CONCATENATE("'Data Base'!$E",H208))))*((100-L208)/100))),IF(EXACT(P208,"چاپ شده در نشريات بسيار پر استناد Nature و Science"),(2*(F208*N208*(IF(EXACT(J208,"نفر اول"),INDIRECT(CONCATENATE("'Data Base'!$D",H208)),INDIRECT(CONCATENATE("'Data Base'!$E",H208))))*((100-L208)/100))),IF(OR(EXACT(P208,"مستخرج از طرح پژوهشي محرمانه"),EXACT(P208,"مشترك با اساتيد دانشگاه خارج از كشور")),(1.2*(F208*N208*(IF(EXACT(J208,"نفر اول"),INDIRECT(CONCATENATE("'Data Base'!$D",H208)),INDIRECT(CONCATENATE("'Data Base'!$E",H208))))*((100-L208)/100))),(F208*N208*(IF(EXACT(J208,"نفر اول"),INDIRECT(CONCATENATE("'Data Base'!$d",H208)),INDIRECT(CONCATENATE("'Data Base'!$e",H208))))*((100-L208)/100)))))))</f>
        <v>0</v>
      </c>
      <c r="S207" s="535">
        <f t="shared" ref="S207" ca="1" si="257">IF(OR(EXACT(H207,""),EXACT(B207,""),EXACT(F209,""),EXACT(H209,""),EXACT(J209,""),EXACT(L209,""),EXACT(N209,""),EXACT(F207,""),EXACT(J207,""),EXACT(M207,""),EXACT(N207,""),EXACT(O207,""),EXACT(P207,"")),0,IF(OR(EXACT(P209,"مقاله پر استناد"),EXACT(P209,"مقاله داغ"),EXACT(P209,"مستخرج از برنامه تحقيقاتي ملي معطوف به رفع مشكلات كشور")),(1.5*(F209*N209*(IF(EXACT(J209,"نفر اول"),INDIRECT(CONCATENATE("'Data Base'!$d",H209)),INDIRECT(CONCATENATE("'Data Base'!$E",H209))))*((100-L209)/100))),IF(EXACT(P209,"Short Article"),(0.5*(F209*N209*(IF(EXACT(J209,"نفر اول"),INDIRECT(CONCATENATE("'Data Base'!$D",H209)),INDIRECT(CONCATENATE("'Data Base'!$E",H209))))*((100-L209)/100))),IF(EXACT(P209,"چاپ شده در نشريات بسيار پر استناد Nature و Science"),(2*(F209*N209*(IF(EXACT(J209,"نفر اول"),INDIRECT(CONCATENATE("'Data Base'!$D",H209)),INDIRECT(CONCATENATE("'Data Base'!$E",H209))))*((100-L209)/100))),IF(OR(EXACT(P209,"مستخرج از طرح پژوهشي محرمانه"),EXACT(P209,"مشترك با اساتيد دانشگاه خارج از كشور")),(1.2*(F209*N209*(IF(EXACT(J209,"نفر اول"),INDIRECT(CONCATENATE("'Data Base'!$D",H209)),INDIRECT(CONCATENATE("'Data Base'!$E",H209))))*((100-L209)/100))),(F209*N209*(IF(EXACT(J209,"نفر اول"),INDIRECT(CONCATENATE("'Data Base'!$D",H209)),INDIRECT(CONCATENATE("'Data Base'!$E",H209))))*((100-L209)/100)))))))</f>
        <v>0</v>
      </c>
      <c r="T207" s="147"/>
      <c r="U207" s="1414"/>
      <c r="Z207" s="19">
        <f>SUM(Z204,AA207)</f>
        <v>0</v>
      </c>
      <c r="AA207" s="19">
        <f>IF(OR(OR(B207="",F207="",H207="",J207="",P207=""),AND(M207="",O207="")),0,1)</f>
        <v>0</v>
      </c>
      <c r="AB207" s="19">
        <f t="shared" ref="AB207" ca="1" si="258">IF(AND(AA207=1,S207&gt;0),1,0)</f>
        <v>0</v>
      </c>
      <c r="AC207" s="19">
        <f t="shared" ref="AC207" ca="1" si="259">IF(AND(AA207=1,S207&lt;1),1,0)</f>
        <v>0</v>
      </c>
      <c r="AD207" s="19">
        <f ca="1">IF(AND(AA207=1,S207&gt;=1,AJ207=1),1,0)</f>
        <v>0</v>
      </c>
      <c r="AE207" s="19">
        <f ca="1">IF(AD207=1,S207,0)</f>
        <v>0</v>
      </c>
      <c r="AF207" s="19">
        <f ca="1">IF(AND(AA207=1,S207&gt;=1,AJ207=1,AR209=1),1,0)</f>
        <v>0</v>
      </c>
      <c r="AG207" s="19">
        <f ca="1">IF(AF207=1,S207,0)</f>
        <v>0</v>
      </c>
      <c r="AH207" s="19">
        <f>IF(OR(EXACT(H207,"JCR-Q1"),EXACT(H207,"JCR-Q2")),(1),(0))</f>
        <v>0</v>
      </c>
      <c r="AI207" s="19">
        <f>IF(OR(EXACT(H207,"JCR-Q1"),EXACT(H207,"JCR-Q2"),EXACT(H207,"JCR-Q3")),(1),(0))</f>
        <v>0</v>
      </c>
      <c r="AJ207" s="19">
        <f>IF(OR(EXACT(H207,"JCR-Q1"),EXACT(H207,"JCR-Q2"),EXACT(H207,"JCR-Q3"),EXACT(H207,"JCR-Q4")),(1),(0))</f>
        <v>0</v>
      </c>
      <c r="AK207" s="19">
        <f>IF(OR(EXACT(H207,"JCR-Q1"),EXACT(H207,"JCR-Q2"),EXACT(H207,"JCR-Q3"),EXACT(H207,"JCR-Q4"),EXACT(H207,"WOS")),(1),(0))</f>
        <v>0</v>
      </c>
      <c r="AL207" s="19">
        <f>IF(OR(EXACT(H207,"JCR-Q1"),EXACT(H207,"JCR-Q2"),EXACT(H207,"JCR-Q3"),EXACT(H207,"JCR-Q4"),EXACT(H207,"WOS"),EXACT(H207,"Scopus")),(1),(0))</f>
        <v>0</v>
      </c>
      <c r="AM207" s="19">
        <f>IF(OR(EXACT(H207,'Data Base'!$B$21),EXACT(H207,'Data Base'!$B$22)),(1),(0))</f>
        <v>0</v>
      </c>
    </row>
    <row r="208" spans="1:83" ht="20.25" customHeight="1">
      <c r="A208" s="1416" t="s">
        <v>29</v>
      </c>
      <c r="B208" s="1417"/>
      <c r="C208" s="1417"/>
      <c r="D208" s="1418"/>
      <c r="E208" s="514" t="s">
        <v>1001</v>
      </c>
      <c r="F208" s="515"/>
      <c r="G208" s="516" t="s">
        <v>801</v>
      </c>
      <c r="H208" s="517"/>
      <c r="I208" s="516" t="s">
        <v>1002</v>
      </c>
      <c r="J208" s="518"/>
      <c r="K208" s="516" t="s">
        <v>1003</v>
      </c>
      <c r="L208" s="519"/>
      <c r="M208" s="516" t="s">
        <v>1004</v>
      </c>
      <c r="N208" s="520"/>
      <c r="O208" s="1266" t="s">
        <v>55</v>
      </c>
      <c r="P208" s="1419"/>
      <c r="Q208" s="1419"/>
      <c r="R208" s="1419"/>
      <c r="S208" s="1419"/>
      <c r="T208" s="1419"/>
      <c r="U208" s="1415"/>
      <c r="AN208" s="19">
        <f>IF(AND(AA207=1,EXACT(J208,"نفر اول")),(1),(0))</f>
        <v>0</v>
      </c>
      <c r="AO208" s="19">
        <f>IF(AN208=1,R207,0)</f>
        <v>0</v>
      </c>
      <c r="AP208" s="19">
        <f>IF(AND(AA207=1,EXACT(J208,"همكار")),(1),(0))</f>
        <v>0</v>
      </c>
      <c r="AQ208" s="19">
        <f>IF(AP208=1,R207,0)</f>
        <v>0</v>
      </c>
      <c r="AV208" s="19">
        <f>IF((AH207=1),R207,0)</f>
        <v>0</v>
      </c>
      <c r="AW208" s="19">
        <f>IF(AND(EXACT(AN208,"1"),EXACT(AH207,"1")),(1),(0))</f>
        <v>0</v>
      </c>
      <c r="AX208" s="19">
        <f>IF((AW208=1),AV208,0)</f>
        <v>0</v>
      </c>
      <c r="BB208" s="19">
        <f>IF((AI207=1),R207,0)</f>
        <v>0</v>
      </c>
      <c r="BC208" s="19">
        <f>IF(AND(EXACT(AI207,"1"),EXACT(AN208,"1")),(1),(0))</f>
        <v>0</v>
      </c>
      <c r="BD208" s="19">
        <f>IF((BC208=1),BB208,0)</f>
        <v>0</v>
      </c>
      <c r="BH208" s="19">
        <f>IF((AJ207=1),R207,0)</f>
        <v>0</v>
      </c>
      <c r="BI208" s="19">
        <f>IF(AND(EXACT(AJ207,"1"),EXACT(AN208,"1")),(1),(0))</f>
        <v>0</v>
      </c>
      <c r="BJ208" s="19">
        <f>IF((BI208=1),BH208,0)</f>
        <v>0</v>
      </c>
      <c r="BN208" s="19">
        <f>IF((AK207=1),R207,0)</f>
        <v>0</v>
      </c>
      <c r="BO208" s="19">
        <f>IF(AND(EXACT(AK207,"1"),EXACT(AN208,"1")),(1),(0))</f>
        <v>0</v>
      </c>
      <c r="BP208" s="19">
        <f>IF((BO208=1),BN208,0)</f>
        <v>0</v>
      </c>
      <c r="BT208" s="19">
        <f>IF((AL207=1),R207,0)</f>
        <v>0</v>
      </c>
      <c r="BU208" s="19">
        <f>IF(AND(EXACT(AN208,"1"),EXACT(AL207,"1")),(1),(0))</f>
        <v>0</v>
      </c>
      <c r="BV208" s="19">
        <f>IF((BU208=1),BT208,0)</f>
        <v>0</v>
      </c>
      <c r="BZ208" s="19">
        <f>IF((AM207=1),R207,0)</f>
        <v>0</v>
      </c>
      <c r="CA208" s="19">
        <f>IF(AND(EXACT(AM207,"1"),EXACT(AN208,"1")),(1),(0))</f>
        <v>0</v>
      </c>
      <c r="CB208" s="19">
        <f>IF((CA208=1),BZ208,0)</f>
        <v>0</v>
      </c>
    </row>
    <row r="209" spans="1:83" ht="20.25">
      <c r="A209" s="1420" t="s">
        <v>30</v>
      </c>
      <c r="B209" s="1421"/>
      <c r="C209" s="1421"/>
      <c r="D209" s="1422"/>
      <c r="E209" s="536" t="s">
        <v>1001</v>
      </c>
      <c r="F209" s="537"/>
      <c r="G209" s="538" t="s">
        <v>801</v>
      </c>
      <c r="H209" s="539"/>
      <c r="I209" s="538" t="s">
        <v>1002</v>
      </c>
      <c r="J209" s="525"/>
      <c r="K209" s="538" t="s">
        <v>1003</v>
      </c>
      <c r="L209" s="540"/>
      <c r="M209" s="538" t="s">
        <v>1004</v>
      </c>
      <c r="N209" s="541"/>
      <c r="O209" s="1266"/>
      <c r="P209" s="1423"/>
      <c r="Q209" s="1423"/>
      <c r="R209" s="1423"/>
      <c r="S209" s="1423"/>
      <c r="T209" s="1423"/>
      <c r="U209" s="1415"/>
      <c r="AR209" s="19">
        <f>IF(AND(AA207=1,EXACT(J209,"نفر اول")),(1),(0))</f>
        <v>0</v>
      </c>
      <c r="AS209" s="19">
        <f>IF(AR209=1,S207,0)</f>
        <v>0</v>
      </c>
      <c r="AT209" s="19">
        <f>IF(AND(AA207=1,EXACT(J209,"همكار")),(1),(0))</f>
        <v>0</v>
      </c>
      <c r="AU209" s="19">
        <f>IF(AT209=1,S207,0)</f>
        <v>0</v>
      </c>
      <c r="AY209" s="19">
        <f>IF((AH207=1),S207,0)</f>
        <v>0</v>
      </c>
      <c r="AZ209" s="19">
        <f>IF(AND(EXACT(AR209,"1"),EXACT(AH207,"1")),(1),(0))</f>
        <v>0</v>
      </c>
      <c r="BA209" s="19">
        <f>IF((AZ209=1),AY209,0)</f>
        <v>0</v>
      </c>
      <c r="BE209" s="19">
        <f>IF((AI207=1),S207,0)</f>
        <v>0</v>
      </c>
      <c r="BF209" s="19">
        <f>IF(AND(EXACT(AI207,"1"),EXACT(AR209,"1")),(1),(0))</f>
        <v>0</v>
      </c>
      <c r="BG209" s="19">
        <f>IF((BF209=1),BE209,0)</f>
        <v>0</v>
      </c>
      <c r="BK209" s="19">
        <f>IF((AJ207=1),S207,0)</f>
        <v>0</v>
      </c>
      <c r="BL209" s="19">
        <f>IF(AND(EXACT(AJ207,"1"),EXACT(AR209,"1")),(1),(0))</f>
        <v>0</v>
      </c>
      <c r="BM209" s="19">
        <f>IF((BL209=1),BK209,0)</f>
        <v>0</v>
      </c>
      <c r="BQ209" s="19">
        <f>IF((AJ207=1),S207,0)</f>
        <v>0</v>
      </c>
      <c r="BR209" s="19">
        <f>IF(AND(EXACT(AJ207,"1"),EXACT(AR209,"1")),(1),(0))</f>
        <v>0</v>
      </c>
      <c r="BS209" s="19">
        <f>IF((BL209=1),BK209,0)</f>
        <v>0</v>
      </c>
      <c r="BW209" s="19">
        <f>IF((AL207=1),S207,0)</f>
        <v>0</v>
      </c>
      <c r="BX209" s="19">
        <f>IF(AND(EXACT(AL207,"1"),EXACT(AR209,"1")),(1),(0))</f>
        <v>0</v>
      </c>
      <c r="BY209" s="19">
        <f>IF((BX209=1),BW209,0)</f>
        <v>0</v>
      </c>
      <c r="CC209" s="19">
        <f>IF((AM207=1),R207,0)</f>
        <v>0</v>
      </c>
      <c r="CD209" s="19">
        <f>IF(AND(EXACT(AM207,"1"),EXACT(AR209,"1")),(1),(0))</f>
        <v>0</v>
      </c>
      <c r="CE209" s="19">
        <f>IF((CD209=1),CC209,0)</f>
        <v>0</v>
      </c>
    </row>
    <row r="210" spans="1:83" ht="20.25">
      <c r="A210" s="12">
        <f>IF(AA210=0,0,IF(AA207=0,Z210,SUM(A207,AA210)))</f>
        <v>0</v>
      </c>
      <c r="B210" s="1157"/>
      <c r="C210" s="1157"/>
      <c r="D210" s="1157"/>
      <c r="E210" s="1182"/>
      <c r="F210" s="1424"/>
      <c r="G210" s="1424"/>
      <c r="H210" s="527"/>
      <c r="I210" s="528"/>
      <c r="J210" s="529"/>
      <c r="K210" s="530"/>
      <c r="L210" s="531"/>
      <c r="M210" s="532"/>
      <c r="N210" s="533"/>
      <c r="O210" s="532"/>
      <c r="P210" s="1182"/>
      <c r="Q210" s="1182"/>
      <c r="R210" s="534">
        <f t="shared" ref="R210" ca="1" si="260">IF(OR(EXACT(H210,""),EXACT(B210,""),EXACT(F211,""),EXACT(H211,""),EXACT(J211,""),EXACT(L211,""),EXACT(N211,""),EXACT(F210,""),EXACT(J210,""),EXACT(M210,""),EXACT(N210,""),EXACT(O210,""),EXACT(P210,"")),0,IF(OR(EXACT(P211,"مقاله پر استناد"),EXACT(P211,"مقاله داغ"),EXACT(P211,"مستخرج از برنامه تحقيقاتي ملي معطوف به رفع مشكلات كشور")),(1.5*(F211*N211*(IF(EXACT(J211,"نفر اول"),INDIRECT(CONCATENATE("'Data Base'!$d",H211)),INDIRECT(CONCATENATE("'Data Base'!$e",H211))))*((100-L211)/100))),IF(EXACT(P211,"Short Article"),(0.5*(F211*N211*(IF(EXACT(J211,"نفر اول"),INDIRECT(CONCATENATE("'Data Base'!$D",H211)),INDIRECT(CONCATENATE("'Data Base'!$E",H211))))*((100-L211)/100))),IF(EXACT(P211,"چاپ شده در نشريات بسيار پر استناد Nature و Science"),(2*(F211*N211*(IF(EXACT(J211,"نفر اول"),INDIRECT(CONCATENATE("'Data Base'!$D",H211)),INDIRECT(CONCATENATE("'Data Base'!$E",H211))))*((100-L211)/100))),IF(OR(EXACT(P211,"مستخرج از طرح پژوهشي محرمانه"),EXACT(P211,"مشترك با اساتيد دانشگاه خارج از كشور")),(1.2*(F211*N211*(IF(EXACT(J211,"نفر اول"),INDIRECT(CONCATENATE("'Data Base'!$D",H211)),INDIRECT(CONCATENATE("'Data Base'!$E",H211))))*((100-L211)/100))),(F211*N211*(IF(EXACT(J211,"نفر اول"),INDIRECT(CONCATENATE("'Data Base'!$d",H211)),INDIRECT(CONCATENATE("'Data Base'!$e",H211))))*((100-L211)/100)))))))</f>
        <v>0</v>
      </c>
      <c r="S210" s="535">
        <f t="shared" ref="S210" ca="1" si="261">IF(OR(EXACT(H210,""),EXACT(B210,""),EXACT(F212,""),EXACT(H212,""),EXACT(J212,""),EXACT(L212,""),EXACT(N212,""),EXACT(F210,""),EXACT(J210,""),EXACT(M210,""),EXACT(N210,""),EXACT(O210,""),EXACT(P210,"")),0,IF(OR(EXACT(P212,"مقاله پر استناد"),EXACT(P212,"مقاله داغ"),EXACT(P212,"مستخرج از برنامه تحقيقاتي ملي معطوف به رفع مشكلات كشور")),(1.5*(F212*N212*(IF(EXACT(J212,"نفر اول"),INDIRECT(CONCATENATE("'Data Base'!$d",H212)),INDIRECT(CONCATENATE("'Data Base'!$E",H212))))*((100-L212)/100))),IF(EXACT(P212,"Short Article"),(0.5*(F212*N212*(IF(EXACT(J212,"نفر اول"),INDIRECT(CONCATENATE("'Data Base'!$D",H212)),INDIRECT(CONCATENATE("'Data Base'!$E",H212))))*((100-L212)/100))),IF(EXACT(P212,"چاپ شده در نشريات بسيار پر استناد Nature و Science"),(2*(F212*N212*(IF(EXACT(J212,"نفر اول"),INDIRECT(CONCATENATE("'Data Base'!$D",H212)),INDIRECT(CONCATENATE("'Data Base'!$E",H212))))*((100-L212)/100))),IF(OR(EXACT(P212,"مستخرج از طرح پژوهشي محرمانه"),EXACT(P212,"مشترك با اساتيد دانشگاه خارج از كشور")),(1.2*(F212*N212*(IF(EXACT(J212,"نفر اول"),INDIRECT(CONCATENATE("'Data Base'!$D",H212)),INDIRECT(CONCATENATE("'Data Base'!$E",H212))))*((100-L212)/100))),(F212*N212*(IF(EXACT(J212,"نفر اول"),INDIRECT(CONCATENATE("'Data Base'!$D",H212)),INDIRECT(CONCATENATE("'Data Base'!$E",H212))))*((100-L212)/100)))))))</f>
        <v>0</v>
      </c>
      <c r="T210" s="147"/>
      <c r="U210" s="1414"/>
      <c r="Z210" s="19">
        <f>SUM(Z207,AA210)</f>
        <v>0</v>
      </c>
      <c r="AA210" s="19">
        <f>IF(OR(OR(B210="",F210="",H210="",J210="",P210=""),AND(M210="",O210="")),0,1)</f>
        <v>0</v>
      </c>
      <c r="AB210" s="19">
        <f t="shared" ref="AB210" ca="1" si="262">IF(AND(AA210=1,S210&gt;0),1,0)</f>
        <v>0</v>
      </c>
      <c r="AC210" s="19">
        <f t="shared" ref="AC210" ca="1" si="263">IF(AND(AA210=1,S210&lt;1),1,0)</f>
        <v>0</v>
      </c>
      <c r="AD210" s="19">
        <f ca="1">IF(AND(AA210=1,S210&gt;=1,AJ210=1),1,0)</f>
        <v>0</v>
      </c>
      <c r="AE210" s="19">
        <f ca="1">IF(AD210=1,S210,0)</f>
        <v>0</v>
      </c>
      <c r="AF210" s="19">
        <f ca="1">IF(AND(AA210=1,S210&gt;=1,AJ210=1,AR212=1),1,0)</f>
        <v>0</v>
      </c>
      <c r="AG210" s="19">
        <f ca="1">IF(AF210=1,S210,0)</f>
        <v>0</v>
      </c>
      <c r="AH210" s="19">
        <f>IF(OR(EXACT(H210,"JCR-Q1"),EXACT(H210,"JCR-Q2")),(1),(0))</f>
        <v>0</v>
      </c>
      <c r="AI210" s="19">
        <f>IF(OR(EXACT(H210,"JCR-Q1"),EXACT(H210,"JCR-Q2"),EXACT(H210,"JCR-Q3")),(1),(0))</f>
        <v>0</v>
      </c>
      <c r="AJ210" s="19">
        <f>IF(OR(EXACT(H210,"JCR-Q1"),EXACT(H210,"JCR-Q2"),EXACT(H210,"JCR-Q3"),EXACT(H210,"JCR-Q4")),(1),(0))</f>
        <v>0</v>
      </c>
      <c r="AK210" s="19">
        <f>IF(OR(EXACT(H210,"JCR-Q1"),EXACT(H210,"JCR-Q2"),EXACT(H210,"JCR-Q3"),EXACT(H210,"JCR-Q4"),EXACT(H210,"WOS")),(1),(0))</f>
        <v>0</v>
      </c>
      <c r="AL210" s="19">
        <f>IF(OR(EXACT(H210,"JCR-Q1"),EXACT(H210,"JCR-Q2"),EXACT(H210,"JCR-Q3"),EXACT(H210,"JCR-Q4"),EXACT(H210,"WOS"),EXACT(H210,"Scopus")),(1),(0))</f>
        <v>0</v>
      </c>
      <c r="AM210" s="19">
        <f>IF(OR(EXACT(H210,'Data Base'!$B$21),EXACT(H210,'Data Base'!$B$22)),(1),(0))</f>
        <v>0</v>
      </c>
    </row>
    <row r="211" spans="1:83" ht="20.25" customHeight="1">
      <c r="A211" s="1416" t="s">
        <v>29</v>
      </c>
      <c r="B211" s="1417"/>
      <c r="C211" s="1417"/>
      <c r="D211" s="1418"/>
      <c r="E211" s="514" t="s">
        <v>1001</v>
      </c>
      <c r="F211" s="515"/>
      <c r="G211" s="516" t="s">
        <v>801</v>
      </c>
      <c r="H211" s="517"/>
      <c r="I211" s="516" t="s">
        <v>1002</v>
      </c>
      <c r="J211" s="518"/>
      <c r="K211" s="516" t="s">
        <v>1003</v>
      </c>
      <c r="L211" s="519"/>
      <c r="M211" s="516" t="s">
        <v>1004</v>
      </c>
      <c r="N211" s="520"/>
      <c r="O211" s="1266" t="s">
        <v>55</v>
      </c>
      <c r="P211" s="1419"/>
      <c r="Q211" s="1419"/>
      <c r="R211" s="1419"/>
      <c r="S211" s="1419"/>
      <c r="T211" s="1419"/>
      <c r="U211" s="1415"/>
      <c r="AN211" s="19">
        <f>IF(AND(AA210=1,EXACT(J211,"نفر اول")),(1),(0))</f>
        <v>0</v>
      </c>
      <c r="AO211" s="19">
        <f>IF(AN211=1,R210,0)</f>
        <v>0</v>
      </c>
      <c r="AP211" s="19">
        <f>IF(AND(AA210=1,EXACT(J211,"همكار")),(1),(0))</f>
        <v>0</v>
      </c>
      <c r="AQ211" s="19">
        <f>IF(AP211=1,R210,0)</f>
        <v>0</v>
      </c>
      <c r="AV211" s="19">
        <f>IF((AH210=1),R210,0)</f>
        <v>0</v>
      </c>
      <c r="AW211" s="19">
        <f>IF(AND(EXACT(AN211,"1"),EXACT(AH210,"1")),(1),(0))</f>
        <v>0</v>
      </c>
      <c r="AX211" s="19">
        <f>IF((AW211=1),AV211,0)</f>
        <v>0</v>
      </c>
      <c r="BB211" s="19">
        <f>IF((AI210=1),R210,0)</f>
        <v>0</v>
      </c>
      <c r="BC211" s="19">
        <f>IF(AND(EXACT(AI210,"1"),EXACT(AN211,"1")),(1),(0))</f>
        <v>0</v>
      </c>
      <c r="BD211" s="19">
        <f>IF((BC211=1),BB211,0)</f>
        <v>0</v>
      </c>
      <c r="BH211" s="19">
        <f>IF((AJ210=1),R210,0)</f>
        <v>0</v>
      </c>
      <c r="BI211" s="19">
        <f>IF(AND(EXACT(AJ210,"1"),EXACT(AN211,"1")),(1),(0))</f>
        <v>0</v>
      </c>
      <c r="BJ211" s="19">
        <f>IF((BI211=1),BH211,0)</f>
        <v>0</v>
      </c>
      <c r="BN211" s="19">
        <f>IF((AK210=1),R210,0)</f>
        <v>0</v>
      </c>
      <c r="BO211" s="19">
        <f>IF(AND(EXACT(AK210,"1"),EXACT(AN211,"1")),(1),(0))</f>
        <v>0</v>
      </c>
      <c r="BP211" s="19">
        <f>IF((BO211=1),BN211,0)</f>
        <v>0</v>
      </c>
      <c r="BT211" s="19">
        <f>IF((AL210=1),R210,0)</f>
        <v>0</v>
      </c>
      <c r="BU211" s="19">
        <f>IF(AND(EXACT(AN211,"1"),EXACT(AL210,"1")),(1),(0))</f>
        <v>0</v>
      </c>
      <c r="BV211" s="19">
        <f>IF((BU211=1),BT211,0)</f>
        <v>0</v>
      </c>
      <c r="BZ211" s="19">
        <f>IF((AM210=1),R210,0)</f>
        <v>0</v>
      </c>
      <c r="CA211" s="19">
        <f>IF(AND(EXACT(AM210,"1"),EXACT(AN211,"1")),(1),(0))</f>
        <v>0</v>
      </c>
      <c r="CB211" s="19">
        <f>IF((CA211=1),BZ211,0)</f>
        <v>0</v>
      </c>
    </row>
    <row r="212" spans="1:83" ht="20.25">
      <c r="A212" s="1420" t="s">
        <v>30</v>
      </c>
      <c r="B212" s="1421"/>
      <c r="C212" s="1421"/>
      <c r="D212" s="1422"/>
      <c r="E212" s="536" t="s">
        <v>1001</v>
      </c>
      <c r="F212" s="537"/>
      <c r="G212" s="538" t="s">
        <v>801</v>
      </c>
      <c r="H212" s="539"/>
      <c r="I212" s="538" t="s">
        <v>1002</v>
      </c>
      <c r="J212" s="525"/>
      <c r="K212" s="538" t="s">
        <v>1003</v>
      </c>
      <c r="L212" s="540"/>
      <c r="M212" s="538" t="s">
        <v>1004</v>
      </c>
      <c r="N212" s="541"/>
      <c r="O212" s="1266"/>
      <c r="P212" s="1423"/>
      <c r="Q212" s="1423"/>
      <c r="R212" s="1423"/>
      <c r="S212" s="1423"/>
      <c r="T212" s="1423"/>
      <c r="U212" s="1415"/>
      <c r="AR212" s="19">
        <f>IF(AND(AA210=1,EXACT(J212,"نفر اول")),(1),(0))</f>
        <v>0</v>
      </c>
      <c r="AS212" s="19">
        <f>IF(AR212=1,S210,0)</f>
        <v>0</v>
      </c>
      <c r="AT212" s="19">
        <f>IF(AND(AA210=1,EXACT(J212,"همكار")),(1),(0))</f>
        <v>0</v>
      </c>
      <c r="AU212" s="19">
        <f>IF(AT212=1,S210,0)</f>
        <v>0</v>
      </c>
      <c r="AY212" s="19">
        <f>IF((AH210=1),S210,0)</f>
        <v>0</v>
      </c>
      <c r="AZ212" s="19">
        <f>IF(AND(EXACT(AR212,"1"),EXACT(AH210,"1")),(1),(0))</f>
        <v>0</v>
      </c>
      <c r="BA212" s="19">
        <f>IF((AZ212=1),AY212,0)</f>
        <v>0</v>
      </c>
      <c r="BE212" s="19">
        <f>IF((AI210=1),S210,0)</f>
        <v>0</v>
      </c>
      <c r="BF212" s="19">
        <f>IF(AND(EXACT(AI210,"1"),EXACT(AR212,"1")),(1),(0))</f>
        <v>0</v>
      </c>
      <c r="BG212" s="19">
        <f>IF((BF212=1),BE212,0)</f>
        <v>0</v>
      </c>
      <c r="BK212" s="19">
        <f>IF((AJ210=1),S210,0)</f>
        <v>0</v>
      </c>
      <c r="BL212" s="19">
        <f>IF(AND(EXACT(AJ210,"1"),EXACT(AR212,"1")),(1),(0))</f>
        <v>0</v>
      </c>
      <c r="BM212" s="19">
        <f>IF((BL212=1),BK212,0)</f>
        <v>0</v>
      </c>
      <c r="BQ212" s="19">
        <f>IF((AJ210=1),S210,0)</f>
        <v>0</v>
      </c>
      <c r="BR212" s="19">
        <f>IF(AND(EXACT(AJ210,"1"),EXACT(AR212,"1")),(1),(0))</f>
        <v>0</v>
      </c>
      <c r="BS212" s="19">
        <f>IF((BL212=1),BK212,0)</f>
        <v>0</v>
      </c>
      <c r="BW212" s="19">
        <f>IF((AL210=1),S210,0)</f>
        <v>0</v>
      </c>
      <c r="BX212" s="19">
        <f>IF(AND(EXACT(AL210,"1"),EXACT(AR212,"1")),(1),(0))</f>
        <v>0</v>
      </c>
      <c r="BY212" s="19">
        <f>IF((BX212=1),BW212,0)</f>
        <v>0</v>
      </c>
      <c r="CC212" s="19">
        <f>IF((AM210=1),R210,0)</f>
        <v>0</v>
      </c>
      <c r="CD212" s="19">
        <f>IF(AND(EXACT(AM210,"1"),EXACT(AR212,"1")),(1),(0))</f>
        <v>0</v>
      </c>
      <c r="CE212" s="19">
        <f>IF((CD212=1),CC212,0)</f>
        <v>0</v>
      </c>
    </row>
    <row r="213" spans="1:83" ht="20.25">
      <c r="A213" s="12">
        <f>IF(AA213=0,0,IF(AA210=0,Z213,SUM(A210,AA213)))</f>
        <v>0</v>
      </c>
      <c r="B213" s="1157"/>
      <c r="C213" s="1157"/>
      <c r="D213" s="1157"/>
      <c r="E213" s="1182"/>
      <c r="F213" s="1424"/>
      <c r="G213" s="1424"/>
      <c r="H213" s="527"/>
      <c r="I213" s="528"/>
      <c r="J213" s="529"/>
      <c r="K213" s="530"/>
      <c r="L213" s="531"/>
      <c r="M213" s="532"/>
      <c r="N213" s="533"/>
      <c r="O213" s="532"/>
      <c r="P213" s="1182"/>
      <c r="Q213" s="1182"/>
      <c r="R213" s="534">
        <f t="shared" ref="R213" ca="1" si="264">IF(OR(EXACT(H213,""),EXACT(B213,""),EXACT(F214,""),EXACT(H214,""),EXACT(J214,""),EXACT(L214,""),EXACT(N214,""),EXACT(F213,""),EXACT(J213,""),EXACT(M213,""),EXACT(N213,""),EXACT(O213,""),EXACT(P213,"")),0,IF(OR(EXACT(P214,"مقاله پر استناد"),EXACT(P214,"مقاله داغ"),EXACT(P214,"مستخرج از برنامه تحقيقاتي ملي معطوف به رفع مشكلات كشور")),(1.5*(F214*N214*(IF(EXACT(J214,"نفر اول"),INDIRECT(CONCATENATE("'Data Base'!$d",H214)),INDIRECT(CONCATENATE("'Data Base'!$e",H214))))*((100-L214)/100))),IF(EXACT(P214,"Short Article"),(0.5*(F214*N214*(IF(EXACT(J214,"نفر اول"),INDIRECT(CONCATENATE("'Data Base'!$D",H214)),INDIRECT(CONCATENATE("'Data Base'!$E",H214))))*((100-L214)/100))),IF(EXACT(P214,"چاپ شده در نشريات بسيار پر استناد Nature و Science"),(2*(F214*N214*(IF(EXACT(J214,"نفر اول"),INDIRECT(CONCATENATE("'Data Base'!$D",H214)),INDIRECT(CONCATENATE("'Data Base'!$E",H214))))*((100-L214)/100))),IF(OR(EXACT(P214,"مستخرج از طرح پژوهشي محرمانه"),EXACT(P214,"مشترك با اساتيد دانشگاه خارج از كشور")),(1.2*(F214*N214*(IF(EXACT(J214,"نفر اول"),INDIRECT(CONCATENATE("'Data Base'!$D",H214)),INDIRECT(CONCATENATE("'Data Base'!$E",H214))))*((100-L214)/100))),(F214*N214*(IF(EXACT(J214,"نفر اول"),INDIRECT(CONCATENATE("'Data Base'!$d",H214)),INDIRECT(CONCATENATE("'Data Base'!$e",H214))))*((100-L214)/100)))))))</f>
        <v>0</v>
      </c>
      <c r="S213" s="535">
        <f t="shared" ref="S213" ca="1" si="265">IF(OR(EXACT(H213,""),EXACT(B213,""),EXACT(F215,""),EXACT(H215,""),EXACT(J215,""),EXACT(L215,""),EXACT(N215,""),EXACT(F213,""),EXACT(J213,""),EXACT(M213,""),EXACT(N213,""),EXACT(O213,""),EXACT(P213,"")),0,IF(OR(EXACT(P215,"مقاله پر استناد"),EXACT(P215,"مقاله داغ"),EXACT(P215,"مستخرج از برنامه تحقيقاتي ملي معطوف به رفع مشكلات كشور")),(1.5*(F215*N215*(IF(EXACT(J215,"نفر اول"),INDIRECT(CONCATENATE("'Data Base'!$d",H215)),INDIRECT(CONCATENATE("'Data Base'!$E",H215))))*((100-L215)/100))),IF(EXACT(P215,"Short Article"),(0.5*(F215*N215*(IF(EXACT(J215,"نفر اول"),INDIRECT(CONCATENATE("'Data Base'!$D",H215)),INDIRECT(CONCATENATE("'Data Base'!$E",H215))))*((100-L215)/100))),IF(EXACT(P215,"چاپ شده در نشريات بسيار پر استناد Nature و Science"),(2*(F215*N215*(IF(EXACT(J215,"نفر اول"),INDIRECT(CONCATENATE("'Data Base'!$D",H215)),INDIRECT(CONCATENATE("'Data Base'!$E",H215))))*((100-L215)/100))),IF(OR(EXACT(P215,"مستخرج از طرح پژوهشي محرمانه"),EXACT(P215,"مشترك با اساتيد دانشگاه خارج از كشور")),(1.2*(F215*N215*(IF(EXACT(J215,"نفر اول"),INDIRECT(CONCATENATE("'Data Base'!$D",H215)),INDIRECT(CONCATENATE("'Data Base'!$E",H215))))*((100-L215)/100))),(F215*N215*(IF(EXACT(J215,"نفر اول"),INDIRECT(CONCATENATE("'Data Base'!$D",H215)),INDIRECT(CONCATENATE("'Data Base'!$E",H215))))*((100-L215)/100)))))))</f>
        <v>0</v>
      </c>
      <c r="T213" s="147"/>
      <c r="U213" s="1414"/>
      <c r="Z213" s="19">
        <f>SUM(Z210,AA213)</f>
        <v>0</v>
      </c>
      <c r="AA213" s="19">
        <f>IF(OR(OR(B213="",F213="",H213="",J213="",P213=""),AND(M213="",O213="")),0,1)</f>
        <v>0</v>
      </c>
      <c r="AB213" s="19">
        <f t="shared" ref="AB213" ca="1" si="266">IF(AND(AA213=1,S213&gt;0),1,0)</f>
        <v>0</v>
      </c>
      <c r="AC213" s="19">
        <f t="shared" ref="AC213" ca="1" si="267">IF(AND(AA213=1,S213&lt;1),1,0)</f>
        <v>0</v>
      </c>
      <c r="AD213" s="19">
        <f ca="1">IF(AND(AA213=1,S213&gt;=1,AJ213=1),1,0)</f>
        <v>0</v>
      </c>
      <c r="AE213" s="19">
        <f ca="1">IF(AD213=1,S213,0)</f>
        <v>0</v>
      </c>
      <c r="AF213" s="19">
        <f ca="1">IF(AND(AA213=1,S213&gt;=1,AJ213=1,AR215=1),1,0)</f>
        <v>0</v>
      </c>
      <c r="AG213" s="19">
        <f ca="1">IF(AF213=1,S213,0)</f>
        <v>0</v>
      </c>
      <c r="AH213" s="19">
        <f>IF(OR(EXACT(H213,"JCR-Q1"),EXACT(H213,"JCR-Q2")),(1),(0))</f>
        <v>0</v>
      </c>
      <c r="AI213" s="19">
        <f>IF(OR(EXACT(H213,"JCR-Q1"),EXACT(H213,"JCR-Q2"),EXACT(H213,"JCR-Q3")),(1),(0))</f>
        <v>0</v>
      </c>
      <c r="AJ213" s="19">
        <f>IF(OR(EXACT(H213,"JCR-Q1"),EXACT(H213,"JCR-Q2"),EXACT(H213,"JCR-Q3"),EXACT(H213,"JCR-Q4")),(1),(0))</f>
        <v>0</v>
      </c>
      <c r="AK213" s="19">
        <f>IF(OR(EXACT(H213,"JCR-Q1"),EXACT(H213,"JCR-Q2"),EXACT(H213,"JCR-Q3"),EXACT(H213,"JCR-Q4"),EXACT(H213,"WOS")),(1),(0))</f>
        <v>0</v>
      </c>
      <c r="AL213" s="19">
        <f>IF(OR(EXACT(H213,"JCR-Q1"),EXACT(H213,"JCR-Q2"),EXACT(H213,"JCR-Q3"),EXACT(H213,"JCR-Q4"),EXACT(H213,"WOS"),EXACT(H213,"Scopus")),(1),(0))</f>
        <v>0</v>
      </c>
      <c r="AM213" s="19">
        <f>IF(OR(EXACT(H213,'Data Base'!$B$21),EXACT(H213,'Data Base'!$B$22)),(1),(0))</f>
        <v>0</v>
      </c>
    </row>
    <row r="214" spans="1:83" ht="20.25" customHeight="1">
      <c r="A214" s="1416" t="s">
        <v>29</v>
      </c>
      <c r="B214" s="1417"/>
      <c r="C214" s="1417"/>
      <c r="D214" s="1418"/>
      <c r="E214" s="514" t="s">
        <v>1001</v>
      </c>
      <c r="F214" s="515"/>
      <c r="G214" s="516" t="s">
        <v>801</v>
      </c>
      <c r="H214" s="517"/>
      <c r="I214" s="516" t="s">
        <v>1002</v>
      </c>
      <c r="J214" s="518"/>
      <c r="K214" s="516" t="s">
        <v>1003</v>
      </c>
      <c r="L214" s="519"/>
      <c r="M214" s="516" t="s">
        <v>1004</v>
      </c>
      <c r="N214" s="520"/>
      <c r="O214" s="1266" t="s">
        <v>55</v>
      </c>
      <c r="P214" s="1419"/>
      <c r="Q214" s="1419"/>
      <c r="R214" s="1419"/>
      <c r="S214" s="1419"/>
      <c r="T214" s="1419"/>
      <c r="U214" s="1415"/>
      <c r="AN214" s="19">
        <f>IF(AND(AA213=1,EXACT(J214,"نفر اول")),(1),(0))</f>
        <v>0</v>
      </c>
      <c r="AO214" s="19">
        <f>IF(AN214=1,R213,0)</f>
        <v>0</v>
      </c>
      <c r="AP214" s="19">
        <f>IF(AND(AA213=1,EXACT(J214,"همكار")),(1),(0))</f>
        <v>0</v>
      </c>
      <c r="AQ214" s="19">
        <f>IF(AP214=1,R213,0)</f>
        <v>0</v>
      </c>
      <c r="AV214" s="19">
        <f>IF((AH213=1),R213,0)</f>
        <v>0</v>
      </c>
      <c r="AW214" s="19">
        <f>IF(AND(EXACT(AN214,"1"),EXACT(AH213,"1")),(1),(0))</f>
        <v>0</v>
      </c>
      <c r="AX214" s="19">
        <f>IF((AW214=1),AV214,0)</f>
        <v>0</v>
      </c>
      <c r="BB214" s="19">
        <f>IF((AI213=1),R213,0)</f>
        <v>0</v>
      </c>
      <c r="BC214" s="19">
        <f>IF(AND(EXACT(AI213,"1"),EXACT(AN214,"1")),(1),(0))</f>
        <v>0</v>
      </c>
      <c r="BD214" s="19">
        <f>IF((BC214=1),BB214,0)</f>
        <v>0</v>
      </c>
      <c r="BH214" s="19">
        <f>IF((AJ213=1),R213,0)</f>
        <v>0</v>
      </c>
      <c r="BI214" s="19">
        <f>IF(AND(EXACT(AJ213,"1"),EXACT(AN214,"1")),(1),(0))</f>
        <v>0</v>
      </c>
      <c r="BJ214" s="19">
        <f>IF((BI214=1),BH214,0)</f>
        <v>0</v>
      </c>
      <c r="BN214" s="19">
        <f>IF((AK213=1),R213,0)</f>
        <v>0</v>
      </c>
      <c r="BO214" s="19">
        <f>IF(AND(EXACT(AK213,"1"),EXACT(AN214,"1")),(1),(0))</f>
        <v>0</v>
      </c>
      <c r="BP214" s="19">
        <f>IF((BO214=1),BN214,0)</f>
        <v>0</v>
      </c>
      <c r="BT214" s="19">
        <f>IF((AL213=1),R213,0)</f>
        <v>0</v>
      </c>
      <c r="BU214" s="19">
        <f>IF(AND(EXACT(AN214,"1"),EXACT(AL213,"1")),(1),(0))</f>
        <v>0</v>
      </c>
      <c r="BV214" s="19">
        <f>IF((BU214=1),BT214,0)</f>
        <v>0</v>
      </c>
      <c r="BZ214" s="19">
        <f>IF((AM213=1),R213,0)</f>
        <v>0</v>
      </c>
      <c r="CA214" s="19">
        <f>IF(AND(EXACT(AM213,"1"),EXACT(AN214,"1")),(1),(0))</f>
        <v>0</v>
      </c>
      <c r="CB214" s="19">
        <f>IF((CA214=1),BZ214,0)</f>
        <v>0</v>
      </c>
    </row>
    <row r="215" spans="1:83" ht="20.25">
      <c r="A215" s="1420" t="s">
        <v>30</v>
      </c>
      <c r="B215" s="1421"/>
      <c r="C215" s="1421"/>
      <c r="D215" s="1422"/>
      <c r="E215" s="536" t="s">
        <v>1001</v>
      </c>
      <c r="F215" s="537"/>
      <c r="G215" s="538" t="s">
        <v>801</v>
      </c>
      <c r="H215" s="539"/>
      <c r="I215" s="538" t="s">
        <v>1002</v>
      </c>
      <c r="J215" s="525"/>
      <c r="K215" s="538" t="s">
        <v>1003</v>
      </c>
      <c r="L215" s="540"/>
      <c r="M215" s="538" t="s">
        <v>1004</v>
      </c>
      <c r="N215" s="541"/>
      <c r="O215" s="1266"/>
      <c r="P215" s="1423"/>
      <c r="Q215" s="1423"/>
      <c r="R215" s="1423"/>
      <c r="S215" s="1423"/>
      <c r="T215" s="1423"/>
      <c r="U215" s="1415"/>
      <c r="AR215" s="19">
        <f>IF(AND(AA213=1,EXACT(J215,"نفر اول")),(1),(0))</f>
        <v>0</v>
      </c>
      <c r="AS215" s="19">
        <f>IF(AR215=1,S213,0)</f>
        <v>0</v>
      </c>
      <c r="AT215" s="19">
        <f>IF(AND(AA213=1,EXACT(J215,"همكار")),(1),(0))</f>
        <v>0</v>
      </c>
      <c r="AU215" s="19">
        <f>IF(AT215=1,S213,0)</f>
        <v>0</v>
      </c>
      <c r="AY215" s="19">
        <f>IF((AH213=1),S213,0)</f>
        <v>0</v>
      </c>
      <c r="AZ215" s="19">
        <f>IF(AND(EXACT(AR215,"1"),EXACT(AH213,"1")),(1),(0))</f>
        <v>0</v>
      </c>
      <c r="BA215" s="19">
        <f>IF((AZ215=1),AY215,0)</f>
        <v>0</v>
      </c>
      <c r="BE215" s="19">
        <f>IF((AI213=1),S213,0)</f>
        <v>0</v>
      </c>
      <c r="BF215" s="19">
        <f>IF(AND(EXACT(AI213,"1"),EXACT(AR215,"1")),(1),(0))</f>
        <v>0</v>
      </c>
      <c r="BG215" s="19">
        <f>IF((BF215=1),BE215,0)</f>
        <v>0</v>
      </c>
      <c r="BK215" s="19">
        <f>IF((AJ213=1),S213,0)</f>
        <v>0</v>
      </c>
      <c r="BL215" s="19">
        <f>IF(AND(EXACT(AJ213,"1"),EXACT(AR215,"1")),(1),(0))</f>
        <v>0</v>
      </c>
      <c r="BM215" s="19">
        <f>IF((BL215=1),BK215,0)</f>
        <v>0</v>
      </c>
      <c r="BQ215" s="19">
        <f>IF((AJ213=1),S213,0)</f>
        <v>0</v>
      </c>
      <c r="BR215" s="19">
        <f>IF(AND(EXACT(AJ213,"1"),EXACT(AR215,"1")),(1),(0))</f>
        <v>0</v>
      </c>
      <c r="BS215" s="19">
        <f>IF((BL215=1),BK215,0)</f>
        <v>0</v>
      </c>
      <c r="BW215" s="19">
        <f>IF((AL213=1),S213,0)</f>
        <v>0</v>
      </c>
      <c r="BX215" s="19">
        <f>IF(AND(EXACT(AL213,"1"),EXACT(AR215,"1")),(1),(0))</f>
        <v>0</v>
      </c>
      <c r="BY215" s="19">
        <f>IF((BX215=1),BW215,0)</f>
        <v>0</v>
      </c>
      <c r="CC215" s="19">
        <f>IF((AM213=1),R213,0)</f>
        <v>0</v>
      </c>
      <c r="CD215" s="19">
        <f>IF(AND(EXACT(AM213,"1"),EXACT(AR215,"1")),(1),(0))</f>
        <v>0</v>
      </c>
      <c r="CE215" s="19">
        <f>IF((CD215=1),CC215,0)</f>
        <v>0</v>
      </c>
    </row>
    <row r="216" spans="1:83" ht="20.25">
      <c r="A216" s="12">
        <f>IF(AA216=0,0,IF(AA213=0,Z216,SUM(A213,AA216)))</f>
        <v>0</v>
      </c>
      <c r="B216" s="1157"/>
      <c r="C216" s="1157"/>
      <c r="D216" s="1157"/>
      <c r="E216" s="1182"/>
      <c r="F216" s="1424"/>
      <c r="G216" s="1424"/>
      <c r="H216" s="527"/>
      <c r="I216" s="528"/>
      <c r="J216" s="529"/>
      <c r="K216" s="530"/>
      <c r="L216" s="531"/>
      <c r="M216" s="532"/>
      <c r="N216" s="533"/>
      <c r="O216" s="532"/>
      <c r="P216" s="1182"/>
      <c r="Q216" s="1182"/>
      <c r="R216" s="534">
        <f t="shared" ref="R216" ca="1" si="268">IF(OR(EXACT(H216,""),EXACT(B216,""),EXACT(F217,""),EXACT(H217,""),EXACT(J217,""),EXACT(L217,""),EXACT(N217,""),EXACT(F216,""),EXACT(J216,""),EXACT(M216,""),EXACT(N216,""),EXACT(O216,""),EXACT(P216,"")),0,IF(OR(EXACT(P217,"مقاله پر استناد"),EXACT(P217,"مقاله داغ"),EXACT(P217,"مستخرج از برنامه تحقيقاتي ملي معطوف به رفع مشكلات كشور")),(1.5*(F217*N217*(IF(EXACT(J217,"نفر اول"),INDIRECT(CONCATENATE("'Data Base'!$d",H217)),INDIRECT(CONCATENATE("'Data Base'!$e",H217))))*((100-L217)/100))),IF(EXACT(P217,"Short Article"),(0.5*(F217*N217*(IF(EXACT(J217,"نفر اول"),INDIRECT(CONCATENATE("'Data Base'!$D",H217)),INDIRECT(CONCATENATE("'Data Base'!$E",H217))))*((100-L217)/100))),IF(EXACT(P217,"چاپ شده در نشريات بسيار پر استناد Nature و Science"),(2*(F217*N217*(IF(EXACT(J217,"نفر اول"),INDIRECT(CONCATENATE("'Data Base'!$D",H217)),INDIRECT(CONCATENATE("'Data Base'!$E",H217))))*((100-L217)/100))),IF(OR(EXACT(P217,"مستخرج از طرح پژوهشي محرمانه"),EXACT(P217,"مشترك با اساتيد دانشگاه خارج از كشور")),(1.2*(F217*N217*(IF(EXACT(J217,"نفر اول"),INDIRECT(CONCATENATE("'Data Base'!$D",H217)),INDIRECT(CONCATENATE("'Data Base'!$E",H217))))*((100-L217)/100))),(F217*N217*(IF(EXACT(J217,"نفر اول"),INDIRECT(CONCATENATE("'Data Base'!$d",H217)),INDIRECT(CONCATENATE("'Data Base'!$e",H217))))*((100-L217)/100)))))))</f>
        <v>0</v>
      </c>
      <c r="S216" s="535">
        <f t="shared" ref="S216" ca="1" si="269">IF(OR(EXACT(H216,""),EXACT(B216,""),EXACT(F218,""),EXACT(H218,""),EXACT(J218,""),EXACT(L218,""),EXACT(N218,""),EXACT(F216,""),EXACT(J216,""),EXACT(M216,""),EXACT(N216,""),EXACT(O216,""),EXACT(P216,"")),0,IF(OR(EXACT(P218,"مقاله پر استناد"),EXACT(P218,"مقاله داغ"),EXACT(P218,"مستخرج از برنامه تحقيقاتي ملي معطوف به رفع مشكلات كشور")),(1.5*(F218*N218*(IF(EXACT(J218,"نفر اول"),INDIRECT(CONCATENATE("'Data Base'!$d",H218)),INDIRECT(CONCATENATE("'Data Base'!$E",H218))))*((100-L218)/100))),IF(EXACT(P218,"Short Article"),(0.5*(F218*N218*(IF(EXACT(J218,"نفر اول"),INDIRECT(CONCATENATE("'Data Base'!$D",H218)),INDIRECT(CONCATENATE("'Data Base'!$E",H218))))*((100-L218)/100))),IF(EXACT(P218,"چاپ شده در نشريات بسيار پر استناد Nature و Science"),(2*(F218*N218*(IF(EXACT(J218,"نفر اول"),INDIRECT(CONCATENATE("'Data Base'!$D",H218)),INDIRECT(CONCATENATE("'Data Base'!$E",H218))))*((100-L218)/100))),IF(OR(EXACT(P218,"مستخرج از طرح پژوهشي محرمانه"),EXACT(P218,"مشترك با اساتيد دانشگاه خارج از كشور")),(1.2*(F218*N218*(IF(EXACT(J218,"نفر اول"),INDIRECT(CONCATENATE("'Data Base'!$D",H218)),INDIRECT(CONCATENATE("'Data Base'!$E",H218))))*((100-L218)/100))),(F218*N218*(IF(EXACT(J218,"نفر اول"),INDIRECT(CONCATENATE("'Data Base'!$D",H218)),INDIRECT(CONCATENATE("'Data Base'!$E",H218))))*((100-L218)/100)))))))</f>
        <v>0</v>
      </c>
      <c r="T216" s="147"/>
      <c r="U216" s="1414"/>
      <c r="Z216" s="19">
        <f>SUM(Z213,AA216)</f>
        <v>0</v>
      </c>
      <c r="AA216" s="19">
        <f>IF(OR(OR(B216="",F216="",H216="",J216="",P216=""),AND(M216="",O216="")),0,1)</f>
        <v>0</v>
      </c>
      <c r="AB216" s="19">
        <f t="shared" ref="AB216" ca="1" si="270">IF(AND(AA216=1,S216&gt;0),1,0)</f>
        <v>0</v>
      </c>
      <c r="AC216" s="19">
        <f t="shared" ref="AC216" ca="1" si="271">IF(AND(AA216=1,S216&lt;1),1,0)</f>
        <v>0</v>
      </c>
      <c r="AD216" s="19">
        <f ca="1">IF(AND(AA216=1,S216&gt;=1,AJ216=1),1,0)</f>
        <v>0</v>
      </c>
      <c r="AE216" s="19">
        <f ca="1">IF(AD216=1,S216,0)</f>
        <v>0</v>
      </c>
      <c r="AF216" s="19">
        <f ca="1">IF(AND(AA216=1,S216&gt;=1,AJ216=1,AR218=1),1,0)</f>
        <v>0</v>
      </c>
      <c r="AG216" s="19">
        <f ca="1">IF(AF216=1,S216,0)</f>
        <v>0</v>
      </c>
      <c r="AH216" s="19">
        <f>IF(OR(EXACT(H216,"JCR-Q1"),EXACT(H216,"JCR-Q2")),(1),(0))</f>
        <v>0</v>
      </c>
      <c r="AI216" s="19">
        <f>IF(OR(EXACT(H216,"JCR-Q1"),EXACT(H216,"JCR-Q2"),EXACT(H216,"JCR-Q3")),(1),(0))</f>
        <v>0</v>
      </c>
      <c r="AJ216" s="19">
        <f>IF(OR(EXACT(H216,"JCR-Q1"),EXACT(H216,"JCR-Q2"),EXACT(H216,"JCR-Q3"),EXACT(H216,"JCR-Q4")),(1),(0))</f>
        <v>0</v>
      </c>
      <c r="AK216" s="19">
        <f>IF(OR(EXACT(H216,"JCR-Q1"),EXACT(H216,"JCR-Q2"),EXACT(H216,"JCR-Q3"),EXACT(H216,"JCR-Q4"),EXACT(H216,"WOS")),(1),(0))</f>
        <v>0</v>
      </c>
      <c r="AL216" s="19">
        <f>IF(OR(EXACT(H216,"JCR-Q1"),EXACT(H216,"JCR-Q2"),EXACT(H216,"JCR-Q3"),EXACT(H216,"JCR-Q4"),EXACT(H216,"WOS"),EXACT(H216,"Scopus")),(1),(0))</f>
        <v>0</v>
      </c>
      <c r="AM216" s="19">
        <f>IF(OR(EXACT(H216,'Data Base'!$B$21),EXACT(H216,'Data Base'!$B$22)),(1),(0))</f>
        <v>0</v>
      </c>
    </row>
    <row r="217" spans="1:83" ht="20.25" customHeight="1">
      <c r="A217" s="1416" t="s">
        <v>29</v>
      </c>
      <c r="B217" s="1417"/>
      <c r="C217" s="1417"/>
      <c r="D217" s="1418"/>
      <c r="E217" s="514" t="s">
        <v>1001</v>
      </c>
      <c r="F217" s="515"/>
      <c r="G217" s="516" t="s">
        <v>801</v>
      </c>
      <c r="H217" s="517"/>
      <c r="I217" s="516" t="s">
        <v>1002</v>
      </c>
      <c r="J217" s="518"/>
      <c r="K217" s="516" t="s">
        <v>1003</v>
      </c>
      <c r="L217" s="519"/>
      <c r="M217" s="516" t="s">
        <v>1004</v>
      </c>
      <c r="N217" s="520"/>
      <c r="O217" s="1266" t="s">
        <v>55</v>
      </c>
      <c r="P217" s="1419"/>
      <c r="Q217" s="1419"/>
      <c r="R217" s="1419"/>
      <c r="S217" s="1419"/>
      <c r="T217" s="1419"/>
      <c r="U217" s="1415"/>
      <c r="AN217" s="19">
        <f>IF(AND(AA216=1,EXACT(J217,"نفر اول")),(1),(0))</f>
        <v>0</v>
      </c>
      <c r="AO217" s="19">
        <f>IF(AN217=1,R216,0)</f>
        <v>0</v>
      </c>
      <c r="AP217" s="19">
        <f>IF(AND(AA216=1,EXACT(J217,"همكار")),(1),(0))</f>
        <v>0</v>
      </c>
      <c r="AQ217" s="19">
        <f>IF(AP217=1,R216,0)</f>
        <v>0</v>
      </c>
      <c r="AV217" s="19">
        <f>IF((AH216=1),R216,0)</f>
        <v>0</v>
      </c>
      <c r="AW217" s="19">
        <f>IF(AND(EXACT(AN217,"1"),EXACT(AH216,"1")),(1),(0))</f>
        <v>0</v>
      </c>
      <c r="AX217" s="19">
        <f>IF((AW217=1),AV217,0)</f>
        <v>0</v>
      </c>
      <c r="BB217" s="19">
        <f>IF((AI216=1),R216,0)</f>
        <v>0</v>
      </c>
      <c r="BC217" s="19">
        <f>IF(AND(EXACT(AI216,"1"),EXACT(AN217,"1")),(1),(0))</f>
        <v>0</v>
      </c>
      <c r="BD217" s="19">
        <f>IF((BC217=1),BB217,0)</f>
        <v>0</v>
      </c>
      <c r="BH217" s="19">
        <f>IF((AJ216=1),R216,0)</f>
        <v>0</v>
      </c>
      <c r="BI217" s="19">
        <f>IF(AND(EXACT(AJ216,"1"),EXACT(AN217,"1")),(1),(0))</f>
        <v>0</v>
      </c>
      <c r="BJ217" s="19">
        <f>IF((BI217=1),BH217,0)</f>
        <v>0</v>
      </c>
      <c r="BN217" s="19">
        <f>IF((AK216=1),R216,0)</f>
        <v>0</v>
      </c>
      <c r="BO217" s="19">
        <f>IF(AND(EXACT(AK216,"1"),EXACT(AN217,"1")),(1),(0))</f>
        <v>0</v>
      </c>
      <c r="BP217" s="19">
        <f>IF((BO217=1),BN217,0)</f>
        <v>0</v>
      </c>
      <c r="BT217" s="19">
        <f>IF((AL216=1),R216,0)</f>
        <v>0</v>
      </c>
      <c r="BU217" s="19">
        <f>IF(AND(EXACT(AN217,"1"),EXACT(AL216,"1")),(1),(0))</f>
        <v>0</v>
      </c>
      <c r="BV217" s="19">
        <f>IF((BU217=1),BT217,0)</f>
        <v>0</v>
      </c>
      <c r="BZ217" s="19">
        <f>IF((AM216=1),R216,0)</f>
        <v>0</v>
      </c>
      <c r="CA217" s="19">
        <f>IF(AND(EXACT(AM216,"1"),EXACT(AN217,"1")),(1),(0))</f>
        <v>0</v>
      </c>
      <c r="CB217" s="19">
        <f>IF((CA217=1),BZ217,0)</f>
        <v>0</v>
      </c>
    </row>
    <row r="218" spans="1:83" ht="20.25">
      <c r="A218" s="1420" t="s">
        <v>30</v>
      </c>
      <c r="B218" s="1421"/>
      <c r="C218" s="1421"/>
      <c r="D218" s="1422"/>
      <c r="E218" s="536" t="s">
        <v>1001</v>
      </c>
      <c r="F218" s="537"/>
      <c r="G218" s="538" t="s">
        <v>801</v>
      </c>
      <c r="H218" s="539"/>
      <c r="I218" s="538" t="s">
        <v>1002</v>
      </c>
      <c r="J218" s="525"/>
      <c r="K218" s="538" t="s">
        <v>1003</v>
      </c>
      <c r="L218" s="540"/>
      <c r="M218" s="538" t="s">
        <v>1004</v>
      </c>
      <c r="N218" s="541"/>
      <c r="O218" s="1266"/>
      <c r="P218" s="1423"/>
      <c r="Q218" s="1423"/>
      <c r="R218" s="1423"/>
      <c r="S218" s="1423"/>
      <c r="T218" s="1423"/>
      <c r="U218" s="1415"/>
      <c r="AR218" s="19">
        <f>IF(AND(AA216=1,EXACT(J218,"نفر اول")),(1),(0))</f>
        <v>0</v>
      </c>
      <c r="AS218" s="19">
        <f>IF(AR218=1,S216,0)</f>
        <v>0</v>
      </c>
      <c r="AT218" s="19">
        <f>IF(AND(AA216=1,EXACT(J218,"همكار")),(1),(0))</f>
        <v>0</v>
      </c>
      <c r="AU218" s="19">
        <f>IF(AT218=1,S216,0)</f>
        <v>0</v>
      </c>
      <c r="AY218" s="19">
        <f>IF((AH216=1),S216,0)</f>
        <v>0</v>
      </c>
      <c r="AZ218" s="19">
        <f>IF(AND(EXACT(AR218,"1"),EXACT(AH216,"1")),(1),(0))</f>
        <v>0</v>
      </c>
      <c r="BA218" s="19">
        <f>IF((AZ218=1),AY218,0)</f>
        <v>0</v>
      </c>
      <c r="BE218" s="19">
        <f>IF((AI216=1),S216,0)</f>
        <v>0</v>
      </c>
      <c r="BF218" s="19">
        <f>IF(AND(EXACT(AI216,"1"),EXACT(AR218,"1")),(1),(0))</f>
        <v>0</v>
      </c>
      <c r="BG218" s="19">
        <f>IF((BF218=1),BE218,0)</f>
        <v>0</v>
      </c>
      <c r="BK218" s="19">
        <f>IF((AJ216=1),S216,0)</f>
        <v>0</v>
      </c>
      <c r="BL218" s="19">
        <f>IF(AND(EXACT(AJ216,"1"),EXACT(AR218,"1")),(1),(0))</f>
        <v>0</v>
      </c>
      <c r="BM218" s="19">
        <f>IF((BL218=1),BK218,0)</f>
        <v>0</v>
      </c>
      <c r="BQ218" s="19">
        <f>IF((AJ216=1),S216,0)</f>
        <v>0</v>
      </c>
      <c r="BR218" s="19">
        <f>IF(AND(EXACT(AJ216,"1"),EXACT(AR218,"1")),(1),(0))</f>
        <v>0</v>
      </c>
      <c r="BS218" s="19">
        <f>IF((BL218=1),BK218,0)</f>
        <v>0</v>
      </c>
      <c r="BW218" s="19">
        <f>IF((AL216=1),S216,0)</f>
        <v>0</v>
      </c>
      <c r="BX218" s="19">
        <f>IF(AND(EXACT(AL216,"1"),EXACT(AR218,"1")),(1),(0))</f>
        <v>0</v>
      </c>
      <c r="BY218" s="19">
        <f>IF((BX218=1),BW218,0)</f>
        <v>0</v>
      </c>
      <c r="CC218" s="19">
        <f>IF((AM216=1),R216,0)</f>
        <v>0</v>
      </c>
      <c r="CD218" s="19">
        <f>IF(AND(EXACT(AM216,"1"),EXACT(AR218,"1")),(1),(0))</f>
        <v>0</v>
      </c>
      <c r="CE218" s="19">
        <f>IF((CD218=1),CC218,0)</f>
        <v>0</v>
      </c>
    </row>
    <row r="219" spans="1:83" ht="20.25">
      <c r="A219" s="12">
        <f>IF(AA219=0,0,IF(AA216=0,Z219,SUM(A216,AA219)))</f>
        <v>0</v>
      </c>
      <c r="B219" s="1157"/>
      <c r="C219" s="1157"/>
      <c r="D219" s="1157"/>
      <c r="E219" s="1182"/>
      <c r="F219" s="1424"/>
      <c r="G219" s="1424"/>
      <c r="H219" s="527"/>
      <c r="I219" s="528"/>
      <c r="J219" s="529"/>
      <c r="K219" s="530"/>
      <c r="L219" s="531"/>
      <c r="M219" s="532"/>
      <c r="N219" s="533"/>
      <c r="O219" s="532"/>
      <c r="P219" s="1182"/>
      <c r="Q219" s="1182"/>
      <c r="R219" s="534">
        <f t="shared" ref="R219" ca="1" si="272">IF(OR(EXACT(H219,""),EXACT(B219,""),EXACT(F220,""),EXACT(H220,""),EXACT(J220,""),EXACT(L220,""),EXACT(N220,""),EXACT(F219,""),EXACT(J219,""),EXACT(M219,""),EXACT(N219,""),EXACT(O219,""),EXACT(P219,"")),0,IF(OR(EXACT(P220,"مقاله پر استناد"),EXACT(P220,"مقاله داغ"),EXACT(P220,"مستخرج از برنامه تحقيقاتي ملي معطوف به رفع مشكلات كشور")),(1.5*(F220*N220*(IF(EXACT(J220,"نفر اول"),INDIRECT(CONCATENATE("'Data Base'!$d",H220)),INDIRECT(CONCATENATE("'Data Base'!$e",H220))))*((100-L220)/100))),IF(EXACT(P220,"Short Article"),(0.5*(F220*N220*(IF(EXACT(J220,"نفر اول"),INDIRECT(CONCATENATE("'Data Base'!$D",H220)),INDIRECT(CONCATENATE("'Data Base'!$E",H220))))*((100-L220)/100))),IF(EXACT(P220,"چاپ شده در نشريات بسيار پر استناد Nature و Science"),(2*(F220*N220*(IF(EXACT(J220,"نفر اول"),INDIRECT(CONCATENATE("'Data Base'!$D",H220)),INDIRECT(CONCATENATE("'Data Base'!$E",H220))))*((100-L220)/100))),IF(OR(EXACT(P220,"مستخرج از طرح پژوهشي محرمانه"),EXACT(P220,"مشترك با اساتيد دانشگاه خارج از كشور")),(1.2*(F220*N220*(IF(EXACT(J220,"نفر اول"),INDIRECT(CONCATENATE("'Data Base'!$D",H220)),INDIRECT(CONCATENATE("'Data Base'!$E",H220))))*((100-L220)/100))),(F220*N220*(IF(EXACT(J220,"نفر اول"),INDIRECT(CONCATENATE("'Data Base'!$d",H220)),INDIRECT(CONCATENATE("'Data Base'!$e",H220))))*((100-L220)/100)))))))</f>
        <v>0</v>
      </c>
      <c r="S219" s="535">
        <f t="shared" ref="S219" ca="1" si="273">IF(OR(EXACT(H219,""),EXACT(B219,""),EXACT(F221,""),EXACT(H221,""),EXACT(J221,""),EXACT(L221,""),EXACT(N221,""),EXACT(F219,""),EXACT(J219,""),EXACT(M219,""),EXACT(N219,""),EXACT(O219,""),EXACT(P219,"")),0,IF(OR(EXACT(P221,"مقاله پر استناد"),EXACT(P221,"مقاله داغ"),EXACT(P221,"مستخرج از برنامه تحقيقاتي ملي معطوف به رفع مشكلات كشور")),(1.5*(F221*N221*(IF(EXACT(J221,"نفر اول"),INDIRECT(CONCATENATE("'Data Base'!$d",H221)),INDIRECT(CONCATENATE("'Data Base'!$E",H221))))*((100-L221)/100))),IF(EXACT(P221,"Short Article"),(0.5*(F221*N221*(IF(EXACT(J221,"نفر اول"),INDIRECT(CONCATENATE("'Data Base'!$D",H221)),INDIRECT(CONCATENATE("'Data Base'!$E",H221))))*((100-L221)/100))),IF(EXACT(P221,"چاپ شده در نشريات بسيار پر استناد Nature و Science"),(2*(F221*N221*(IF(EXACT(J221,"نفر اول"),INDIRECT(CONCATENATE("'Data Base'!$D",H221)),INDIRECT(CONCATENATE("'Data Base'!$E",H221))))*((100-L221)/100))),IF(OR(EXACT(P221,"مستخرج از طرح پژوهشي محرمانه"),EXACT(P221,"مشترك با اساتيد دانشگاه خارج از كشور")),(1.2*(F221*N221*(IF(EXACT(J221,"نفر اول"),INDIRECT(CONCATENATE("'Data Base'!$D",H221)),INDIRECT(CONCATENATE("'Data Base'!$E",H221))))*((100-L221)/100))),(F221*N221*(IF(EXACT(J221,"نفر اول"),INDIRECT(CONCATENATE("'Data Base'!$D",H221)),INDIRECT(CONCATENATE("'Data Base'!$E",H221))))*((100-L221)/100)))))))</f>
        <v>0</v>
      </c>
      <c r="T219" s="147"/>
      <c r="U219" s="1414"/>
      <c r="Z219" s="19">
        <f>SUM(Z216,AA219)</f>
        <v>0</v>
      </c>
      <c r="AA219" s="19">
        <f>IF(OR(OR(B219="",F219="",H219="",J219="",P219=""),AND(M219="",O219="")),0,1)</f>
        <v>0</v>
      </c>
      <c r="AB219" s="19">
        <f t="shared" ref="AB219" ca="1" si="274">IF(AND(AA219=1,S219&gt;0),1,0)</f>
        <v>0</v>
      </c>
      <c r="AC219" s="19">
        <f t="shared" ref="AC219" ca="1" si="275">IF(AND(AA219=1,S219&lt;1),1,0)</f>
        <v>0</v>
      </c>
      <c r="AD219" s="19">
        <f ca="1">IF(AND(AA219=1,S219&gt;=1,AJ219=1),1,0)</f>
        <v>0</v>
      </c>
      <c r="AE219" s="19">
        <f ca="1">IF(AD219=1,S219,0)</f>
        <v>0</v>
      </c>
      <c r="AF219" s="19">
        <f ca="1">IF(AND(AA219=1,S219&gt;=1,AJ219=1,AR221=1),1,0)</f>
        <v>0</v>
      </c>
      <c r="AG219" s="19">
        <f ca="1">IF(AF219=1,S219,0)</f>
        <v>0</v>
      </c>
      <c r="AH219" s="19">
        <f>IF(OR(EXACT(H219,"JCR-Q1"),EXACT(H219,"JCR-Q2")),(1),(0))</f>
        <v>0</v>
      </c>
      <c r="AI219" s="19">
        <f>IF(OR(EXACT(H219,"JCR-Q1"),EXACT(H219,"JCR-Q2"),EXACT(H219,"JCR-Q3")),(1),(0))</f>
        <v>0</v>
      </c>
      <c r="AJ219" s="19">
        <f>IF(OR(EXACT(H219,"JCR-Q1"),EXACT(H219,"JCR-Q2"),EXACT(H219,"JCR-Q3"),EXACT(H219,"JCR-Q4")),(1),(0))</f>
        <v>0</v>
      </c>
      <c r="AK219" s="19">
        <f>IF(OR(EXACT(H219,"JCR-Q1"),EXACT(H219,"JCR-Q2"),EXACT(H219,"JCR-Q3"),EXACT(H219,"JCR-Q4"),EXACT(H219,"WOS")),(1),(0))</f>
        <v>0</v>
      </c>
      <c r="AL219" s="19">
        <f>IF(OR(EXACT(H219,"JCR-Q1"),EXACT(H219,"JCR-Q2"),EXACT(H219,"JCR-Q3"),EXACT(H219,"JCR-Q4"),EXACT(H219,"WOS"),EXACT(H219,"Scopus")),(1),(0))</f>
        <v>0</v>
      </c>
      <c r="AM219" s="19">
        <f>IF(OR(EXACT(H219,'Data Base'!$B$21),EXACT(H219,'Data Base'!$B$22)),(1),(0))</f>
        <v>0</v>
      </c>
    </row>
    <row r="220" spans="1:83" ht="20.25" customHeight="1">
      <c r="A220" s="1416" t="s">
        <v>29</v>
      </c>
      <c r="B220" s="1417"/>
      <c r="C220" s="1417"/>
      <c r="D220" s="1418"/>
      <c r="E220" s="514" t="s">
        <v>1001</v>
      </c>
      <c r="F220" s="515"/>
      <c r="G220" s="516" t="s">
        <v>801</v>
      </c>
      <c r="H220" s="517"/>
      <c r="I220" s="516" t="s">
        <v>1002</v>
      </c>
      <c r="J220" s="518"/>
      <c r="K220" s="516" t="s">
        <v>1003</v>
      </c>
      <c r="L220" s="519"/>
      <c r="M220" s="516" t="s">
        <v>1004</v>
      </c>
      <c r="N220" s="520"/>
      <c r="O220" s="1266" t="s">
        <v>55</v>
      </c>
      <c r="P220" s="1419"/>
      <c r="Q220" s="1419"/>
      <c r="R220" s="1419"/>
      <c r="S220" s="1419"/>
      <c r="T220" s="1419"/>
      <c r="U220" s="1415"/>
      <c r="AN220" s="19">
        <f>IF(AND(AA219=1,EXACT(J220,"نفر اول")),(1),(0))</f>
        <v>0</v>
      </c>
      <c r="AO220" s="19">
        <f>IF(AN220=1,R219,0)</f>
        <v>0</v>
      </c>
      <c r="AP220" s="19">
        <f>IF(AND(AA219=1,EXACT(J220,"همكار")),(1),(0))</f>
        <v>0</v>
      </c>
      <c r="AQ220" s="19">
        <f>IF(AP220=1,R219,0)</f>
        <v>0</v>
      </c>
      <c r="AV220" s="19">
        <f>IF((AH219=1),R219,0)</f>
        <v>0</v>
      </c>
      <c r="AW220" s="19">
        <f>IF(AND(EXACT(AN220,"1"),EXACT(AH219,"1")),(1),(0))</f>
        <v>0</v>
      </c>
      <c r="AX220" s="19">
        <f>IF((AW220=1),AV220,0)</f>
        <v>0</v>
      </c>
      <c r="BB220" s="19">
        <f>IF((AI219=1),R219,0)</f>
        <v>0</v>
      </c>
      <c r="BC220" s="19">
        <f>IF(AND(EXACT(AI219,"1"),EXACT(AN220,"1")),(1),(0))</f>
        <v>0</v>
      </c>
      <c r="BD220" s="19">
        <f>IF((BC220=1),BB220,0)</f>
        <v>0</v>
      </c>
      <c r="BH220" s="19">
        <f>IF((AJ219=1),R219,0)</f>
        <v>0</v>
      </c>
      <c r="BI220" s="19">
        <f>IF(AND(EXACT(AJ219,"1"),EXACT(AN220,"1")),(1),(0))</f>
        <v>0</v>
      </c>
      <c r="BJ220" s="19">
        <f>IF((BI220=1),BH220,0)</f>
        <v>0</v>
      </c>
      <c r="BN220" s="19">
        <f>IF((AK219=1),R219,0)</f>
        <v>0</v>
      </c>
      <c r="BO220" s="19">
        <f>IF(AND(EXACT(AK219,"1"),EXACT(AN220,"1")),(1),(0))</f>
        <v>0</v>
      </c>
      <c r="BP220" s="19">
        <f>IF((BO220=1),BN220,0)</f>
        <v>0</v>
      </c>
      <c r="BT220" s="19">
        <f>IF((AL219=1),R219,0)</f>
        <v>0</v>
      </c>
      <c r="BU220" s="19">
        <f>IF(AND(EXACT(AN220,"1"),EXACT(AL219,"1")),(1),(0))</f>
        <v>0</v>
      </c>
      <c r="BV220" s="19">
        <f>IF((BU220=1),BT220,0)</f>
        <v>0</v>
      </c>
      <c r="BZ220" s="19">
        <f>IF((AM219=1),R219,0)</f>
        <v>0</v>
      </c>
      <c r="CA220" s="19">
        <f>IF(AND(EXACT(AM219,"1"),EXACT(AN220,"1")),(1),(0))</f>
        <v>0</v>
      </c>
      <c r="CB220" s="19">
        <f>IF((CA220=1),BZ220,0)</f>
        <v>0</v>
      </c>
    </row>
    <row r="221" spans="1:83" ht="20.25">
      <c r="A221" s="1420" t="s">
        <v>30</v>
      </c>
      <c r="B221" s="1421"/>
      <c r="C221" s="1421"/>
      <c r="D221" s="1422"/>
      <c r="E221" s="536" t="s">
        <v>1001</v>
      </c>
      <c r="F221" s="537"/>
      <c r="G221" s="538" t="s">
        <v>801</v>
      </c>
      <c r="H221" s="539"/>
      <c r="I221" s="538" t="s">
        <v>1002</v>
      </c>
      <c r="J221" s="525"/>
      <c r="K221" s="538" t="s">
        <v>1003</v>
      </c>
      <c r="L221" s="540"/>
      <c r="M221" s="538" t="s">
        <v>1004</v>
      </c>
      <c r="N221" s="541"/>
      <c r="O221" s="1266"/>
      <c r="P221" s="1423"/>
      <c r="Q221" s="1423"/>
      <c r="R221" s="1423"/>
      <c r="S221" s="1423"/>
      <c r="T221" s="1423"/>
      <c r="U221" s="1415"/>
      <c r="AR221" s="19">
        <f>IF(AND(AA219=1,EXACT(J221,"نفر اول")),(1),(0))</f>
        <v>0</v>
      </c>
      <c r="AS221" s="19">
        <f>IF(AR221=1,S219,0)</f>
        <v>0</v>
      </c>
      <c r="AT221" s="19">
        <f>IF(AND(AA219=1,EXACT(J221,"همكار")),(1),(0))</f>
        <v>0</v>
      </c>
      <c r="AU221" s="19">
        <f>IF(AT221=1,S219,0)</f>
        <v>0</v>
      </c>
      <c r="AY221" s="19">
        <f>IF((AH219=1),S219,0)</f>
        <v>0</v>
      </c>
      <c r="AZ221" s="19">
        <f>IF(AND(EXACT(AR221,"1"),EXACT(AH219,"1")),(1),(0))</f>
        <v>0</v>
      </c>
      <c r="BA221" s="19">
        <f>IF((AZ221=1),AY221,0)</f>
        <v>0</v>
      </c>
      <c r="BE221" s="19">
        <f>IF((AI219=1),S219,0)</f>
        <v>0</v>
      </c>
      <c r="BF221" s="19">
        <f>IF(AND(EXACT(AI219,"1"),EXACT(AR221,"1")),(1),(0))</f>
        <v>0</v>
      </c>
      <c r="BG221" s="19">
        <f>IF((BF221=1),BE221,0)</f>
        <v>0</v>
      </c>
      <c r="BK221" s="19">
        <f>IF((AJ219=1),S219,0)</f>
        <v>0</v>
      </c>
      <c r="BL221" s="19">
        <f>IF(AND(EXACT(AJ219,"1"),EXACT(AR221,"1")),(1),(0))</f>
        <v>0</v>
      </c>
      <c r="BM221" s="19">
        <f>IF((BL221=1),BK221,0)</f>
        <v>0</v>
      </c>
      <c r="BQ221" s="19">
        <f>IF((AJ219=1),S219,0)</f>
        <v>0</v>
      </c>
      <c r="BR221" s="19">
        <f>IF(AND(EXACT(AJ219,"1"),EXACT(AR221,"1")),(1),(0))</f>
        <v>0</v>
      </c>
      <c r="BS221" s="19">
        <f>IF((BL221=1),BK221,0)</f>
        <v>0</v>
      </c>
      <c r="BW221" s="19">
        <f>IF((AL219=1),S219,0)</f>
        <v>0</v>
      </c>
      <c r="BX221" s="19">
        <f>IF(AND(EXACT(AL219,"1"),EXACT(AR221,"1")),(1),(0))</f>
        <v>0</v>
      </c>
      <c r="BY221" s="19">
        <f>IF((BX221=1),BW221,0)</f>
        <v>0</v>
      </c>
      <c r="CC221" s="19">
        <f>IF((AM219=1),R219,0)</f>
        <v>0</v>
      </c>
      <c r="CD221" s="19">
        <f>IF(AND(EXACT(AM219,"1"),EXACT(AR221,"1")),(1),(0))</f>
        <v>0</v>
      </c>
      <c r="CE221" s="19">
        <f>IF((CD221=1),CC221,0)</f>
        <v>0</v>
      </c>
    </row>
    <row r="222" spans="1:83" ht="20.25">
      <c r="A222" s="12">
        <f>IF(AA222=0,0,IF(AA219=0,Z222,SUM(A219,AA222)))</f>
        <v>0</v>
      </c>
      <c r="B222" s="1157"/>
      <c r="C222" s="1157"/>
      <c r="D222" s="1157"/>
      <c r="E222" s="1182"/>
      <c r="F222" s="1424"/>
      <c r="G222" s="1424"/>
      <c r="H222" s="527"/>
      <c r="I222" s="528"/>
      <c r="J222" s="529"/>
      <c r="K222" s="530"/>
      <c r="L222" s="531"/>
      <c r="M222" s="532"/>
      <c r="N222" s="533"/>
      <c r="O222" s="532"/>
      <c r="P222" s="1182"/>
      <c r="Q222" s="1182"/>
      <c r="R222" s="534">
        <f t="shared" ref="R222" ca="1" si="276">IF(OR(EXACT(H222,""),EXACT(B222,""),EXACT(F223,""),EXACT(H223,""),EXACT(J223,""),EXACT(L223,""),EXACT(N223,""),EXACT(F222,""),EXACT(J222,""),EXACT(M222,""),EXACT(N222,""),EXACT(O222,""),EXACT(P222,"")),0,IF(OR(EXACT(P223,"مقاله پر استناد"),EXACT(P223,"مقاله داغ"),EXACT(P223,"مستخرج از برنامه تحقيقاتي ملي معطوف به رفع مشكلات كشور")),(1.5*(F223*N223*(IF(EXACT(J223,"نفر اول"),INDIRECT(CONCATENATE("'Data Base'!$d",H223)),INDIRECT(CONCATENATE("'Data Base'!$e",H223))))*((100-L223)/100))),IF(EXACT(P223,"Short Article"),(0.5*(F223*N223*(IF(EXACT(J223,"نفر اول"),INDIRECT(CONCATENATE("'Data Base'!$D",H223)),INDIRECT(CONCATENATE("'Data Base'!$E",H223))))*((100-L223)/100))),IF(EXACT(P223,"چاپ شده در نشريات بسيار پر استناد Nature و Science"),(2*(F223*N223*(IF(EXACT(J223,"نفر اول"),INDIRECT(CONCATENATE("'Data Base'!$D",H223)),INDIRECT(CONCATENATE("'Data Base'!$E",H223))))*((100-L223)/100))),IF(OR(EXACT(P223,"مستخرج از طرح پژوهشي محرمانه"),EXACT(P223,"مشترك با اساتيد دانشگاه خارج از كشور")),(1.2*(F223*N223*(IF(EXACT(J223,"نفر اول"),INDIRECT(CONCATENATE("'Data Base'!$D",H223)),INDIRECT(CONCATENATE("'Data Base'!$E",H223))))*((100-L223)/100))),(F223*N223*(IF(EXACT(J223,"نفر اول"),INDIRECT(CONCATENATE("'Data Base'!$d",H223)),INDIRECT(CONCATENATE("'Data Base'!$e",H223))))*((100-L223)/100)))))))</f>
        <v>0</v>
      </c>
      <c r="S222" s="535">
        <f t="shared" ref="S222" ca="1" si="277">IF(OR(EXACT(H222,""),EXACT(B222,""),EXACT(F224,""),EXACT(H224,""),EXACT(J224,""),EXACT(L224,""),EXACT(N224,""),EXACT(F222,""),EXACT(J222,""),EXACT(M222,""),EXACT(N222,""),EXACT(O222,""),EXACT(P222,"")),0,IF(OR(EXACT(P224,"مقاله پر استناد"),EXACT(P224,"مقاله داغ"),EXACT(P224,"مستخرج از برنامه تحقيقاتي ملي معطوف به رفع مشكلات كشور")),(1.5*(F224*N224*(IF(EXACT(J224,"نفر اول"),INDIRECT(CONCATENATE("'Data Base'!$d",H224)),INDIRECT(CONCATENATE("'Data Base'!$E",H224))))*((100-L224)/100))),IF(EXACT(P224,"Short Article"),(0.5*(F224*N224*(IF(EXACT(J224,"نفر اول"),INDIRECT(CONCATENATE("'Data Base'!$D",H224)),INDIRECT(CONCATENATE("'Data Base'!$E",H224))))*((100-L224)/100))),IF(EXACT(P224,"چاپ شده در نشريات بسيار پر استناد Nature و Science"),(2*(F224*N224*(IF(EXACT(J224,"نفر اول"),INDIRECT(CONCATENATE("'Data Base'!$D",H224)),INDIRECT(CONCATENATE("'Data Base'!$E",H224))))*((100-L224)/100))),IF(OR(EXACT(P224,"مستخرج از طرح پژوهشي محرمانه"),EXACT(P224,"مشترك با اساتيد دانشگاه خارج از كشور")),(1.2*(F224*N224*(IF(EXACT(J224,"نفر اول"),INDIRECT(CONCATENATE("'Data Base'!$D",H224)),INDIRECT(CONCATENATE("'Data Base'!$E",H224))))*((100-L224)/100))),(F224*N224*(IF(EXACT(J224,"نفر اول"),INDIRECT(CONCATENATE("'Data Base'!$D",H224)),INDIRECT(CONCATENATE("'Data Base'!$E",H224))))*((100-L224)/100)))))))</f>
        <v>0</v>
      </c>
      <c r="T222" s="147"/>
      <c r="U222" s="1414"/>
      <c r="Z222" s="19">
        <f>SUM(Z219,AA222)</f>
        <v>0</v>
      </c>
      <c r="AA222" s="19">
        <f>IF(OR(OR(B222="",F222="",H222="",J222="",P222=""),AND(M222="",O222="")),0,1)</f>
        <v>0</v>
      </c>
      <c r="AB222" s="19">
        <f t="shared" ref="AB222" ca="1" si="278">IF(AND(AA222=1,S222&gt;0),1,0)</f>
        <v>0</v>
      </c>
      <c r="AC222" s="19">
        <f t="shared" ref="AC222" ca="1" si="279">IF(AND(AA222=1,S222&lt;1),1,0)</f>
        <v>0</v>
      </c>
      <c r="AD222" s="19">
        <f ca="1">IF(AND(AA222=1,S222&gt;=1,AJ222=1),1,0)</f>
        <v>0</v>
      </c>
      <c r="AE222" s="19">
        <f ca="1">IF(AD222=1,S222,0)</f>
        <v>0</v>
      </c>
      <c r="AF222" s="19">
        <f ca="1">IF(AND(AA222=1,S222&gt;=1,AJ222=1,AR224=1),1,0)</f>
        <v>0</v>
      </c>
      <c r="AG222" s="19">
        <f ca="1">IF(AF222=1,S222,0)</f>
        <v>0</v>
      </c>
      <c r="AH222" s="19">
        <f>IF(OR(EXACT(H222,"JCR-Q1"),EXACT(H222,"JCR-Q2")),(1),(0))</f>
        <v>0</v>
      </c>
      <c r="AI222" s="19">
        <f>IF(OR(EXACT(H222,"JCR-Q1"),EXACT(H222,"JCR-Q2"),EXACT(H222,"JCR-Q3")),(1),(0))</f>
        <v>0</v>
      </c>
      <c r="AJ222" s="19">
        <f>IF(OR(EXACT(H222,"JCR-Q1"),EXACT(H222,"JCR-Q2"),EXACT(H222,"JCR-Q3"),EXACT(H222,"JCR-Q4")),(1),(0))</f>
        <v>0</v>
      </c>
      <c r="AK222" s="19">
        <f>IF(OR(EXACT(H222,"JCR-Q1"),EXACT(H222,"JCR-Q2"),EXACT(H222,"JCR-Q3"),EXACT(H222,"JCR-Q4"),EXACT(H222,"WOS")),(1),(0))</f>
        <v>0</v>
      </c>
      <c r="AL222" s="19">
        <f>IF(OR(EXACT(H222,"JCR-Q1"),EXACT(H222,"JCR-Q2"),EXACT(H222,"JCR-Q3"),EXACT(H222,"JCR-Q4"),EXACT(H222,"WOS"),EXACT(H222,"Scopus")),(1),(0))</f>
        <v>0</v>
      </c>
      <c r="AM222" s="19">
        <f>IF(OR(EXACT(H222,'Data Base'!$B$21),EXACT(H222,'Data Base'!$B$22)),(1),(0))</f>
        <v>0</v>
      </c>
    </row>
    <row r="223" spans="1:83" ht="20.25" customHeight="1">
      <c r="A223" s="1416" t="s">
        <v>29</v>
      </c>
      <c r="B223" s="1417"/>
      <c r="C223" s="1417"/>
      <c r="D223" s="1418"/>
      <c r="E223" s="514" t="s">
        <v>1001</v>
      </c>
      <c r="F223" s="515"/>
      <c r="G223" s="516" t="s">
        <v>801</v>
      </c>
      <c r="H223" s="517"/>
      <c r="I223" s="516" t="s">
        <v>1002</v>
      </c>
      <c r="J223" s="518"/>
      <c r="K223" s="516" t="s">
        <v>1003</v>
      </c>
      <c r="L223" s="519"/>
      <c r="M223" s="516" t="s">
        <v>1004</v>
      </c>
      <c r="N223" s="520"/>
      <c r="O223" s="1266" t="s">
        <v>55</v>
      </c>
      <c r="P223" s="1419"/>
      <c r="Q223" s="1419"/>
      <c r="R223" s="1419"/>
      <c r="S223" s="1419"/>
      <c r="T223" s="1419"/>
      <c r="U223" s="1415"/>
      <c r="AN223" s="19">
        <f>IF(AND(AA222=1,EXACT(J223,"نفر اول")),(1),(0))</f>
        <v>0</v>
      </c>
      <c r="AO223" s="19">
        <f>IF(AN223=1,R222,0)</f>
        <v>0</v>
      </c>
      <c r="AP223" s="19">
        <f>IF(AND(AA222=1,EXACT(J223,"همكار")),(1),(0))</f>
        <v>0</v>
      </c>
      <c r="AQ223" s="19">
        <f>IF(AP223=1,R222,0)</f>
        <v>0</v>
      </c>
      <c r="AV223" s="19">
        <f>IF((AH222=1),R222,0)</f>
        <v>0</v>
      </c>
      <c r="AW223" s="19">
        <f>IF(AND(EXACT(AN223,"1"),EXACT(AH222,"1")),(1),(0))</f>
        <v>0</v>
      </c>
      <c r="AX223" s="19">
        <f>IF((AW223=1),AV223,0)</f>
        <v>0</v>
      </c>
      <c r="BB223" s="19">
        <f>IF((AI222=1),R222,0)</f>
        <v>0</v>
      </c>
      <c r="BC223" s="19">
        <f>IF(AND(EXACT(AI222,"1"),EXACT(AN223,"1")),(1),(0))</f>
        <v>0</v>
      </c>
      <c r="BD223" s="19">
        <f>IF((BC223=1),BB223,0)</f>
        <v>0</v>
      </c>
      <c r="BH223" s="19">
        <f>IF((AJ222=1),R222,0)</f>
        <v>0</v>
      </c>
      <c r="BI223" s="19">
        <f>IF(AND(EXACT(AJ222,"1"),EXACT(AN223,"1")),(1),(0))</f>
        <v>0</v>
      </c>
      <c r="BJ223" s="19">
        <f>IF((BI223=1),BH223,0)</f>
        <v>0</v>
      </c>
      <c r="BN223" s="19">
        <f>IF((AK222=1),R222,0)</f>
        <v>0</v>
      </c>
      <c r="BO223" s="19">
        <f>IF(AND(EXACT(AK222,"1"),EXACT(AN223,"1")),(1),(0))</f>
        <v>0</v>
      </c>
      <c r="BP223" s="19">
        <f>IF((BO223=1),BN223,0)</f>
        <v>0</v>
      </c>
      <c r="BT223" s="19">
        <f>IF((AL222=1),R222,0)</f>
        <v>0</v>
      </c>
      <c r="BU223" s="19">
        <f>IF(AND(EXACT(AN223,"1"),EXACT(AL222,"1")),(1),(0))</f>
        <v>0</v>
      </c>
      <c r="BV223" s="19">
        <f>IF((BU223=1),BT223,0)</f>
        <v>0</v>
      </c>
      <c r="BZ223" s="19">
        <f>IF((AM222=1),R222,0)</f>
        <v>0</v>
      </c>
      <c r="CA223" s="19">
        <f>IF(AND(EXACT(AM222,"1"),EXACT(AN223,"1")),(1),(0))</f>
        <v>0</v>
      </c>
      <c r="CB223" s="19">
        <f>IF((CA223=1),BZ223,0)</f>
        <v>0</v>
      </c>
    </row>
    <row r="224" spans="1:83" ht="20.25">
      <c r="A224" s="1420" t="s">
        <v>30</v>
      </c>
      <c r="B224" s="1421"/>
      <c r="C224" s="1421"/>
      <c r="D224" s="1422"/>
      <c r="E224" s="536" t="s">
        <v>1001</v>
      </c>
      <c r="F224" s="537"/>
      <c r="G224" s="538" t="s">
        <v>801</v>
      </c>
      <c r="H224" s="539"/>
      <c r="I224" s="538" t="s">
        <v>1002</v>
      </c>
      <c r="J224" s="525"/>
      <c r="K224" s="538" t="s">
        <v>1003</v>
      </c>
      <c r="L224" s="540"/>
      <c r="M224" s="538" t="s">
        <v>1004</v>
      </c>
      <c r="N224" s="541"/>
      <c r="O224" s="1266"/>
      <c r="P224" s="1423"/>
      <c r="Q224" s="1423"/>
      <c r="R224" s="1423"/>
      <c r="S224" s="1423"/>
      <c r="T224" s="1423"/>
      <c r="U224" s="1415"/>
      <c r="AR224" s="19">
        <f>IF(AND(AA222=1,EXACT(J224,"نفر اول")),(1),(0))</f>
        <v>0</v>
      </c>
      <c r="AS224" s="19">
        <f>IF(AR224=1,S222,0)</f>
        <v>0</v>
      </c>
      <c r="AT224" s="19">
        <f>IF(AND(AA222=1,EXACT(J224,"همكار")),(1),(0))</f>
        <v>0</v>
      </c>
      <c r="AU224" s="19">
        <f>IF(AT224=1,S222,0)</f>
        <v>0</v>
      </c>
      <c r="AY224" s="19">
        <f>IF((AH222=1),S222,0)</f>
        <v>0</v>
      </c>
      <c r="AZ224" s="19">
        <f>IF(AND(EXACT(AR224,"1"),EXACT(AH222,"1")),(1),(0))</f>
        <v>0</v>
      </c>
      <c r="BA224" s="19">
        <f>IF((AZ224=1),AY224,0)</f>
        <v>0</v>
      </c>
      <c r="BE224" s="19">
        <f>IF((AI222=1),S222,0)</f>
        <v>0</v>
      </c>
      <c r="BF224" s="19">
        <f>IF(AND(EXACT(AI222,"1"),EXACT(AR224,"1")),(1),(0))</f>
        <v>0</v>
      </c>
      <c r="BG224" s="19">
        <f>IF((BF224=1),BE224,0)</f>
        <v>0</v>
      </c>
      <c r="BK224" s="19">
        <f>IF((AJ222=1),S222,0)</f>
        <v>0</v>
      </c>
      <c r="BL224" s="19">
        <f>IF(AND(EXACT(AJ222,"1"),EXACT(AR224,"1")),(1),(0))</f>
        <v>0</v>
      </c>
      <c r="BM224" s="19">
        <f>IF((BL224=1),BK224,0)</f>
        <v>0</v>
      </c>
      <c r="BQ224" s="19">
        <f>IF((AJ222=1),S222,0)</f>
        <v>0</v>
      </c>
      <c r="BR224" s="19">
        <f>IF(AND(EXACT(AJ222,"1"),EXACT(AR224,"1")),(1),(0))</f>
        <v>0</v>
      </c>
      <c r="BS224" s="19">
        <f>IF((BL224=1),BK224,0)</f>
        <v>0</v>
      </c>
      <c r="BW224" s="19">
        <f>IF((AL222=1),S222,0)</f>
        <v>0</v>
      </c>
      <c r="BX224" s="19">
        <f>IF(AND(EXACT(AL222,"1"),EXACT(AR224,"1")),(1),(0))</f>
        <v>0</v>
      </c>
      <c r="BY224" s="19">
        <f>IF((BX224=1),BW224,0)</f>
        <v>0</v>
      </c>
      <c r="CC224" s="19">
        <f>IF((AM222=1),R222,0)</f>
        <v>0</v>
      </c>
      <c r="CD224" s="19">
        <f>IF(AND(EXACT(AM222,"1"),EXACT(AR224,"1")),(1),(0))</f>
        <v>0</v>
      </c>
      <c r="CE224" s="19">
        <f>IF((CD224=1),CC224,0)</f>
        <v>0</v>
      </c>
    </row>
    <row r="225" spans="1:83" ht="20.25">
      <c r="A225" s="12">
        <f>IF(AA225=0,0,IF(AA222=0,Z225,SUM(A222,AA225)))</f>
        <v>0</v>
      </c>
      <c r="B225" s="1157"/>
      <c r="C225" s="1157"/>
      <c r="D225" s="1157"/>
      <c r="E225" s="1182"/>
      <c r="F225" s="1424"/>
      <c r="G225" s="1424"/>
      <c r="H225" s="527"/>
      <c r="I225" s="528"/>
      <c r="J225" s="529"/>
      <c r="K225" s="530"/>
      <c r="L225" s="531"/>
      <c r="M225" s="532"/>
      <c r="N225" s="533"/>
      <c r="O225" s="532"/>
      <c r="P225" s="1182"/>
      <c r="Q225" s="1182"/>
      <c r="R225" s="534">
        <f t="shared" ref="R225" ca="1" si="280">IF(OR(EXACT(H225,""),EXACT(B225,""),EXACT(F226,""),EXACT(H226,""),EXACT(J226,""),EXACT(L226,""),EXACT(N226,""),EXACT(F225,""),EXACT(J225,""),EXACT(M225,""),EXACT(N225,""),EXACT(O225,""),EXACT(P225,"")),0,IF(OR(EXACT(P226,"مقاله پر استناد"),EXACT(P226,"مقاله داغ"),EXACT(P226,"مستخرج از برنامه تحقيقاتي ملي معطوف به رفع مشكلات كشور")),(1.5*(F226*N226*(IF(EXACT(J226,"نفر اول"),INDIRECT(CONCATENATE("'Data Base'!$d",H226)),INDIRECT(CONCATENATE("'Data Base'!$e",H226))))*((100-L226)/100))),IF(EXACT(P226,"Short Article"),(0.5*(F226*N226*(IF(EXACT(J226,"نفر اول"),INDIRECT(CONCATENATE("'Data Base'!$D",H226)),INDIRECT(CONCATENATE("'Data Base'!$E",H226))))*((100-L226)/100))),IF(EXACT(P226,"چاپ شده در نشريات بسيار پر استناد Nature و Science"),(2*(F226*N226*(IF(EXACT(J226,"نفر اول"),INDIRECT(CONCATENATE("'Data Base'!$D",H226)),INDIRECT(CONCATENATE("'Data Base'!$E",H226))))*((100-L226)/100))),IF(OR(EXACT(P226,"مستخرج از طرح پژوهشي محرمانه"),EXACT(P226,"مشترك با اساتيد دانشگاه خارج از كشور")),(1.2*(F226*N226*(IF(EXACT(J226,"نفر اول"),INDIRECT(CONCATENATE("'Data Base'!$D",H226)),INDIRECT(CONCATENATE("'Data Base'!$E",H226))))*((100-L226)/100))),(F226*N226*(IF(EXACT(J226,"نفر اول"),INDIRECT(CONCATENATE("'Data Base'!$d",H226)),INDIRECT(CONCATENATE("'Data Base'!$e",H226))))*((100-L226)/100)))))))</f>
        <v>0</v>
      </c>
      <c r="S225" s="535">
        <f t="shared" ref="S225" ca="1" si="281">IF(OR(EXACT(H225,""),EXACT(B225,""),EXACT(F227,""),EXACT(H227,""),EXACT(J227,""),EXACT(L227,""),EXACT(N227,""),EXACT(F225,""),EXACT(J225,""),EXACT(M225,""),EXACT(N225,""),EXACT(O225,""),EXACT(P225,"")),0,IF(OR(EXACT(P227,"مقاله پر استناد"),EXACT(P227,"مقاله داغ"),EXACT(P227,"مستخرج از برنامه تحقيقاتي ملي معطوف به رفع مشكلات كشور")),(1.5*(F227*N227*(IF(EXACT(J227,"نفر اول"),INDIRECT(CONCATENATE("'Data Base'!$d",H227)),INDIRECT(CONCATENATE("'Data Base'!$E",H227))))*((100-L227)/100))),IF(EXACT(P227,"Short Article"),(0.5*(F227*N227*(IF(EXACT(J227,"نفر اول"),INDIRECT(CONCATENATE("'Data Base'!$D",H227)),INDIRECT(CONCATENATE("'Data Base'!$E",H227))))*((100-L227)/100))),IF(EXACT(P227,"چاپ شده در نشريات بسيار پر استناد Nature و Science"),(2*(F227*N227*(IF(EXACT(J227,"نفر اول"),INDIRECT(CONCATENATE("'Data Base'!$D",H227)),INDIRECT(CONCATENATE("'Data Base'!$E",H227))))*((100-L227)/100))),IF(OR(EXACT(P227,"مستخرج از طرح پژوهشي محرمانه"),EXACT(P227,"مشترك با اساتيد دانشگاه خارج از كشور")),(1.2*(F227*N227*(IF(EXACT(J227,"نفر اول"),INDIRECT(CONCATENATE("'Data Base'!$D",H227)),INDIRECT(CONCATENATE("'Data Base'!$E",H227))))*((100-L227)/100))),(F227*N227*(IF(EXACT(J227,"نفر اول"),INDIRECT(CONCATENATE("'Data Base'!$D",H227)),INDIRECT(CONCATENATE("'Data Base'!$E",H227))))*((100-L227)/100)))))))</f>
        <v>0</v>
      </c>
      <c r="T225" s="147"/>
      <c r="U225" s="1414"/>
      <c r="Z225" s="19">
        <f>SUM(Z222,AA225)</f>
        <v>0</v>
      </c>
      <c r="AA225" s="19">
        <f>IF(OR(OR(B225="",F225="",H225="",J225="",P225=""),AND(M225="",O225="")),0,1)</f>
        <v>0</v>
      </c>
      <c r="AB225" s="19">
        <f t="shared" ref="AB225" ca="1" si="282">IF(AND(AA225=1,S225&gt;0),1,0)</f>
        <v>0</v>
      </c>
      <c r="AC225" s="19">
        <f t="shared" ref="AC225" ca="1" si="283">IF(AND(AA225=1,S225&lt;1),1,0)</f>
        <v>0</v>
      </c>
      <c r="AD225" s="19">
        <f ca="1">IF(AND(AA225=1,S225&gt;=1,AJ225=1),1,0)</f>
        <v>0</v>
      </c>
      <c r="AE225" s="19">
        <f ca="1">IF(AD225=1,S225,0)</f>
        <v>0</v>
      </c>
      <c r="AF225" s="19">
        <f ca="1">IF(AND(AA225=1,S225&gt;=1,AJ225=1,AR227=1),1,0)</f>
        <v>0</v>
      </c>
      <c r="AG225" s="19">
        <f ca="1">IF(AF225=1,S225,0)</f>
        <v>0</v>
      </c>
      <c r="AH225" s="19">
        <f>IF(OR(EXACT(H225,"JCR-Q1"),EXACT(H225,"JCR-Q2")),(1),(0))</f>
        <v>0</v>
      </c>
      <c r="AI225" s="19">
        <f>IF(OR(EXACT(H225,"JCR-Q1"),EXACT(H225,"JCR-Q2"),EXACT(H225,"JCR-Q3")),(1),(0))</f>
        <v>0</v>
      </c>
      <c r="AJ225" s="19">
        <f>IF(OR(EXACT(H225,"JCR-Q1"),EXACT(H225,"JCR-Q2"),EXACT(H225,"JCR-Q3"),EXACT(H225,"JCR-Q4")),(1),(0))</f>
        <v>0</v>
      </c>
      <c r="AK225" s="19">
        <f>IF(OR(EXACT(H225,"JCR-Q1"),EXACT(H225,"JCR-Q2"),EXACT(H225,"JCR-Q3"),EXACT(H225,"JCR-Q4"),EXACT(H225,"WOS")),(1),(0))</f>
        <v>0</v>
      </c>
      <c r="AL225" s="19">
        <f>IF(OR(EXACT(H225,"JCR-Q1"),EXACT(H225,"JCR-Q2"),EXACT(H225,"JCR-Q3"),EXACT(H225,"JCR-Q4"),EXACT(H225,"WOS"),EXACT(H225,"Scopus")),(1),(0))</f>
        <v>0</v>
      </c>
      <c r="AM225" s="19">
        <f>IF(OR(EXACT(H225,'Data Base'!$B$21),EXACT(H225,'Data Base'!$B$22)),(1),(0))</f>
        <v>0</v>
      </c>
    </row>
    <row r="226" spans="1:83" ht="20.25" customHeight="1">
      <c r="A226" s="1416" t="s">
        <v>29</v>
      </c>
      <c r="B226" s="1417"/>
      <c r="C226" s="1417"/>
      <c r="D226" s="1418"/>
      <c r="E226" s="514" t="s">
        <v>1001</v>
      </c>
      <c r="F226" s="515"/>
      <c r="G226" s="516" t="s">
        <v>801</v>
      </c>
      <c r="H226" s="517"/>
      <c r="I226" s="516" t="s">
        <v>1002</v>
      </c>
      <c r="J226" s="518"/>
      <c r="K226" s="516" t="s">
        <v>1003</v>
      </c>
      <c r="L226" s="519"/>
      <c r="M226" s="516" t="s">
        <v>1004</v>
      </c>
      <c r="N226" s="520"/>
      <c r="O226" s="1266" t="s">
        <v>55</v>
      </c>
      <c r="P226" s="1419"/>
      <c r="Q226" s="1419"/>
      <c r="R226" s="1419"/>
      <c r="S226" s="1419"/>
      <c r="T226" s="1419"/>
      <c r="U226" s="1415"/>
      <c r="AN226" s="19">
        <f>IF(AND(AA225=1,EXACT(J226,"نفر اول")),(1),(0))</f>
        <v>0</v>
      </c>
      <c r="AO226" s="19">
        <f>IF(AN226=1,R225,0)</f>
        <v>0</v>
      </c>
      <c r="AP226" s="19">
        <f>IF(AND(AA225=1,EXACT(J226,"همكار")),(1),(0))</f>
        <v>0</v>
      </c>
      <c r="AQ226" s="19">
        <f>IF(AP226=1,R225,0)</f>
        <v>0</v>
      </c>
      <c r="AV226" s="19">
        <f>IF((AH225=1),R225,0)</f>
        <v>0</v>
      </c>
      <c r="AW226" s="19">
        <f>IF(AND(EXACT(AN226,"1"),EXACT(AH225,"1")),(1),(0))</f>
        <v>0</v>
      </c>
      <c r="AX226" s="19">
        <f>IF((AW226=1),AV226,0)</f>
        <v>0</v>
      </c>
      <c r="BB226" s="19">
        <f>IF((AI225=1),R225,0)</f>
        <v>0</v>
      </c>
      <c r="BC226" s="19">
        <f>IF(AND(EXACT(AI225,"1"),EXACT(AN226,"1")),(1),(0))</f>
        <v>0</v>
      </c>
      <c r="BD226" s="19">
        <f>IF((BC226=1),BB226,0)</f>
        <v>0</v>
      </c>
      <c r="BH226" s="19">
        <f>IF((AJ225=1),R225,0)</f>
        <v>0</v>
      </c>
      <c r="BI226" s="19">
        <f>IF(AND(EXACT(AJ225,"1"),EXACT(AN226,"1")),(1),(0))</f>
        <v>0</v>
      </c>
      <c r="BJ226" s="19">
        <f>IF((BI226=1),BH226,0)</f>
        <v>0</v>
      </c>
      <c r="BN226" s="19">
        <f>IF((AK225=1),R225,0)</f>
        <v>0</v>
      </c>
      <c r="BO226" s="19">
        <f>IF(AND(EXACT(AK225,"1"),EXACT(AN226,"1")),(1),(0))</f>
        <v>0</v>
      </c>
      <c r="BP226" s="19">
        <f>IF((BO226=1),BN226,0)</f>
        <v>0</v>
      </c>
      <c r="BT226" s="19">
        <f>IF((AL225=1),R225,0)</f>
        <v>0</v>
      </c>
      <c r="BU226" s="19">
        <f>IF(AND(EXACT(AN226,"1"),EXACT(AL225,"1")),(1),(0))</f>
        <v>0</v>
      </c>
      <c r="BV226" s="19">
        <f>IF((BU226=1),BT226,0)</f>
        <v>0</v>
      </c>
      <c r="BZ226" s="19">
        <f>IF((AM225=1),R225,0)</f>
        <v>0</v>
      </c>
      <c r="CA226" s="19">
        <f>IF(AND(EXACT(AM225,"1"),EXACT(AN226,"1")),(1),(0))</f>
        <v>0</v>
      </c>
      <c r="CB226" s="19">
        <f>IF((CA226=1),BZ226,0)</f>
        <v>0</v>
      </c>
    </row>
    <row r="227" spans="1:83" ht="20.25">
      <c r="A227" s="1420" t="s">
        <v>30</v>
      </c>
      <c r="B227" s="1421"/>
      <c r="C227" s="1421"/>
      <c r="D227" s="1422"/>
      <c r="E227" s="536" t="s">
        <v>1001</v>
      </c>
      <c r="F227" s="537"/>
      <c r="G227" s="538" t="s">
        <v>801</v>
      </c>
      <c r="H227" s="539"/>
      <c r="I227" s="538" t="s">
        <v>1002</v>
      </c>
      <c r="J227" s="525"/>
      <c r="K227" s="538" t="s">
        <v>1003</v>
      </c>
      <c r="L227" s="540"/>
      <c r="M227" s="538" t="s">
        <v>1004</v>
      </c>
      <c r="N227" s="541"/>
      <c r="O227" s="1266"/>
      <c r="P227" s="1423"/>
      <c r="Q227" s="1423"/>
      <c r="R227" s="1423"/>
      <c r="S227" s="1423"/>
      <c r="T227" s="1423"/>
      <c r="U227" s="1415"/>
      <c r="AR227" s="19">
        <f>IF(AND(AA225=1,EXACT(J227,"نفر اول")),(1),(0))</f>
        <v>0</v>
      </c>
      <c r="AS227" s="19">
        <f>IF(AR227=1,S225,0)</f>
        <v>0</v>
      </c>
      <c r="AT227" s="19">
        <f>IF(AND(AA225=1,EXACT(J227,"همكار")),(1),(0))</f>
        <v>0</v>
      </c>
      <c r="AU227" s="19">
        <f>IF(AT227=1,S225,0)</f>
        <v>0</v>
      </c>
      <c r="AY227" s="19">
        <f>IF((AH225=1),S225,0)</f>
        <v>0</v>
      </c>
      <c r="AZ227" s="19">
        <f>IF(AND(EXACT(AR227,"1"),EXACT(AH225,"1")),(1),(0))</f>
        <v>0</v>
      </c>
      <c r="BA227" s="19">
        <f>IF((AZ227=1),AY227,0)</f>
        <v>0</v>
      </c>
      <c r="BE227" s="19">
        <f>IF((AI225=1),S225,0)</f>
        <v>0</v>
      </c>
      <c r="BF227" s="19">
        <f>IF(AND(EXACT(AI225,"1"),EXACT(AR227,"1")),(1),(0))</f>
        <v>0</v>
      </c>
      <c r="BG227" s="19">
        <f>IF((BF227=1),BE227,0)</f>
        <v>0</v>
      </c>
      <c r="BK227" s="19">
        <f>IF((AJ225=1),S225,0)</f>
        <v>0</v>
      </c>
      <c r="BL227" s="19">
        <f>IF(AND(EXACT(AJ225,"1"),EXACT(AR227,"1")),(1),(0))</f>
        <v>0</v>
      </c>
      <c r="BM227" s="19">
        <f>IF((BL227=1),BK227,0)</f>
        <v>0</v>
      </c>
      <c r="BQ227" s="19">
        <f>IF((AJ225=1),S225,0)</f>
        <v>0</v>
      </c>
      <c r="BR227" s="19">
        <f>IF(AND(EXACT(AJ225,"1"),EXACT(AR227,"1")),(1),(0))</f>
        <v>0</v>
      </c>
      <c r="BS227" s="19">
        <f>IF((BL227=1),BK227,0)</f>
        <v>0</v>
      </c>
      <c r="BW227" s="19">
        <f>IF((AL225=1),S225,0)</f>
        <v>0</v>
      </c>
      <c r="BX227" s="19">
        <f>IF(AND(EXACT(AL225,"1"),EXACT(AR227,"1")),(1),(0))</f>
        <v>0</v>
      </c>
      <c r="BY227" s="19">
        <f>IF((BX227=1),BW227,0)</f>
        <v>0</v>
      </c>
      <c r="CC227" s="19">
        <f>IF((AM225=1),R225,0)</f>
        <v>0</v>
      </c>
      <c r="CD227" s="19">
        <f>IF(AND(EXACT(AM225,"1"),EXACT(AR227,"1")),(1),(0))</f>
        <v>0</v>
      </c>
      <c r="CE227" s="19">
        <f>IF((CD227=1),CC227,0)</f>
        <v>0</v>
      </c>
    </row>
    <row r="228" spans="1:83" ht="20.25">
      <c r="A228" s="12">
        <f>IF(AA228=0,0,IF(AA225=0,Z228,SUM(A225,AA228)))</f>
        <v>0</v>
      </c>
      <c r="B228" s="1157"/>
      <c r="C228" s="1157"/>
      <c r="D228" s="1157"/>
      <c r="E228" s="1182"/>
      <c r="F228" s="1424"/>
      <c r="G228" s="1424"/>
      <c r="H228" s="527"/>
      <c r="I228" s="528"/>
      <c r="J228" s="529"/>
      <c r="K228" s="530"/>
      <c r="L228" s="531"/>
      <c r="M228" s="532"/>
      <c r="N228" s="533"/>
      <c r="O228" s="532"/>
      <c r="P228" s="1182"/>
      <c r="Q228" s="1182"/>
      <c r="R228" s="534">
        <f t="shared" ref="R228" ca="1" si="284">IF(OR(EXACT(H228,""),EXACT(B228,""),EXACT(F229,""),EXACT(H229,""),EXACT(J229,""),EXACT(L229,""),EXACT(N229,""),EXACT(F228,""),EXACT(J228,""),EXACT(M228,""),EXACT(N228,""),EXACT(O228,""),EXACT(P228,"")),0,IF(OR(EXACT(P229,"مقاله پر استناد"),EXACT(P229,"مقاله داغ"),EXACT(P229,"مستخرج از برنامه تحقيقاتي ملي معطوف به رفع مشكلات كشور")),(1.5*(F229*N229*(IF(EXACT(J229,"نفر اول"),INDIRECT(CONCATENATE("'Data Base'!$d",H229)),INDIRECT(CONCATENATE("'Data Base'!$e",H229))))*((100-L229)/100))),IF(EXACT(P229,"Short Article"),(0.5*(F229*N229*(IF(EXACT(J229,"نفر اول"),INDIRECT(CONCATENATE("'Data Base'!$D",H229)),INDIRECT(CONCATENATE("'Data Base'!$E",H229))))*((100-L229)/100))),IF(EXACT(P229,"چاپ شده در نشريات بسيار پر استناد Nature و Science"),(2*(F229*N229*(IF(EXACT(J229,"نفر اول"),INDIRECT(CONCATENATE("'Data Base'!$D",H229)),INDIRECT(CONCATENATE("'Data Base'!$E",H229))))*((100-L229)/100))),IF(OR(EXACT(P229,"مستخرج از طرح پژوهشي محرمانه"),EXACT(P229,"مشترك با اساتيد دانشگاه خارج از كشور")),(1.2*(F229*N229*(IF(EXACT(J229,"نفر اول"),INDIRECT(CONCATENATE("'Data Base'!$D",H229)),INDIRECT(CONCATENATE("'Data Base'!$E",H229))))*((100-L229)/100))),(F229*N229*(IF(EXACT(J229,"نفر اول"),INDIRECT(CONCATENATE("'Data Base'!$d",H229)),INDIRECT(CONCATENATE("'Data Base'!$e",H229))))*((100-L229)/100)))))))</f>
        <v>0</v>
      </c>
      <c r="S228" s="535">
        <f t="shared" ref="S228" ca="1" si="285">IF(OR(EXACT(H228,""),EXACT(B228,""),EXACT(F230,""),EXACT(H230,""),EXACT(J230,""),EXACT(L230,""),EXACT(N230,""),EXACT(F228,""),EXACT(J228,""),EXACT(M228,""),EXACT(N228,""),EXACT(O228,""),EXACT(P228,"")),0,IF(OR(EXACT(P230,"مقاله پر استناد"),EXACT(P230,"مقاله داغ"),EXACT(P230,"مستخرج از برنامه تحقيقاتي ملي معطوف به رفع مشكلات كشور")),(1.5*(F230*N230*(IF(EXACT(J230,"نفر اول"),INDIRECT(CONCATENATE("'Data Base'!$d",H230)),INDIRECT(CONCATENATE("'Data Base'!$E",H230))))*((100-L230)/100))),IF(EXACT(P230,"Short Article"),(0.5*(F230*N230*(IF(EXACT(J230,"نفر اول"),INDIRECT(CONCATENATE("'Data Base'!$D",H230)),INDIRECT(CONCATENATE("'Data Base'!$E",H230))))*((100-L230)/100))),IF(EXACT(P230,"چاپ شده در نشريات بسيار پر استناد Nature و Science"),(2*(F230*N230*(IF(EXACT(J230,"نفر اول"),INDIRECT(CONCATENATE("'Data Base'!$D",H230)),INDIRECT(CONCATENATE("'Data Base'!$E",H230))))*((100-L230)/100))),IF(OR(EXACT(P230,"مستخرج از طرح پژوهشي محرمانه"),EXACT(P230,"مشترك با اساتيد دانشگاه خارج از كشور")),(1.2*(F230*N230*(IF(EXACT(J230,"نفر اول"),INDIRECT(CONCATENATE("'Data Base'!$D",H230)),INDIRECT(CONCATENATE("'Data Base'!$E",H230))))*((100-L230)/100))),(F230*N230*(IF(EXACT(J230,"نفر اول"),INDIRECT(CONCATENATE("'Data Base'!$D",H230)),INDIRECT(CONCATENATE("'Data Base'!$E",H230))))*((100-L230)/100)))))))</f>
        <v>0</v>
      </c>
      <c r="T228" s="147"/>
      <c r="U228" s="1414"/>
      <c r="Z228" s="19">
        <f>SUM(Z225,AA228)</f>
        <v>0</v>
      </c>
      <c r="AA228" s="19">
        <f>IF(OR(OR(B228="",F228="",H228="",J228="",P228=""),AND(M228="",O228="")),0,1)</f>
        <v>0</v>
      </c>
      <c r="AB228" s="19">
        <f t="shared" ref="AB228" ca="1" si="286">IF(AND(AA228=1,S228&gt;0),1,0)</f>
        <v>0</v>
      </c>
      <c r="AC228" s="19">
        <f t="shared" ref="AC228" ca="1" si="287">IF(AND(AA228=1,S228&lt;1),1,0)</f>
        <v>0</v>
      </c>
      <c r="AD228" s="19">
        <f ca="1">IF(AND(AA228=1,S228&gt;=1,AJ228=1),1,0)</f>
        <v>0</v>
      </c>
      <c r="AE228" s="19">
        <f ca="1">IF(AD228=1,S228,0)</f>
        <v>0</v>
      </c>
      <c r="AF228" s="19">
        <f ca="1">IF(AND(AA228=1,S228&gt;=1,AJ228=1,AR230=1),1,0)</f>
        <v>0</v>
      </c>
      <c r="AG228" s="19">
        <f ca="1">IF(AF228=1,S228,0)</f>
        <v>0</v>
      </c>
      <c r="AH228" s="19">
        <f>IF(OR(EXACT(H228,"JCR-Q1"),EXACT(H228,"JCR-Q2")),(1),(0))</f>
        <v>0</v>
      </c>
      <c r="AI228" s="19">
        <f>IF(OR(EXACT(H228,"JCR-Q1"),EXACT(H228,"JCR-Q2"),EXACT(H228,"JCR-Q3")),(1),(0))</f>
        <v>0</v>
      </c>
      <c r="AJ228" s="19">
        <f>IF(OR(EXACT(H228,"JCR-Q1"),EXACT(H228,"JCR-Q2"),EXACT(H228,"JCR-Q3"),EXACT(H228,"JCR-Q4")),(1),(0))</f>
        <v>0</v>
      </c>
      <c r="AK228" s="19">
        <f>IF(OR(EXACT(H228,"JCR-Q1"),EXACT(H228,"JCR-Q2"),EXACT(H228,"JCR-Q3"),EXACT(H228,"JCR-Q4"),EXACT(H228,"WOS")),(1),(0))</f>
        <v>0</v>
      </c>
      <c r="AL228" s="19">
        <f>IF(OR(EXACT(H228,"JCR-Q1"),EXACT(H228,"JCR-Q2"),EXACT(H228,"JCR-Q3"),EXACT(H228,"JCR-Q4"),EXACT(H228,"WOS"),EXACT(H228,"Scopus")),(1),(0))</f>
        <v>0</v>
      </c>
      <c r="AM228" s="19">
        <f>IF(OR(EXACT(H228,'Data Base'!$B$21),EXACT(H228,'Data Base'!$B$22)),(1),(0))</f>
        <v>0</v>
      </c>
    </row>
    <row r="229" spans="1:83" ht="20.25" customHeight="1">
      <c r="A229" s="1416" t="s">
        <v>29</v>
      </c>
      <c r="B229" s="1417"/>
      <c r="C229" s="1417"/>
      <c r="D229" s="1418"/>
      <c r="E229" s="514" t="s">
        <v>1001</v>
      </c>
      <c r="F229" s="515"/>
      <c r="G229" s="516" t="s">
        <v>801</v>
      </c>
      <c r="H229" s="517"/>
      <c r="I229" s="516" t="s">
        <v>1002</v>
      </c>
      <c r="J229" s="518"/>
      <c r="K229" s="516" t="s">
        <v>1003</v>
      </c>
      <c r="L229" s="519"/>
      <c r="M229" s="516" t="s">
        <v>1004</v>
      </c>
      <c r="N229" s="520"/>
      <c r="O229" s="1266" t="s">
        <v>55</v>
      </c>
      <c r="P229" s="1419"/>
      <c r="Q229" s="1419"/>
      <c r="R229" s="1419"/>
      <c r="S229" s="1419"/>
      <c r="T229" s="1419"/>
      <c r="U229" s="1415"/>
      <c r="AN229" s="19">
        <f>IF(AND(AA228=1,EXACT(J229,"نفر اول")),(1),(0))</f>
        <v>0</v>
      </c>
      <c r="AO229" s="19">
        <f>IF(AN229=1,R228,0)</f>
        <v>0</v>
      </c>
      <c r="AP229" s="19">
        <f>IF(AND(AA228=1,EXACT(J229,"همكار")),(1),(0))</f>
        <v>0</v>
      </c>
      <c r="AQ229" s="19">
        <f>IF(AP229=1,R228,0)</f>
        <v>0</v>
      </c>
      <c r="AV229" s="19">
        <f>IF((AH228=1),R228,0)</f>
        <v>0</v>
      </c>
      <c r="AW229" s="19">
        <f>IF(AND(EXACT(AN229,"1"),EXACT(AH228,"1")),(1),(0))</f>
        <v>0</v>
      </c>
      <c r="AX229" s="19">
        <f>IF((AW229=1),AV229,0)</f>
        <v>0</v>
      </c>
      <c r="BB229" s="19">
        <f>IF((AI228=1),R228,0)</f>
        <v>0</v>
      </c>
      <c r="BC229" s="19">
        <f>IF(AND(EXACT(AI228,"1"),EXACT(AN229,"1")),(1),(0))</f>
        <v>0</v>
      </c>
      <c r="BD229" s="19">
        <f>IF((BC229=1),BB229,0)</f>
        <v>0</v>
      </c>
      <c r="BH229" s="19">
        <f>IF((AJ228=1),R228,0)</f>
        <v>0</v>
      </c>
      <c r="BI229" s="19">
        <f>IF(AND(EXACT(AJ228,"1"),EXACT(AN229,"1")),(1),(0))</f>
        <v>0</v>
      </c>
      <c r="BJ229" s="19">
        <f>IF((BI229=1),BH229,0)</f>
        <v>0</v>
      </c>
      <c r="BN229" s="19">
        <f>IF((AK228=1),R228,0)</f>
        <v>0</v>
      </c>
      <c r="BO229" s="19">
        <f>IF(AND(EXACT(AK228,"1"),EXACT(AN229,"1")),(1),(0))</f>
        <v>0</v>
      </c>
      <c r="BP229" s="19">
        <f>IF((BO229=1),BN229,0)</f>
        <v>0</v>
      </c>
      <c r="BT229" s="19">
        <f>IF((AL228=1),R228,0)</f>
        <v>0</v>
      </c>
      <c r="BU229" s="19">
        <f>IF(AND(EXACT(AN229,"1"),EXACT(AL228,"1")),(1),(0))</f>
        <v>0</v>
      </c>
      <c r="BV229" s="19">
        <f>IF((BU229=1),BT229,0)</f>
        <v>0</v>
      </c>
      <c r="BZ229" s="19">
        <f>IF((AM228=1),R228,0)</f>
        <v>0</v>
      </c>
      <c r="CA229" s="19">
        <f>IF(AND(EXACT(AM228,"1"),EXACT(AN229,"1")),(1),(0))</f>
        <v>0</v>
      </c>
      <c r="CB229" s="19">
        <f>IF((CA229=1),BZ229,0)</f>
        <v>0</v>
      </c>
    </row>
    <row r="230" spans="1:83" ht="20.25">
      <c r="A230" s="1420" t="s">
        <v>30</v>
      </c>
      <c r="B230" s="1421"/>
      <c r="C230" s="1421"/>
      <c r="D230" s="1422"/>
      <c r="E230" s="536" t="s">
        <v>1001</v>
      </c>
      <c r="F230" s="537"/>
      <c r="G230" s="538" t="s">
        <v>801</v>
      </c>
      <c r="H230" s="539"/>
      <c r="I230" s="538" t="s">
        <v>1002</v>
      </c>
      <c r="J230" s="525"/>
      <c r="K230" s="538" t="s">
        <v>1003</v>
      </c>
      <c r="L230" s="540"/>
      <c r="M230" s="538" t="s">
        <v>1004</v>
      </c>
      <c r="N230" s="541"/>
      <c r="O230" s="1266"/>
      <c r="P230" s="1423"/>
      <c r="Q230" s="1423"/>
      <c r="R230" s="1423"/>
      <c r="S230" s="1423"/>
      <c r="T230" s="1423"/>
      <c r="U230" s="1415"/>
      <c r="AR230" s="19">
        <f>IF(AND(AA228=1,EXACT(J230,"نفر اول")),(1),(0))</f>
        <v>0</v>
      </c>
      <c r="AS230" s="19">
        <f>IF(AR230=1,S228,0)</f>
        <v>0</v>
      </c>
      <c r="AT230" s="19">
        <f>IF(AND(AA228=1,EXACT(J230,"همكار")),(1),(0))</f>
        <v>0</v>
      </c>
      <c r="AU230" s="19">
        <f>IF(AT230=1,S228,0)</f>
        <v>0</v>
      </c>
      <c r="AY230" s="19">
        <f>IF((AH228=1),S228,0)</f>
        <v>0</v>
      </c>
      <c r="AZ230" s="19">
        <f>IF(AND(EXACT(AR230,"1"),EXACT(AH228,"1")),(1),(0))</f>
        <v>0</v>
      </c>
      <c r="BA230" s="19">
        <f>IF((AZ230=1),AY230,0)</f>
        <v>0</v>
      </c>
      <c r="BE230" s="19">
        <f>IF((AI228=1),S228,0)</f>
        <v>0</v>
      </c>
      <c r="BF230" s="19">
        <f>IF(AND(EXACT(AI228,"1"),EXACT(AR230,"1")),(1),(0))</f>
        <v>0</v>
      </c>
      <c r="BG230" s="19">
        <f>IF((BF230=1),BE230,0)</f>
        <v>0</v>
      </c>
      <c r="BK230" s="19">
        <f>IF((AJ228=1),S228,0)</f>
        <v>0</v>
      </c>
      <c r="BL230" s="19">
        <f>IF(AND(EXACT(AJ228,"1"),EXACT(AR230,"1")),(1),(0))</f>
        <v>0</v>
      </c>
      <c r="BM230" s="19">
        <f>IF((BL230=1),BK230,0)</f>
        <v>0</v>
      </c>
      <c r="BQ230" s="19">
        <f>IF((AJ228=1),S228,0)</f>
        <v>0</v>
      </c>
      <c r="BR230" s="19">
        <f>IF(AND(EXACT(AJ228,"1"),EXACT(AR230,"1")),(1),(0))</f>
        <v>0</v>
      </c>
      <c r="BS230" s="19">
        <f>IF((BL230=1),BK230,0)</f>
        <v>0</v>
      </c>
      <c r="BW230" s="19">
        <f>IF((AL228=1),S228,0)</f>
        <v>0</v>
      </c>
      <c r="BX230" s="19">
        <f>IF(AND(EXACT(AL228,"1"),EXACT(AR230,"1")),(1),(0))</f>
        <v>0</v>
      </c>
      <c r="BY230" s="19">
        <f>IF((BX230=1),BW230,0)</f>
        <v>0</v>
      </c>
      <c r="CC230" s="19">
        <f>IF((AM228=1),R228,0)</f>
        <v>0</v>
      </c>
      <c r="CD230" s="19">
        <f>IF(AND(EXACT(AM228,"1"),EXACT(AR230,"1")),(1),(0))</f>
        <v>0</v>
      </c>
      <c r="CE230" s="19">
        <f>IF((CD230=1),CC230,0)</f>
        <v>0</v>
      </c>
    </row>
    <row r="231" spans="1:83" ht="20.25">
      <c r="A231" s="12">
        <f>IF(AA231=0,0,IF(AA228=0,Z231,SUM(A228,AA231)))</f>
        <v>0</v>
      </c>
      <c r="B231" s="1157"/>
      <c r="C231" s="1157"/>
      <c r="D231" s="1157"/>
      <c r="E231" s="1182"/>
      <c r="F231" s="1424"/>
      <c r="G231" s="1424"/>
      <c r="H231" s="527"/>
      <c r="I231" s="528"/>
      <c r="J231" s="529"/>
      <c r="K231" s="530"/>
      <c r="L231" s="531"/>
      <c r="M231" s="532"/>
      <c r="N231" s="533"/>
      <c r="O231" s="532"/>
      <c r="P231" s="1182"/>
      <c r="Q231" s="1182"/>
      <c r="R231" s="534">
        <f t="shared" ref="R231" ca="1" si="288">IF(OR(EXACT(H231,""),EXACT(B231,""),EXACT(F232,""),EXACT(H232,""),EXACT(J232,""),EXACT(L232,""),EXACT(N232,""),EXACT(F231,""),EXACT(J231,""),EXACT(M231,""),EXACT(N231,""),EXACT(O231,""),EXACT(P231,"")),0,IF(OR(EXACT(P232,"مقاله پر استناد"),EXACT(P232,"مقاله داغ"),EXACT(P232,"مستخرج از برنامه تحقيقاتي ملي معطوف به رفع مشكلات كشور")),(1.5*(F232*N232*(IF(EXACT(J232,"نفر اول"),INDIRECT(CONCATENATE("'Data Base'!$d",H232)),INDIRECT(CONCATENATE("'Data Base'!$e",H232))))*((100-L232)/100))),IF(EXACT(P232,"Short Article"),(0.5*(F232*N232*(IF(EXACT(J232,"نفر اول"),INDIRECT(CONCATENATE("'Data Base'!$D",H232)),INDIRECT(CONCATENATE("'Data Base'!$E",H232))))*((100-L232)/100))),IF(EXACT(P232,"چاپ شده در نشريات بسيار پر استناد Nature و Science"),(2*(F232*N232*(IF(EXACT(J232,"نفر اول"),INDIRECT(CONCATENATE("'Data Base'!$D",H232)),INDIRECT(CONCATENATE("'Data Base'!$E",H232))))*((100-L232)/100))),IF(OR(EXACT(P232,"مستخرج از طرح پژوهشي محرمانه"),EXACT(P232,"مشترك با اساتيد دانشگاه خارج از كشور")),(1.2*(F232*N232*(IF(EXACT(J232,"نفر اول"),INDIRECT(CONCATENATE("'Data Base'!$D",H232)),INDIRECT(CONCATENATE("'Data Base'!$E",H232))))*((100-L232)/100))),(F232*N232*(IF(EXACT(J232,"نفر اول"),INDIRECT(CONCATENATE("'Data Base'!$d",H232)),INDIRECT(CONCATENATE("'Data Base'!$e",H232))))*((100-L232)/100)))))))</f>
        <v>0</v>
      </c>
      <c r="S231" s="535">
        <f t="shared" ref="S231" ca="1" si="289">IF(OR(EXACT(H231,""),EXACT(B231,""),EXACT(F233,""),EXACT(H233,""),EXACT(J233,""),EXACT(L233,""),EXACT(N233,""),EXACT(F231,""),EXACT(J231,""),EXACT(M231,""),EXACT(N231,""),EXACT(O231,""),EXACT(P231,"")),0,IF(OR(EXACT(P233,"مقاله پر استناد"),EXACT(P233,"مقاله داغ"),EXACT(P233,"مستخرج از برنامه تحقيقاتي ملي معطوف به رفع مشكلات كشور")),(1.5*(F233*N233*(IF(EXACT(J233,"نفر اول"),INDIRECT(CONCATENATE("'Data Base'!$d",H233)),INDIRECT(CONCATENATE("'Data Base'!$E",H233))))*((100-L233)/100))),IF(EXACT(P233,"Short Article"),(0.5*(F233*N233*(IF(EXACT(J233,"نفر اول"),INDIRECT(CONCATENATE("'Data Base'!$D",H233)),INDIRECT(CONCATENATE("'Data Base'!$E",H233))))*((100-L233)/100))),IF(EXACT(P233,"چاپ شده در نشريات بسيار پر استناد Nature و Science"),(2*(F233*N233*(IF(EXACT(J233,"نفر اول"),INDIRECT(CONCATENATE("'Data Base'!$D",H233)),INDIRECT(CONCATENATE("'Data Base'!$E",H233))))*((100-L233)/100))),IF(OR(EXACT(P233,"مستخرج از طرح پژوهشي محرمانه"),EXACT(P233,"مشترك با اساتيد دانشگاه خارج از كشور")),(1.2*(F233*N233*(IF(EXACT(J233,"نفر اول"),INDIRECT(CONCATENATE("'Data Base'!$D",H233)),INDIRECT(CONCATENATE("'Data Base'!$E",H233))))*((100-L233)/100))),(F233*N233*(IF(EXACT(J233,"نفر اول"),INDIRECT(CONCATENATE("'Data Base'!$D",H233)),INDIRECT(CONCATENATE("'Data Base'!$E",H233))))*((100-L233)/100)))))))</f>
        <v>0</v>
      </c>
      <c r="T231" s="147"/>
      <c r="U231" s="1414"/>
      <c r="Z231" s="19">
        <f>SUM(Z228,AA231)</f>
        <v>0</v>
      </c>
      <c r="AA231" s="19">
        <f>IF(OR(OR(B231="",F231="",H231="",J231="",P231=""),AND(M231="",O231="")),0,1)</f>
        <v>0</v>
      </c>
      <c r="AB231" s="19">
        <f t="shared" ref="AB231" ca="1" si="290">IF(AND(AA231=1,S231&gt;0),1,0)</f>
        <v>0</v>
      </c>
      <c r="AC231" s="19">
        <f t="shared" ref="AC231" ca="1" si="291">IF(AND(AA231=1,S231&lt;1),1,0)</f>
        <v>0</v>
      </c>
      <c r="AD231" s="19">
        <f ca="1">IF(AND(AA231=1,S231&gt;=1,AJ231=1),1,0)</f>
        <v>0</v>
      </c>
      <c r="AE231" s="19">
        <f ca="1">IF(AD231=1,S231,0)</f>
        <v>0</v>
      </c>
      <c r="AF231" s="19">
        <f ca="1">IF(AND(AA231=1,S231&gt;=1,AJ231=1,AR233=1),1,0)</f>
        <v>0</v>
      </c>
      <c r="AG231" s="19">
        <f ca="1">IF(AF231=1,S231,0)</f>
        <v>0</v>
      </c>
      <c r="AH231" s="19">
        <f>IF(OR(EXACT(H231,"JCR-Q1"),EXACT(H231,"JCR-Q2")),(1),(0))</f>
        <v>0</v>
      </c>
      <c r="AI231" s="19">
        <f>IF(OR(EXACT(H231,"JCR-Q1"),EXACT(H231,"JCR-Q2"),EXACT(H231,"JCR-Q3")),(1),(0))</f>
        <v>0</v>
      </c>
      <c r="AJ231" s="19">
        <f>IF(OR(EXACT(H231,"JCR-Q1"),EXACT(H231,"JCR-Q2"),EXACT(H231,"JCR-Q3"),EXACT(H231,"JCR-Q4")),(1),(0))</f>
        <v>0</v>
      </c>
      <c r="AK231" s="19">
        <f>IF(OR(EXACT(H231,"JCR-Q1"),EXACT(H231,"JCR-Q2"),EXACT(H231,"JCR-Q3"),EXACT(H231,"JCR-Q4"),EXACT(H231,"WOS")),(1),(0))</f>
        <v>0</v>
      </c>
      <c r="AL231" s="19">
        <f>IF(OR(EXACT(H231,"JCR-Q1"),EXACT(H231,"JCR-Q2"),EXACT(H231,"JCR-Q3"),EXACT(H231,"JCR-Q4"),EXACT(H231,"WOS"),EXACT(H231,"Scopus")),(1),(0))</f>
        <v>0</v>
      </c>
      <c r="AM231" s="19">
        <f>IF(OR(EXACT(H231,'Data Base'!$B$21),EXACT(H231,'Data Base'!$B$22)),(1),(0))</f>
        <v>0</v>
      </c>
    </row>
    <row r="232" spans="1:83" ht="20.25" customHeight="1">
      <c r="A232" s="1416" t="s">
        <v>29</v>
      </c>
      <c r="B232" s="1417"/>
      <c r="C232" s="1417"/>
      <c r="D232" s="1418"/>
      <c r="E232" s="514" t="s">
        <v>1001</v>
      </c>
      <c r="F232" s="515"/>
      <c r="G232" s="516" t="s">
        <v>801</v>
      </c>
      <c r="H232" s="517"/>
      <c r="I232" s="516" t="s">
        <v>1002</v>
      </c>
      <c r="J232" s="518"/>
      <c r="K232" s="516" t="s">
        <v>1003</v>
      </c>
      <c r="L232" s="519"/>
      <c r="M232" s="516" t="s">
        <v>1004</v>
      </c>
      <c r="N232" s="520"/>
      <c r="O232" s="1266" t="s">
        <v>55</v>
      </c>
      <c r="P232" s="1419"/>
      <c r="Q232" s="1419"/>
      <c r="R232" s="1419"/>
      <c r="S232" s="1419"/>
      <c r="T232" s="1419"/>
      <c r="U232" s="1415"/>
      <c r="AN232" s="19">
        <f>IF(AND(AA231=1,EXACT(J232,"نفر اول")),(1),(0))</f>
        <v>0</v>
      </c>
      <c r="AO232" s="19">
        <f>IF(AN232=1,R231,0)</f>
        <v>0</v>
      </c>
      <c r="AP232" s="19">
        <f>IF(AND(AA231=1,EXACT(J232,"همكار")),(1),(0))</f>
        <v>0</v>
      </c>
      <c r="AQ232" s="19">
        <f>IF(AP232=1,R231,0)</f>
        <v>0</v>
      </c>
      <c r="AV232" s="19">
        <f>IF((AH231=1),R231,0)</f>
        <v>0</v>
      </c>
      <c r="AW232" s="19">
        <f>IF(AND(EXACT(AN232,"1"),EXACT(AH231,"1")),(1),(0))</f>
        <v>0</v>
      </c>
      <c r="AX232" s="19">
        <f>IF((AW232=1),AV232,0)</f>
        <v>0</v>
      </c>
      <c r="BB232" s="19">
        <f>IF((AI231=1),R231,0)</f>
        <v>0</v>
      </c>
      <c r="BC232" s="19">
        <f>IF(AND(EXACT(AI231,"1"),EXACT(AN232,"1")),(1),(0))</f>
        <v>0</v>
      </c>
      <c r="BD232" s="19">
        <f>IF((BC232=1),BB232,0)</f>
        <v>0</v>
      </c>
      <c r="BH232" s="19">
        <f>IF((AJ231=1),R231,0)</f>
        <v>0</v>
      </c>
      <c r="BI232" s="19">
        <f>IF(AND(EXACT(AJ231,"1"),EXACT(AN232,"1")),(1),(0))</f>
        <v>0</v>
      </c>
      <c r="BJ232" s="19">
        <f>IF((BI232=1),BH232,0)</f>
        <v>0</v>
      </c>
      <c r="BN232" s="19">
        <f>IF((AK231=1),R231,0)</f>
        <v>0</v>
      </c>
      <c r="BO232" s="19">
        <f>IF(AND(EXACT(AK231,"1"),EXACT(AN232,"1")),(1),(0))</f>
        <v>0</v>
      </c>
      <c r="BP232" s="19">
        <f>IF((BO232=1),BN232,0)</f>
        <v>0</v>
      </c>
      <c r="BT232" s="19">
        <f>IF((AL231=1),R231,0)</f>
        <v>0</v>
      </c>
      <c r="BU232" s="19">
        <f>IF(AND(EXACT(AN232,"1"),EXACT(AL231,"1")),(1),(0))</f>
        <v>0</v>
      </c>
      <c r="BV232" s="19">
        <f>IF((BU232=1),BT232,0)</f>
        <v>0</v>
      </c>
      <c r="BZ232" s="19">
        <f>IF((AM231=1),R231,0)</f>
        <v>0</v>
      </c>
      <c r="CA232" s="19">
        <f>IF(AND(EXACT(AM231,"1"),EXACT(AN232,"1")),(1),(0))</f>
        <v>0</v>
      </c>
      <c r="CB232" s="19">
        <f>IF((CA232=1),BZ232,0)</f>
        <v>0</v>
      </c>
    </row>
    <row r="233" spans="1:83" ht="20.25">
      <c r="A233" s="1420" t="s">
        <v>30</v>
      </c>
      <c r="B233" s="1421"/>
      <c r="C233" s="1421"/>
      <c r="D233" s="1422"/>
      <c r="E233" s="536" t="s">
        <v>1001</v>
      </c>
      <c r="F233" s="537"/>
      <c r="G233" s="538" t="s">
        <v>801</v>
      </c>
      <c r="H233" s="539"/>
      <c r="I233" s="538" t="s">
        <v>1002</v>
      </c>
      <c r="J233" s="525"/>
      <c r="K233" s="538" t="s">
        <v>1003</v>
      </c>
      <c r="L233" s="540"/>
      <c r="M233" s="538" t="s">
        <v>1004</v>
      </c>
      <c r="N233" s="541"/>
      <c r="O233" s="1266"/>
      <c r="P233" s="1423"/>
      <c r="Q233" s="1423"/>
      <c r="R233" s="1423"/>
      <c r="S233" s="1423"/>
      <c r="T233" s="1423"/>
      <c r="U233" s="1415"/>
      <c r="AR233" s="19">
        <f>IF(AND(AA231=1,EXACT(J233,"نفر اول")),(1),(0))</f>
        <v>0</v>
      </c>
      <c r="AS233" s="19">
        <f>IF(AR233=1,S231,0)</f>
        <v>0</v>
      </c>
      <c r="AT233" s="19">
        <f>IF(AND(AA231=1,EXACT(J233,"همكار")),(1),(0))</f>
        <v>0</v>
      </c>
      <c r="AU233" s="19">
        <f>IF(AT233=1,S231,0)</f>
        <v>0</v>
      </c>
      <c r="AY233" s="19">
        <f>IF((AH231=1),S231,0)</f>
        <v>0</v>
      </c>
      <c r="AZ233" s="19">
        <f>IF(AND(EXACT(AR233,"1"),EXACT(AH231,"1")),(1),(0))</f>
        <v>0</v>
      </c>
      <c r="BA233" s="19">
        <f>IF((AZ233=1),AY233,0)</f>
        <v>0</v>
      </c>
      <c r="BE233" s="19">
        <f>IF((AI231=1),S231,0)</f>
        <v>0</v>
      </c>
      <c r="BF233" s="19">
        <f>IF(AND(EXACT(AI231,"1"),EXACT(AR233,"1")),(1),(0))</f>
        <v>0</v>
      </c>
      <c r="BG233" s="19">
        <f>IF((BF233=1),BE233,0)</f>
        <v>0</v>
      </c>
      <c r="BK233" s="19">
        <f>IF((AJ231=1),S231,0)</f>
        <v>0</v>
      </c>
      <c r="BL233" s="19">
        <f>IF(AND(EXACT(AJ231,"1"),EXACT(AR233,"1")),(1),(0))</f>
        <v>0</v>
      </c>
      <c r="BM233" s="19">
        <f>IF((BL233=1),BK233,0)</f>
        <v>0</v>
      </c>
      <c r="BQ233" s="19">
        <f>IF((AJ231=1),S231,0)</f>
        <v>0</v>
      </c>
      <c r="BR233" s="19">
        <f>IF(AND(EXACT(AJ231,"1"),EXACT(AR233,"1")),(1),(0))</f>
        <v>0</v>
      </c>
      <c r="BS233" s="19">
        <f>IF((BL233=1),BK233,0)</f>
        <v>0</v>
      </c>
      <c r="BW233" s="19">
        <f>IF((AL231=1),S231,0)</f>
        <v>0</v>
      </c>
      <c r="BX233" s="19">
        <f>IF(AND(EXACT(AL231,"1"),EXACT(AR233,"1")),(1),(0))</f>
        <v>0</v>
      </c>
      <c r="BY233" s="19">
        <f>IF((BX233=1),BW233,0)</f>
        <v>0</v>
      </c>
      <c r="CC233" s="19">
        <f>IF((AM231=1),R231,0)</f>
        <v>0</v>
      </c>
      <c r="CD233" s="19">
        <f>IF(AND(EXACT(AM231,"1"),EXACT(AR233,"1")),(1),(0))</f>
        <v>0</v>
      </c>
      <c r="CE233" s="19">
        <f>IF((CD233=1),CC233,0)</f>
        <v>0</v>
      </c>
    </row>
    <row r="234" spans="1:83" ht="20.25">
      <c r="A234" s="12">
        <f>IF(AA234=0,0,IF(AA231=0,Z234,SUM(A231,AA234)))</f>
        <v>0</v>
      </c>
      <c r="B234" s="1157"/>
      <c r="C234" s="1157"/>
      <c r="D234" s="1157"/>
      <c r="E234" s="1182"/>
      <c r="F234" s="1424"/>
      <c r="G234" s="1424"/>
      <c r="H234" s="527"/>
      <c r="I234" s="528"/>
      <c r="J234" s="529"/>
      <c r="K234" s="530"/>
      <c r="L234" s="531"/>
      <c r="M234" s="532"/>
      <c r="N234" s="533"/>
      <c r="O234" s="532"/>
      <c r="P234" s="1182"/>
      <c r="Q234" s="1182"/>
      <c r="R234" s="534">
        <f t="shared" ref="R234" ca="1" si="292">IF(OR(EXACT(H234,""),EXACT(B234,""),EXACT(F235,""),EXACT(H235,""),EXACT(J235,""),EXACT(L235,""),EXACT(N235,""),EXACT(F234,""),EXACT(J234,""),EXACT(M234,""),EXACT(N234,""),EXACT(O234,""),EXACT(P234,"")),0,IF(OR(EXACT(P235,"مقاله پر استناد"),EXACT(P235,"مقاله داغ"),EXACT(P235,"مستخرج از برنامه تحقيقاتي ملي معطوف به رفع مشكلات كشور")),(1.5*(F235*N235*(IF(EXACT(J235,"نفر اول"),INDIRECT(CONCATENATE("'Data Base'!$d",H235)),INDIRECT(CONCATENATE("'Data Base'!$e",H235))))*((100-L235)/100))),IF(EXACT(P235,"Short Article"),(0.5*(F235*N235*(IF(EXACT(J235,"نفر اول"),INDIRECT(CONCATENATE("'Data Base'!$D",H235)),INDIRECT(CONCATENATE("'Data Base'!$E",H235))))*((100-L235)/100))),IF(EXACT(P235,"چاپ شده در نشريات بسيار پر استناد Nature و Science"),(2*(F235*N235*(IF(EXACT(J235,"نفر اول"),INDIRECT(CONCATENATE("'Data Base'!$D",H235)),INDIRECT(CONCATENATE("'Data Base'!$E",H235))))*((100-L235)/100))),IF(OR(EXACT(P235,"مستخرج از طرح پژوهشي محرمانه"),EXACT(P235,"مشترك با اساتيد دانشگاه خارج از كشور")),(1.2*(F235*N235*(IF(EXACT(J235,"نفر اول"),INDIRECT(CONCATENATE("'Data Base'!$D",H235)),INDIRECT(CONCATENATE("'Data Base'!$E",H235))))*((100-L235)/100))),(F235*N235*(IF(EXACT(J235,"نفر اول"),INDIRECT(CONCATENATE("'Data Base'!$d",H235)),INDIRECT(CONCATENATE("'Data Base'!$e",H235))))*((100-L235)/100)))))))</f>
        <v>0</v>
      </c>
      <c r="S234" s="535">
        <f t="shared" ref="S234" ca="1" si="293">IF(OR(EXACT(H234,""),EXACT(B234,""),EXACT(F236,""),EXACT(H236,""),EXACT(J236,""),EXACT(L236,""),EXACT(N236,""),EXACT(F234,""),EXACT(J234,""),EXACT(M234,""),EXACT(N234,""),EXACT(O234,""),EXACT(P234,"")),0,IF(OR(EXACT(P236,"مقاله پر استناد"),EXACT(P236,"مقاله داغ"),EXACT(P236,"مستخرج از برنامه تحقيقاتي ملي معطوف به رفع مشكلات كشور")),(1.5*(F236*N236*(IF(EXACT(J236,"نفر اول"),INDIRECT(CONCATENATE("'Data Base'!$d",H236)),INDIRECT(CONCATENATE("'Data Base'!$E",H236))))*((100-L236)/100))),IF(EXACT(P236,"Short Article"),(0.5*(F236*N236*(IF(EXACT(J236,"نفر اول"),INDIRECT(CONCATENATE("'Data Base'!$D",H236)),INDIRECT(CONCATENATE("'Data Base'!$E",H236))))*((100-L236)/100))),IF(EXACT(P236,"چاپ شده در نشريات بسيار پر استناد Nature و Science"),(2*(F236*N236*(IF(EXACT(J236,"نفر اول"),INDIRECT(CONCATENATE("'Data Base'!$D",H236)),INDIRECT(CONCATENATE("'Data Base'!$E",H236))))*((100-L236)/100))),IF(OR(EXACT(P236,"مستخرج از طرح پژوهشي محرمانه"),EXACT(P236,"مشترك با اساتيد دانشگاه خارج از كشور")),(1.2*(F236*N236*(IF(EXACT(J236,"نفر اول"),INDIRECT(CONCATENATE("'Data Base'!$D",H236)),INDIRECT(CONCATENATE("'Data Base'!$E",H236))))*((100-L236)/100))),(F236*N236*(IF(EXACT(J236,"نفر اول"),INDIRECT(CONCATENATE("'Data Base'!$D",H236)),INDIRECT(CONCATENATE("'Data Base'!$E",H236))))*((100-L236)/100)))))))</f>
        <v>0</v>
      </c>
      <c r="T234" s="147"/>
      <c r="U234" s="1414"/>
      <c r="Z234" s="19">
        <f>SUM(Z231,AA234)</f>
        <v>0</v>
      </c>
      <c r="AA234" s="19">
        <f>IF(OR(OR(B234="",F234="",H234="",J234="",P234=""),AND(M234="",O234="")),0,1)</f>
        <v>0</v>
      </c>
      <c r="AB234" s="19">
        <f t="shared" ref="AB234" ca="1" si="294">IF(AND(AA234=1,S234&gt;0),1,0)</f>
        <v>0</v>
      </c>
      <c r="AC234" s="19">
        <f t="shared" ref="AC234" ca="1" si="295">IF(AND(AA234=1,S234&lt;1),1,0)</f>
        <v>0</v>
      </c>
      <c r="AD234" s="19">
        <f ca="1">IF(AND(AA234=1,S234&gt;=1,AJ234=1),1,0)</f>
        <v>0</v>
      </c>
      <c r="AE234" s="19">
        <f ca="1">IF(AD234=1,S234,0)</f>
        <v>0</v>
      </c>
      <c r="AF234" s="19">
        <f ca="1">IF(AND(AA234=1,S234&gt;=1,AJ234=1,AR236=1),1,0)</f>
        <v>0</v>
      </c>
      <c r="AG234" s="19">
        <f ca="1">IF(AF234=1,S234,0)</f>
        <v>0</v>
      </c>
      <c r="AH234" s="19">
        <f>IF(OR(EXACT(H234,"JCR-Q1"),EXACT(H234,"JCR-Q2")),(1),(0))</f>
        <v>0</v>
      </c>
      <c r="AI234" s="19">
        <f>IF(OR(EXACT(H234,"JCR-Q1"),EXACT(H234,"JCR-Q2"),EXACT(H234,"JCR-Q3")),(1),(0))</f>
        <v>0</v>
      </c>
      <c r="AJ234" s="19">
        <f>IF(OR(EXACT(H234,"JCR-Q1"),EXACT(H234,"JCR-Q2"),EXACT(H234,"JCR-Q3"),EXACT(H234,"JCR-Q4")),(1),(0))</f>
        <v>0</v>
      </c>
      <c r="AK234" s="19">
        <f>IF(OR(EXACT(H234,"JCR-Q1"),EXACT(H234,"JCR-Q2"),EXACT(H234,"JCR-Q3"),EXACT(H234,"JCR-Q4"),EXACT(H234,"WOS")),(1),(0))</f>
        <v>0</v>
      </c>
      <c r="AL234" s="19">
        <f>IF(OR(EXACT(H234,"JCR-Q1"),EXACT(H234,"JCR-Q2"),EXACT(H234,"JCR-Q3"),EXACT(H234,"JCR-Q4"),EXACT(H234,"WOS"),EXACT(H234,"Scopus")),(1),(0))</f>
        <v>0</v>
      </c>
      <c r="AM234" s="19">
        <f>IF(OR(EXACT(H234,'Data Base'!$B$21),EXACT(H234,'Data Base'!$B$22)),(1),(0))</f>
        <v>0</v>
      </c>
    </row>
    <row r="235" spans="1:83" ht="20.25" customHeight="1">
      <c r="A235" s="1416" t="s">
        <v>29</v>
      </c>
      <c r="B235" s="1417"/>
      <c r="C235" s="1417"/>
      <c r="D235" s="1418"/>
      <c r="E235" s="514" t="s">
        <v>1001</v>
      </c>
      <c r="F235" s="515"/>
      <c r="G235" s="516" t="s">
        <v>801</v>
      </c>
      <c r="H235" s="517"/>
      <c r="I235" s="516" t="s">
        <v>1002</v>
      </c>
      <c r="J235" s="518"/>
      <c r="K235" s="516" t="s">
        <v>1003</v>
      </c>
      <c r="L235" s="519"/>
      <c r="M235" s="516" t="s">
        <v>1004</v>
      </c>
      <c r="N235" s="520"/>
      <c r="O235" s="1266" t="s">
        <v>55</v>
      </c>
      <c r="P235" s="1419"/>
      <c r="Q235" s="1419"/>
      <c r="R235" s="1419"/>
      <c r="S235" s="1419"/>
      <c r="T235" s="1419"/>
      <c r="U235" s="1415"/>
      <c r="AN235" s="19">
        <f>IF(AND(AA234=1,EXACT(J235,"نفر اول")),(1),(0))</f>
        <v>0</v>
      </c>
      <c r="AO235" s="19">
        <f>IF(AN235=1,R234,0)</f>
        <v>0</v>
      </c>
      <c r="AP235" s="19">
        <f>IF(AND(AA234=1,EXACT(J235,"همكار")),(1),(0))</f>
        <v>0</v>
      </c>
      <c r="AQ235" s="19">
        <f>IF(AP235=1,R234,0)</f>
        <v>0</v>
      </c>
      <c r="AV235" s="19">
        <f>IF((AH234=1),R234,0)</f>
        <v>0</v>
      </c>
      <c r="AW235" s="19">
        <f>IF(AND(EXACT(AN235,"1"),EXACT(AH234,"1")),(1),(0))</f>
        <v>0</v>
      </c>
      <c r="AX235" s="19">
        <f>IF((AW235=1),AV235,0)</f>
        <v>0</v>
      </c>
      <c r="BB235" s="19">
        <f>IF((AI234=1),R234,0)</f>
        <v>0</v>
      </c>
      <c r="BC235" s="19">
        <f>IF(AND(EXACT(AI234,"1"),EXACT(AN235,"1")),(1),(0))</f>
        <v>0</v>
      </c>
      <c r="BD235" s="19">
        <f>IF((BC235=1),BB235,0)</f>
        <v>0</v>
      </c>
      <c r="BH235" s="19">
        <f>IF((AJ234=1),R234,0)</f>
        <v>0</v>
      </c>
      <c r="BI235" s="19">
        <f>IF(AND(EXACT(AJ234,"1"),EXACT(AN235,"1")),(1),(0))</f>
        <v>0</v>
      </c>
      <c r="BJ235" s="19">
        <f>IF((BI235=1),BH235,0)</f>
        <v>0</v>
      </c>
      <c r="BN235" s="19">
        <f>IF((AK234=1),R234,0)</f>
        <v>0</v>
      </c>
      <c r="BO235" s="19">
        <f>IF(AND(EXACT(AK234,"1"),EXACT(AN235,"1")),(1),(0))</f>
        <v>0</v>
      </c>
      <c r="BP235" s="19">
        <f>IF((BO235=1),BN235,0)</f>
        <v>0</v>
      </c>
      <c r="BT235" s="19">
        <f>IF((AL234=1),R234,0)</f>
        <v>0</v>
      </c>
      <c r="BU235" s="19">
        <f>IF(AND(EXACT(AN235,"1"),EXACT(AL234,"1")),(1),(0))</f>
        <v>0</v>
      </c>
      <c r="BV235" s="19">
        <f>IF((BU235=1),BT235,0)</f>
        <v>0</v>
      </c>
      <c r="BZ235" s="19">
        <f>IF((AM234=1),R234,0)</f>
        <v>0</v>
      </c>
      <c r="CA235" s="19">
        <f>IF(AND(EXACT(AM234,"1"),EXACT(AN235,"1")),(1),(0))</f>
        <v>0</v>
      </c>
      <c r="CB235" s="19">
        <f>IF((CA235=1),BZ235,0)</f>
        <v>0</v>
      </c>
    </row>
    <row r="236" spans="1:83" ht="20.25">
      <c r="A236" s="1420" t="s">
        <v>30</v>
      </c>
      <c r="B236" s="1421"/>
      <c r="C236" s="1421"/>
      <c r="D236" s="1422"/>
      <c r="E236" s="536" t="s">
        <v>1001</v>
      </c>
      <c r="F236" s="537"/>
      <c r="G236" s="538" t="s">
        <v>801</v>
      </c>
      <c r="H236" s="539"/>
      <c r="I236" s="538" t="s">
        <v>1002</v>
      </c>
      <c r="J236" s="525"/>
      <c r="K236" s="538" t="s">
        <v>1003</v>
      </c>
      <c r="L236" s="540"/>
      <c r="M236" s="538" t="s">
        <v>1004</v>
      </c>
      <c r="N236" s="541"/>
      <c r="O236" s="1266"/>
      <c r="P236" s="1423"/>
      <c r="Q236" s="1423"/>
      <c r="R236" s="1423"/>
      <c r="S236" s="1423"/>
      <c r="T236" s="1423"/>
      <c r="U236" s="1415"/>
      <c r="AR236" s="19">
        <f>IF(AND(AA234=1,EXACT(J236,"نفر اول")),(1),(0))</f>
        <v>0</v>
      </c>
      <c r="AS236" s="19">
        <f>IF(AR236=1,S234,0)</f>
        <v>0</v>
      </c>
      <c r="AT236" s="19">
        <f>IF(AND(AA234=1,EXACT(J236,"همكار")),(1),(0))</f>
        <v>0</v>
      </c>
      <c r="AU236" s="19">
        <f>IF(AT236=1,S234,0)</f>
        <v>0</v>
      </c>
      <c r="AY236" s="19">
        <f>IF((AH234=1),S234,0)</f>
        <v>0</v>
      </c>
      <c r="AZ236" s="19">
        <f>IF(AND(EXACT(AR236,"1"),EXACT(AH234,"1")),(1),(0))</f>
        <v>0</v>
      </c>
      <c r="BA236" s="19">
        <f>IF((AZ236=1),AY236,0)</f>
        <v>0</v>
      </c>
      <c r="BE236" s="19">
        <f>IF((AI234=1),S234,0)</f>
        <v>0</v>
      </c>
      <c r="BF236" s="19">
        <f>IF(AND(EXACT(AI234,"1"),EXACT(AR236,"1")),(1),(0))</f>
        <v>0</v>
      </c>
      <c r="BG236" s="19">
        <f>IF((BF236=1),BE236,0)</f>
        <v>0</v>
      </c>
      <c r="BK236" s="19">
        <f>IF((AJ234=1),S234,0)</f>
        <v>0</v>
      </c>
      <c r="BL236" s="19">
        <f>IF(AND(EXACT(AJ234,"1"),EXACT(AR236,"1")),(1),(0))</f>
        <v>0</v>
      </c>
      <c r="BM236" s="19">
        <f>IF((BL236=1),BK236,0)</f>
        <v>0</v>
      </c>
      <c r="BQ236" s="19">
        <f>IF((AJ234=1),S234,0)</f>
        <v>0</v>
      </c>
      <c r="BR236" s="19">
        <f>IF(AND(EXACT(AJ234,"1"),EXACT(AR236,"1")),(1),(0))</f>
        <v>0</v>
      </c>
      <c r="BS236" s="19">
        <f>IF((BL236=1),BK236,0)</f>
        <v>0</v>
      </c>
      <c r="BW236" s="19">
        <f>IF((AL234=1),S234,0)</f>
        <v>0</v>
      </c>
      <c r="BX236" s="19">
        <f>IF(AND(EXACT(AL234,"1"),EXACT(AR236,"1")),(1),(0))</f>
        <v>0</v>
      </c>
      <c r="BY236" s="19">
        <f>IF((BX236=1),BW236,0)</f>
        <v>0</v>
      </c>
      <c r="CC236" s="19">
        <f>IF((AM234=1),R234,0)</f>
        <v>0</v>
      </c>
      <c r="CD236" s="19">
        <f>IF(AND(EXACT(AM234,"1"),EXACT(AR236,"1")),(1),(0))</f>
        <v>0</v>
      </c>
      <c r="CE236" s="19">
        <f>IF((CD236=1),CC236,0)</f>
        <v>0</v>
      </c>
    </row>
    <row r="237" spans="1:83" ht="20.25">
      <c r="A237" s="12">
        <f>IF(AA237=0,0,IF(AA234=0,Z237,SUM(A234,AA237)))</f>
        <v>0</v>
      </c>
      <c r="B237" s="1157"/>
      <c r="C237" s="1157"/>
      <c r="D237" s="1157"/>
      <c r="E237" s="1182"/>
      <c r="F237" s="1424"/>
      <c r="G237" s="1424"/>
      <c r="H237" s="527"/>
      <c r="I237" s="528"/>
      <c r="J237" s="529"/>
      <c r="K237" s="530"/>
      <c r="L237" s="531"/>
      <c r="M237" s="532"/>
      <c r="N237" s="533"/>
      <c r="O237" s="532"/>
      <c r="P237" s="1182"/>
      <c r="Q237" s="1182"/>
      <c r="R237" s="534">
        <f t="shared" ref="R237" ca="1" si="296">IF(OR(EXACT(H237,""),EXACT(B237,""),EXACT(F238,""),EXACT(H238,""),EXACT(J238,""),EXACT(L238,""),EXACT(N238,""),EXACT(F237,""),EXACT(J237,""),EXACT(M237,""),EXACT(N237,""),EXACT(O237,""),EXACT(P237,"")),0,IF(OR(EXACT(P238,"مقاله پر استناد"),EXACT(P238,"مقاله داغ"),EXACT(P238,"مستخرج از برنامه تحقيقاتي ملي معطوف به رفع مشكلات كشور")),(1.5*(F238*N238*(IF(EXACT(J238,"نفر اول"),INDIRECT(CONCATENATE("'Data Base'!$d",H238)),INDIRECT(CONCATENATE("'Data Base'!$e",H238))))*((100-L238)/100))),IF(EXACT(P238,"Short Article"),(0.5*(F238*N238*(IF(EXACT(J238,"نفر اول"),INDIRECT(CONCATENATE("'Data Base'!$D",H238)),INDIRECT(CONCATENATE("'Data Base'!$E",H238))))*((100-L238)/100))),IF(EXACT(P238,"چاپ شده در نشريات بسيار پر استناد Nature و Science"),(2*(F238*N238*(IF(EXACT(J238,"نفر اول"),INDIRECT(CONCATENATE("'Data Base'!$D",H238)),INDIRECT(CONCATENATE("'Data Base'!$E",H238))))*((100-L238)/100))),IF(OR(EXACT(P238,"مستخرج از طرح پژوهشي محرمانه"),EXACT(P238,"مشترك با اساتيد دانشگاه خارج از كشور")),(1.2*(F238*N238*(IF(EXACT(J238,"نفر اول"),INDIRECT(CONCATENATE("'Data Base'!$D",H238)),INDIRECT(CONCATENATE("'Data Base'!$E",H238))))*((100-L238)/100))),(F238*N238*(IF(EXACT(J238,"نفر اول"),INDIRECT(CONCATENATE("'Data Base'!$d",H238)),INDIRECT(CONCATENATE("'Data Base'!$e",H238))))*((100-L238)/100)))))))</f>
        <v>0</v>
      </c>
      <c r="S237" s="535">
        <f t="shared" ref="S237" ca="1" si="297">IF(OR(EXACT(H237,""),EXACT(B237,""),EXACT(F239,""),EXACT(H239,""),EXACT(J239,""),EXACT(L239,""),EXACT(N239,""),EXACT(F237,""),EXACT(J237,""),EXACT(M237,""),EXACT(N237,""),EXACT(O237,""),EXACT(P237,"")),0,IF(OR(EXACT(P239,"مقاله پر استناد"),EXACT(P239,"مقاله داغ"),EXACT(P239,"مستخرج از برنامه تحقيقاتي ملي معطوف به رفع مشكلات كشور")),(1.5*(F239*N239*(IF(EXACT(J239,"نفر اول"),INDIRECT(CONCATENATE("'Data Base'!$d",H239)),INDIRECT(CONCATENATE("'Data Base'!$E",H239))))*((100-L239)/100))),IF(EXACT(P239,"Short Article"),(0.5*(F239*N239*(IF(EXACT(J239,"نفر اول"),INDIRECT(CONCATENATE("'Data Base'!$D",H239)),INDIRECT(CONCATENATE("'Data Base'!$E",H239))))*((100-L239)/100))),IF(EXACT(P239,"چاپ شده در نشريات بسيار پر استناد Nature و Science"),(2*(F239*N239*(IF(EXACT(J239,"نفر اول"),INDIRECT(CONCATENATE("'Data Base'!$D",H239)),INDIRECT(CONCATENATE("'Data Base'!$E",H239))))*((100-L239)/100))),IF(OR(EXACT(P239,"مستخرج از طرح پژوهشي محرمانه"),EXACT(P239,"مشترك با اساتيد دانشگاه خارج از كشور")),(1.2*(F239*N239*(IF(EXACT(J239,"نفر اول"),INDIRECT(CONCATENATE("'Data Base'!$D",H239)),INDIRECT(CONCATENATE("'Data Base'!$E",H239))))*((100-L239)/100))),(F239*N239*(IF(EXACT(J239,"نفر اول"),INDIRECT(CONCATENATE("'Data Base'!$D",H239)),INDIRECT(CONCATENATE("'Data Base'!$E",H239))))*((100-L239)/100)))))))</f>
        <v>0</v>
      </c>
      <c r="T237" s="147"/>
      <c r="U237" s="1414"/>
      <c r="Z237" s="19">
        <f>SUM(Z234,AA237)</f>
        <v>0</v>
      </c>
      <c r="AA237" s="19">
        <f>IF(OR(OR(B237="",F237="",H237="",J237="",P237=""),AND(M237="",O237="")),0,1)</f>
        <v>0</v>
      </c>
      <c r="AB237" s="19">
        <f t="shared" ref="AB237" ca="1" si="298">IF(AND(AA237=1,S237&gt;0),1,0)</f>
        <v>0</v>
      </c>
      <c r="AC237" s="19">
        <f t="shared" ref="AC237" ca="1" si="299">IF(AND(AA237=1,S237&lt;1),1,0)</f>
        <v>0</v>
      </c>
      <c r="AD237" s="19">
        <f ca="1">IF(AND(AA237=1,S237&gt;=1,AJ237=1),1,0)</f>
        <v>0</v>
      </c>
      <c r="AE237" s="19">
        <f ca="1">IF(AD237=1,S237,0)</f>
        <v>0</v>
      </c>
      <c r="AF237" s="19">
        <f ca="1">IF(AND(AA237=1,S237&gt;=1,AJ237=1,AR239=1),1,0)</f>
        <v>0</v>
      </c>
      <c r="AG237" s="19">
        <f ca="1">IF(AF237=1,S237,0)</f>
        <v>0</v>
      </c>
      <c r="AH237" s="19">
        <f>IF(OR(EXACT(H237,"JCR-Q1"),EXACT(H237,"JCR-Q2")),(1),(0))</f>
        <v>0</v>
      </c>
      <c r="AI237" s="19">
        <f>IF(OR(EXACT(H237,"JCR-Q1"),EXACT(H237,"JCR-Q2"),EXACT(H237,"JCR-Q3")),(1),(0))</f>
        <v>0</v>
      </c>
      <c r="AJ237" s="19">
        <f>IF(OR(EXACT(H237,"JCR-Q1"),EXACT(H237,"JCR-Q2"),EXACT(H237,"JCR-Q3"),EXACT(H237,"JCR-Q4")),(1),(0))</f>
        <v>0</v>
      </c>
      <c r="AK237" s="19">
        <f>IF(OR(EXACT(H237,"JCR-Q1"),EXACT(H237,"JCR-Q2"),EXACT(H237,"JCR-Q3"),EXACT(H237,"JCR-Q4"),EXACT(H237,"WOS")),(1),(0))</f>
        <v>0</v>
      </c>
      <c r="AL237" s="19">
        <f>IF(OR(EXACT(H237,"JCR-Q1"),EXACT(H237,"JCR-Q2"),EXACT(H237,"JCR-Q3"),EXACT(H237,"JCR-Q4"),EXACT(H237,"WOS"),EXACT(H237,"Scopus")),(1),(0))</f>
        <v>0</v>
      </c>
      <c r="AM237" s="19">
        <f>IF(OR(EXACT(H237,'Data Base'!$B$21),EXACT(H237,'Data Base'!$B$22)),(1),(0))</f>
        <v>0</v>
      </c>
    </row>
    <row r="238" spans="1:83" ht="20.25" customHeight="1">
      <c r="A238" s="1416" t="s">
        <v>29</v>
      </c>
      <c r="B238" s="1417"/>
      <c r="C238" s="1417"/>
      <c r="D238" s="1418"/>
      <c r="E238" s="514" t="s">
        <v>1001</v>
      </c>
      <c r="F238" s="515"/>
      <c r="G238" s="516" t="s">
        <v>801</v>
      </c>
      <c r="H238" s="517"/>
      <c r="I238" s="516" t="s">
        <v>1002</v>
      </c>
      <c r="J238" s="518"/>
      <c r="K238" s="516" t="s">
        <v>1003</v>
      </c>
      <c r="L238" s="519"/>
      <c r="M238" s="516" t="s">
        <v>1004</v>
      </c>
      <c r="N238" s="520"/>
      <c r="O238" s="1266" t="s">
        <v>55</v>
      </c>
      <c r="P238" s="1419"/>
      <c r="Q238" s="1419"/>
      <c r="R238" s="1419"/>
      <c r="S238" s="1419"/>
      <c r="T238" s="1419"/>
      <c r="U238" s="1415"/>
      <c r="AN238" s="19">
        <f>IF(AND(AA237=1,EXACT(J238,"نفر اول")),(1),(0))</f>
        <v>0</v>
      </c>
      <c r="AO238" s="19">
        <f>IF(AN238=1,R237,0)</f>
        <v>0</v>
      </c>
      <c r="AP238" s="19">
        <f>IF(AND(AA237=1,EXACT(J238,"همكار")),(1),(0))</f>
        <v>0</v>
      </c>
      <c r="AQ238" s="19">
        <f>IF(AP238=1,R237,0)</f>
        <v>0</v>
      </c>
      <c r="AV238" s="19">
        <f>IF((AH237=1),R237,0)</f>
        <v>0</v>
      </c>
      <c r="AW238" s="19">
        <f>IF(AND(EXACT(AN238,"1"),EXACT(AH237,"1")),(1),(0))</f>
        <v>0</v>
      </c>
      <c r="AX238" s="19">
        <f>IF((AW238=1),AV238,0)</f>
        <v>0</v>
      </c>
      <c r="BB238" s="19">
        <f>IF((AI237=1),R237,0)</f>
        <v>0</v>
      </c>
      <c r="BC238" s="19">
        <f>IF(AND(EXACT(AI237,"1"),EXACT(AN238,"1")),(1),(0))</f>
        <v>0</v>
      </c>
      <c r="BD238" s="19">
        <f>IF((BC238=1),BB238,0)</f>
        <v>0</v>
      </c>
      <c r="BH238" s="19">
        <f>IF((AJ237=1),R237,0)</f>
        <v>0</v>
      </c>
      <c r="BI238" s="19">
        <f>IF(AND(EXACT(AJ237,"1"),EXACT(AN238,"1")),(1),(0))</f>
        <v>0</v>
      </c>
      <c r="BJ238" s="19">
        <f>IF((BI238=1),BH238,0)</f>
        <v>0</v>
      </c>
      <c r="BN238" s="19">
        <f>IF((AK237=1),R237,0)</f>
        <v>0</v>
      </c>
      <c r="BO238" s="19">
        <f>IF(AND(EXACT(AK237,"1"),EXACT(AN238,"1")),(1),(0))</f>
        <v>0</v>
      </c>
      <c r="BP238" s="19">
        <f>IF((BO238=1),BN238,0)</f>
        <v>0</v>
      </c>
      <c r="BT238" s="19">
        <f>IF((AL237=1),R237,0)</f>
        <v>0</v>
      </c>
      <c r="BU238" s="19">
        <f>IF(AND(EXACT(AN238,"1"),EXACT(AL237,"1")),(1),(0))</f>
        <v>0</v>
      </c>
      <c r="BV238" s="19">
        <f>IF((BU238=1),BT238,0)</f>
        <v>0</v>
      </c>
      <c r="BZ238" s="19">
        <f>IF((AM237=1),R237,0)</f>
        <v>0</v>
      </c>
      <c r="CA238" s="19">
        <f>IF(AND(EXACT(AM237,"1"),EXACT(AN238,"1")),(1),(0))</f>
        <v>0</v>
      </c>
      <c r="CB238" s="19">
        <f>IF((CA238=1),BZ238,0)</f>
        <v>0</v>
      </c>
    </row>
    <row r="239" spans="1:83" ht="20.25">
      <c r="A239" s="1420" t="s">
        <v>30</v>
      </c>
      <c r="B239" s="1421"/>
      <c r="C239" s="1421"/>
      <c r="D239" s="1422"/>
      <c r="E239" s="536" t="s">
        <v>1001</v>
      </c>
      <c r="F239" s="537"/>
      <c r="G239" s="538" t="s">
        <v>801</v>
      </c>
      <c r="H239" s="539"/>
      <c r="I239" s="538" t="s">
        <v>1002</v>
      </c>
      <c r="J239" s="525"/>
      <c r="K239" s="538" t="s">
        <v>1003</v>
      </c>
      <c r="L239" s="540"/>
      <c r="M239" s="538" t="s">
        <v>1004</v>
      </c>
      <c r="N239" s="541"/>
      <c r="O239" s="1266"/>
      <c r="P239" s="1423"/>
      <c r="Q239" s="1423"/>
      <c r="R239" s="1423"/>
      <c r="S239" s="1423"/>
      <c r="T239" s="1423"/>
      <c r="U239" s="1415"/>
      <c r="AR239" s="19">
        <f>IF(AND(AA237=1,EXACT(J239,"نفر اول")),(1),(0))</f>
        <v>0</v>
      </c>
      <c r="AS239" s="19">
        <f>IF(AR239=1,S237,0)</f>
        <v>0</v>
      </c>
      <c r="AT239" s="19">
        <f>IF(AND(AA237=1,EXACT(J239,"همكار")),(1),(0))</f>
        <v>0</v>
      </c>
      <c r="AU239" s="19">
        <f>IF(AT239=1,S237,0)</f>
        <v>0</v>
      </c>
      <c r="AY239" s="19">
        <f>IF((AH237=1),S237,0)</f>
        <v>0</v>
      </c>
      <c r="AZ239" s="19">
        <f>IF(AND(EXACT(AR239,"1"),EXACT(AH237,"1")),(1),(0))</f>
        <v>0</v>
      </c>
      <c r="BA239" s="19">
        <f>IF((AZ239=1),AY239,0)</f>
        <v>0</v>
      </c>
      <c r="BE239" s="19">
        <f>IF((AI237=1),S237,0)</f>
        <v>0</v>
      </c>
      <c r="BF239" s="19">
        <f>IF(AND(EXACT(AI237,"1"),EXACT(AR239,"1")),(1),(0))</f>
        <v>0</v>
      </c>
      <c r="BG239" s="19">
        <f>IF((BF239=1),BE239,0)</f>
        <v>0</v>
      </c>
      <c r="BK239" s="19">
        <f>IF((AJ237=1),S237,0)</f>
        <v>0</v>
      </c>
      <c r="BL239" s="19">
        <f>IF(AND(EXACT(AJ237,"1"),EXACT(AR239,"1")),(1),(0))</f>
        <v>0</v>
      </c>
      <c r="BM239" s="19">
        <f>IF((BL239=1),BK239,0)</f>
        <v>0</v>
      </c>
      <c r="BQ239" s="19">
        <f>IF((AJ237=1),S237,0)</f>
        <v>0</v>
      </c>
      <c r="BR239" s="19">
        <f>IF(AND(EXACT(AJ237,"1"),EXACT(AR239,"1")),(1),(0))</f>
        <v>0</v>
      </c>
      <c r="BS239" s="19">
        <f>IF((BL239=1),BK239,0)</f>
        <v>0</v>
      </c>
      <c r="BW239" s="19">
        <f>IF((AL237=1),S237,0)</f>
        <v>0</v>
      </c>
      <c r="BX239" s="19">
        <f>IF(AND(EXACT(AL237,"1"),EXACT(AR239,"1")),(1),(0))</f>
        <v>0</v>
      </c>
      <c r="BY239" s="19">
        <f>IF((BX239=1),BW239,0)</f>
        <v>0</v>
      </c>
      <c r="CC239" s="19">
        <f>IF((AM237=1),R237,0)</f>
        <v>0</v>
      </c>
      <c r="CD239" s="19">
        <f>IF(AND(EXACT(AM237,"1"),EXACT(AR239,"1")),(1),(0))</f>
        <v>0</v>
      </c>
      <c r="CE239" s="19">
        <f>IF((CD239=1),CC239,0)</f>
        <v>0</v>
      </c>
    </row>
    <row r="240" spans="1:83" ht="20.25">
      <c r="A240" s="12">
        <f>IF(AA240=0,0,IF(AA237=0,Z240,SUM(A237,AA240)))</f>
        <v>0</v>
      </c>
      <c r="B240" s="1157"/>
      <c r="C240" s="1157"/>
      <c r="D240" s="1157"/>
      <c r="E240" s="1182"/>
      <c r="F240" s="1424"/>
      <c r="G240" s="1424"/>
      <c r="H240" s="527"/>
      <c r="I240" s="528"/>
      <c r="J240" s="529"/>
      <c r="K240" s="530"/>
      <c r="L240" s="531"/>
      <c r="M240" s="532"/>
      <c r="N240" s="533"/>
      <c r="O240" s="532"/>
      <c r="P240" s="1182"/>
      <c r="Q240" s="1182"/>
      <c r="R240" s="534">
        <f t="shared" ref="R240" ca="1" si="300">IF(OR(EXACT(H240,""),EXACT(B240,""),EXACT(F241,""),EXACT(H241,""),EXACT(J241,""),EXACT(L241,""),EXACT(N241,""),EXACT(F240,""),EXACT(J240,""),EXACT(M240,""),EXACT(N240,""),EXACT(O240,""),EXACT(P240,"")),0,IF(OR(EXACT(P241,"مقاله پر استناد"),EXACT(P241,"مقاله داغ"),EXACT(P241,"مستخرج از برنامه تحقيقاتي ملي معطوف به رفع مشكلات كشور")),(1.5*(F241*N241*(IF(EXACT(J241,"نفر اول"),INDIRECT(CONCATENATE("'Data Base'!$d",H241)),INDIRECT(CONCATENATE("'Data Base'!$e",H241))))*((100-L241)/100))),IF(EXACT(P241,"Short Article"),(0.5*(F241*N241*(IF(EXACT(J241,"نفر اول"),INDIRECT(CONCATENATE("'Data Base'!$D",H241)),INDIRECT(CONCATENATE("'Data Base'!$E",H241))))*((100-L241)/100))),IF(EXACT(P241,"چاپ شده در نشريات بسيار پر استناد Nature و Science"),(2*(F241*N241*(IF(EXACT(J241,"نفر اول"),INDIRECT(CONCATENATE("'Data Base'!$D",H241)),INDIRECT(CONCATENATE("'Data Base'!$E",H241))))*((100-L241)/100))),IF(OR(EXACT(P241,"مستخرج از طرح پژوهشي محرمانه"),EXACT(P241,"مشترك با اساتيد دانشگاه خارج از كشور")),(1.2*(F241*N241*(IF(EXACT(J241,"نفر اول"),INDIRECT(CONCATENATE("'Data Base'!$D",H241)),INDIRECT(CONCATENATE("'Data Base'!$E",H241))))*((100-L241)/100))),(F241*N241*(IF(EXACT(J241,"نفر اول"),INDIRECT(CONCATENATE("'Data Base'!$d",H241)),INDIRECT(CONCATENATE("'Data Base'!$e",H241))))*((100-L241)/100)))))))</f>
        <v>0</v>
      </c>
      <c r="S240" s="535">
        <f t="shared" ref="S240" ca="1" si="301">IF(OR(EXACT(H240,""),EXACT(B240,""),EXACT(F242,""),EXACT(H242,""),EXACT(J242,""),EXACT(L242,""),EXACT(N242,""),EXACT(F240,""),EXACT(J240,""),EXACT(M240,""),EXACT(N240,""),EXACT(O240,""),EXACT(P240,"")),0,IF(OR(EXACT(P242,"مقاله پر استناد"),EXACT(P242,"مقاله داغ"),EXACT(P242,"مستخرج از برنامه تحقيقاتي ملي معطوف به رفع مشكلات كشور")),(1.5*(F242*N242*(IF(EXACT(J242,"نفر اول"),INDIRECT(CONCATENATE("'Data Base'!$d",H242)),INDIRECT(CONCATENATE("'Data Base'!$E",H242))))*((100-L242)/100))),IF(EXACT(P242,"Short Article"),(0.5*(F242*N242*(IF(EXACT(J242,"نفر اول"),INDIRECT(CONCATENATE("'Data Base'!$D",H242)),INDIRECT(CONCATENATE("'Data Base'!$E",H242))))*((100-L242)/100))),IF(EXACT(P242,"چاپ شده در نشريات بسيار پر استناد Nature و Science"),(2*(F242*N242*(IF(EXACT(J242,"نفر اول"),INDIRECT(CONCATENATE("'Data Base'!$D",H242)),INDIRECT(CONCATENATE("'Data Base'!$E",H242))))*((100-L242)/100))),IF(OR(EXACT(P242,"مستخرج از طرح پژوهشي محرمانه"),EXACT(P242,"مشترك با اساتيد دانشگاه خارج از كشور")),(1.2*(F242*N242*(IF(EXACT(J242,"نفر اول"),INDIRECT(CONCATENATE("'Data Base'!$D",H242)),INDIRECT(CONCATENATE("'Data Base'!$E",H242))))*((100-L242)/100))),(F242*N242*(IF(EXACT(J242,"نفر اول"),INDIRECT(CONCATENATE("'Data Base'!$D",H242)),INDIRECT(CONCATENATE("'Data Base'!$E",H242))))*((100-L242)/100)))))))</f>
        <v>0</v>
      </c>
      <c r="T240" s="147"/>
      <c r="U240" s="1414"/>
      <c r="Z240" s="19">
        <f>SUM(Z237,AA240)</f>
        <v>0</v>
      </c>
      <c r="AA240" s="19">
        <f>IF(OR(OR(B240="",F240="",H240="",J240="",P240=""),AND(M240="",O240="")),0,1)</f>
        <v>0</v>
      </c>
      <c r="AB240" s="19">
        <f t="shared" ref="AB240" ca="1" si="302">IF(AND(AA240=1,S240&gt;0),1,0)</f>
        <v>0</v>
      </c>
      <c r="AC240" s="19">
        <f t="shared" ref="AC240" ca="1" si="303">IF(AND(AA240=1,S240&lt;1),1,0)</f>
        <v>0</v>
      </c>
      <c r="AD240" s="19">
        <f ca="1">IF(AND(AA240=1,S240&gt;=1,AJ240=1),1,0)</f>
        <v>0</v>
      </c>
      <c r="AE240" s="19">
        <f ca="1">IF(AD240=1,S240,0)</f>
        <v>0</v>
      </c>
      <c r="AF240" s="19">
        <f ca="1">IF(AND(AA240=1,S240&gt;=1,AJ240=1,AR242=1),1,0)</f>
        <v>0</v>
      </c>
      <c r="AG240" s="19">
        <f ca="1">IF(AF240=1,S240,0)</f>
        <v>0</v>
      </c>
      <c r="AH240" s="19">
        <f>IF(OR(EXACT(H240,"JCR-Q1"),EXACT(H240,"JCR-Q2")),(1),(0))</f>
        <v>0</v>
      </c>
      <c r="AI240" s="19">
        <f>IF(OR(EXACT(H240,"JCR-Q1"),EXACT(H240,"JCR-Q2"),EXACT(H240,"JCR-Q3")),(1),(0))</f>
        <v>0</v>
      </c>
      <c r="AJ240" s="19">
        <f>IF(OR(EXACT(H240,"JCR-Q1"),EXACT(H240,"JCR-Q2"),EXACT(H240,"JCR-Q3"),EXACT(H240,"JCR-Q4")),(1),(0))</f>
        <v>0</v>
      </c>
      <c r="AK240" s="19">
        <f>IF(OR(EXACT(H240,"JCR-Q1"),EXACT(H240,"JCR-Q2"),EXACT(H240,"JCR-Q3"),EXACT(H240,"JCR-Q4"),EXACT(H240,"WOS")),(1),(0))</f>
        <v>0</v>
      </c>
      <c r="AL240" s="19">
        <f>IF(OR(EXACT(H240,"JCR-Q1"),EXACT(H240,"JCR-Q2"),EXACT(H240,"JCR-Q3"),EXACT(H240,"JCR-Q4"),EXACT(H240,"WOS"),EXACT(H240,"Scopus")),(1),(0))</f>
        <v>0</v>
      </c>
      <c r="AM240" s="19">
        <f>IF(OR(EXACT(H240,'Data Base'!$B$21),EXACT(H240,'Data Base'!$B$22)),(1),(0))</f>
        <v>0</v>
      </c>
    </row>
    <row r="241" spans="1:83" ht="20.25" customHeight="1">
      <c r="A241" s="1416" t="s">
        <v>29</v>
      </c>
      <c r="B241" s="1417"/>
      <c r="C241" s="1417"/>
      <c r="D241" s="1418"/>
      <c r="E241" s="514" t="s">
        <v>1001</v>
      </c>
      <c r="F241" s="515"/>
      <c r="G241" s="516" t="s">
        <v>801</v>
      </c>
      <c r="H241" s="517"/>
      <c r="I241" s="516" t="s">
        <v>1002</v>
      </c>
      <c r="J241" s="518"/>
      <c r="K241" s="516" t="s">
        <v>1003</v>
      </c>
      <c r="L241" s="519"/>
      <c r="M241" s="516" t="s">
        <v>1004</v>
      </c>
      <c r="N241" s="520"/>
      <c r="O241" s="1266" t="s">
        <v>55</v>
      </c>
      <c r="P241" s="1419"/>
      <c r="Q241" s="1419"/>
      <c r="R241" s="1419"/>
      <c r="S241" s="1419"/>
      <c r="T241" s="1419"/>
      <c r="U241" s="1415"/>
      <c r="AN241" s="19">
        <f>IF(AND(AA240=1,EXACT(J241,"نفر اول")),(1),(0))</f>
        <v>0</v>
      </c>
      <c r="AO241" s="19">
        <f>IF(AN241=1,R240,0)</f>
        <v>0</v>
      </c>
      <c r="AP241" s="19">
        <f>IF(AND(AA240=1,EXACT(J241,"همكار")),(1),(0))</f>
        <v>0</v>
      </c>
      <c r="AQ241" s="19">
        <f>IF(AP241=1,R240,0)</f>
        <v>0</v>
      </c>
      <c r="AV241" s="19">
        <f>IF((AH240=1),R240,0)</f>
        <v>0</v>
      </c>
      <c r="AW241" s="19">
        <f>IF(AND(EXACT(AN241,"1"),EXACT(AH240,"1")),(1),(0))</f>
        <v>0</v>
      </c>
      <c r="AX241" s="19">
        <f>IF((AW241=1),AV241,0)</f>
        <v>0</v>
      </c>
      <c r="BB241" s="19">
        <f>IF((AI240=1),R240,0)</f>
        <v>0</v>
      </c>
      <c r="BC241" s="19">
        <f>IF(AND(EXACT(AI240,"1"),EXACT(AN241,"1")),(1),(0))</f>
        <v>0</v>
      </c>
      <c r="BD241" s="19">
        <f>IF((BC241=1),BB241,0)</f>
        <v>0</v>
      </c>
      <c r="BH241" s="19">
        <f>IF((AJ240=1),R240,0)</f>
        <v>0</v>
      </c>
      <c r="BI241" s="19">
        <f>IF(AND(EXACT(AJ240,"1"),EXACT(AN241,"1")),(1),(0))</f>
        <v>0</v>
      </c>
      <c r="BJ241" s="19">
        <f>IF((BI241=1),BH241,0)</f>
        <v>0</v>
      </c>
      <c r="BN241" s="19">
        <f>IF((AK240=1),R240,0)</f>
        <v>0</v>
      </c>
      <c r="BO241" s="19">
        <f>IF(AND(EXACT(AK240,"1"),EXACT(AN241,"1")),(1),(0))</f>
        <v>0</v>
      </c>
      <c r="BP241" s="19">
        <f>IF((BO241=1),BN241,0)</f>
        <v>0</v>
      </c>
      <c r="BT241" s="19">
        <f>IF((AL240=1),R240,0)</f>
        <v>0</v>
      </c>
      <c r="BU241" s="19">
        <f>IF(AND(EXACT(AN241,"1"),EXACT(AL240,"1")),(1),(0))</f>
        <v>0</v>
      </c>
      <c r="BV241" s="19">
        <f>IF((BU241=1),BT241,0)</f>
        <v>0</v>
      </c>
      <c r="BZ241" s="19">
        <f>IF((AM240=1),R240,0)</f>
        <v>0</v>
      </c>
      <c r="CA241" s="19">
        <f>IF(AND(EXACT(AM240,"1"),EXACT(AN241,"1")),(1),(0))</f>
        <v>0</v>
      </c>
      <c r="CB241" s="19">
        <f>IF((CA241=1),BZ241,0)</f>
        <v>0</v>
      </c>
    </row>
    <row r="242" spans="1:83" ht="20.25">
      <c r="A242" s="1420" t="s">
        <v>30</v>
      </c>
      <c r="B242" s="1421"/>
      <c r="C242" s="1421"/>
      <c r="D242" s="1422"/>
      <c r="E242" s="536" t="s">
        <v>1001</v>
      </c>
      <c r="F242" s="537"/>
      <c r="G242" s="538" t="s">
        <v>801</v>
      </c>
      <c r="H242" s="539"/>
      <c r="I242" s="538" t="s">
        <v>1002</v>
      </c>
      <c r="J242" s="525"/>
      <c r="K242" s="538" t="s">
        <v>1003</v>
      </c>
      <c r="L242" s="540"/>
      <c r="M242" s="538" t="s">
        <v>1004</v>
      </c>
      <c r="N242" s="541"/>
      <c r="O242" s="1266"/>
      <c r="P242" s="1423"/>
      <c r="Q242" s="1423"/>
      <c r="R242" s="1423"/>
      <c r="S242" s="1423"/>
      <c r="T242" s="1423"/>
      <c r="U242" s="1415"/>
      <c r="AR242" s="19">
        <f>IF(AND(AA240=1,EXACT(J242,"نفر اول")),(1),(0))</f>
        <v>0</v>
      </c>
      <c r="AS242" s="19">
        <f>IF(AR242=1,S240,0)</f>
        <v>0</v>
      </c>
      <c r="AT242" s="19">
        <f>IF(AND(AA240=1,EXACT(J242,"همكار")),(1),(0))</f>
        <v>0</v>
      </c>
      <c r="AU242" s="19">
        <f>IF(AT242=1,S240,0)</f>
        <v>0</v>
      </c>
      <c r="AY242" s="19">
        <f>IF((AH240=1),S240,0)</f>
        <v>0</v>
      </c>
      <c r="AZ242" s="19">
        <f>IF(AND(EXACT(AR242,"1"),EXACT(AH240,"1")),(1),(0))</f>
        <v>0</v>
      </c>
      <c r="BA242" s="19">
        <f>IF((AZ242=1),AY242,0)</f>
        <v>0</v>
      </c>
      <c r="BE242" s="19">
        <f>IF((AI240=1),S240,0)</f>
        <v>0</v>
      </c>
      <c r="BF242" s="19">
        <f>IF(AND(EXACT(AI240,"1"),EXACT(AR242,"1")),(1),(0))</f>
        <v>0</v>
      </c>
      <c r="BG242" s="19">
        <f>IF((BF242=1),BE242,0)</f>
        <v>0</v>
      </c>
      <c r="BK242" s="19">
        <f>IF((AJ240=1),S240,0)</f>
        <v>0</v>
      </c>
      <c r="BL242" s="19">
        <f>IF(AND(EXACT(AJ240,"1"),EXACT(AR242,"1")),(1),(0))</f>
        <v>0</v>
      </c>
      <c r="BM242" s="19">
        <f>IF((BL242=1),BK242,0)</f>
        <v>0</v>
      </c>
      <c r="BQ242" s="19">
        <f>IF((AJ240=1),S240,0)</f>
        <v>0</v>
      </c>
      <c r="BR242" s="19">
        <f>IF(AND(EXACT(AJ240,"1"),EXACT(AR242,"1")),(1),(0))</f>
        <v>0</v>
      </c>
      <c r="BS242" s="19">
        <f>IF((BL242=1),BK242,0)</f>
        <v>0</v>
      </c>
      <c r="BW242" s="19">
        <f>IF((AL240=1),S240,0)</f>
        <v>0</v>
      </c>
      <c r="BX242" s="19">
        <f>IF(AND(EXACT(AL240,"1"),EXACT(AR242,"1")),(1),(0))</f>
        <v>0</v>
      </c>
      <c r="BY242" s="19">
        <f>IF((BX242=1),BW242,0)</f>
        <v>0</v>
      </c>
      <c r="CC242" s="19">
        <f>IF((AM240=1),R240,0)</f>
        <v>0</v>
      </c>
      <c r="CD242" s="19">
        <f>IF(AND(EXACT(AM240,"1"),EXACT(AR242,"1")),(1),(0))</f>
        <v>0</v>
      </c>
      <c r="CE242" s="19">
        <f>IF((CD242=1),CC242,0)</f>
        <v>0</v>
      </c>
    </row>
    <row r="243" spans="1:83" ht="20.25">
      <c r="A243" s="12">
        <f>IF(AA243=0,0,IF(AA240=0,Z243,SUM(A240,AA243)))</f>
        <v>0</v>
      </c>
      <c r="B243" s="1157"/>
      <c r="C243" s="1157"/>
      <c r="D243" s="1157"/>
      <c r="E243" s="1182"/>
      <c r="F243" s="1424"/>
      <c r="G243" s="1424"/>
      <c r="H243" s="527"/>
      <c r="I243" s="528"/>
      <c r="J243" s="529"/>
      <c r="K243" s="530"/>
      <c r="L243" s="531"/>
      <c r="M243" s="532"/>
      <c r="N243" s="533"/>
      <c r="O243" s="532"/>
      <c r="P243" s="1182"/>
      <c r="Q243" s="1182"/>
      <c r="R243" s="534">
        <f t="shared" ref="R243" ca="1" si="304">IF(OR(EXACT(H243,""),EXACT(B243,""),EXACT(F244,""),EXACT(H244,""),EXACT(J244,""),EXACT(L244,""),EXACT(N244,""),EXACT(F243,""),EXACT(J243,""),EXACT(M243,""),EXACT(N243,""),EXACT(O243,""),EXACT(P243,"")),0,IF(OR(EXACT(P244,"مقاله پر استناد"),EXACT(P244,"مقاله داغ"),EXACT(P244,"مستخرج از برنامه تحقيقاتي ملي معطوف به رفع مشكلات كشور")),(1.5*(F244*N244*(IF(EXACT(J244,"نفر اول"),INDIRECT(CONCATENATE("'Data Base'!$d",H244)),INDIRECT(CONCATENATE("'Data Base'!$e",H244))))*((100-L244)/100))),IF(EXACT(P244,"Short Article"),(0.5*(F244*N244*(IF(EXACT(J244,"نفر اول"),INDIRECT(CONCATENATE("'Data Base'!$D",H244)),INDIRECT(CONCATENATE("'Data Base'!$E",H244))))*((100-L244)/100))),IF(EXACT(P244,"چاپ شده در نشريات بسيار پر استناد Nature و Science"),(2*(F244*N244*(IF(EXACT(J244,"نفر اول"),INDIRECT(CONCATENATE("'Data Base'!$D",H244)),INDIRECT(CONCATENATE("'Data Base'!$E",H244))))*((100-L244)/100))),IF(OR(EXACT(P244,"مستخرج از طرح پژوهشي محرمانه"),EXACT(P244,"مشترك با اساتيد دانشگاه خارج از كشور")),(1.2*(F244*N244*(IF(EXACT(J244,"نفر اول"),INDIRECT(CONCATENATE("'Data Base'!$D",H244)),INDIRECT(CONCATENATE("'Data Base'!$E",H244))))*((100-L244)/100))),(F244*N244*(IF(EXACT(J244,"نفر اول"),INDIRECT(CONCATENATE("'Data Base'!$d",H244)),INDIRECT(CONCATENATE("'Data Base'!$e",H244))))*((100-L244)/100)))))))</f>
        <v>0</v>
      </c>
      <c r="S243" s="535">
        <f t="shared" ref="S243" ca="1" si="305">IF(OR(EXACT(H243,""),EXACT(B243,""),EXACT(F245,""),EXACT(H245,""),EXACT(J245,""),EXACT(L245,""),EXACT(N245,""),EXACT(F243,""),EXACT(J243,""),EXACT(M243,""),EXACT(N243,""),EXACT(O243,""),EXACT(P243,"")),0,IF(OR(EXACT(P245,"مقاله پر استناد"),EXACT(P245,"مقاله داغ"),EXACT(P245,"مستخرج از برنامه تحقيقاتي ملي معطوف به رفع مشكلات كشور")),(1.5*(F245*N245*(IF(EXACT(J245,"نفر اول"),INDIRECT(CONCATENATE("'Data Base'!$d",H245)),INDIRECT(CONCATENATE("'Data Base'!$E",H245))))*((100-L245)/100))),IF(EXACT(P245,"Short Article"),(0.5*(F245*N245*(IF(EXACT(J245,"نفر اول"),INDIRECT(CONCATENATE("'Data Base'!$D",H245)),INDIRECT(CONCATENATE("'Data Base'!$E",H245))))*((100-L245)/100))),IF(EXACT(P245,"چاپ شده در نشريات بسيار پر استناد Nature و Science"),(2*(F245*N245*(IF(EXACT(J245,"نفر اول"),INDIRECT(CONCATENATE("'Data Base'!$D",H245)),INDIRECT(CONCATENATE("'Data Base'!$E",H245))))*((100-L245)/100))),IF(OR(EXACT(P245,"مستخرج از طرح پژوهشي محرمانه"),EXACT(P245,"مشترك با اساتيد دانشگاه خارج از كشور")),(1.2*(F245*N245*(IF(EXACT(J245,"نفر اول"),INDIRECT(CONCATENATE("'Data Base'!$D",H245)),INDIRECT(CONCATENATE("'Data Base'!$E",H245))))*((100-L245)/100))),(F245*N245*(IF(EXACT(J245,"نفر اول"),INDIRECT(CONCATENATE("'Data Base'!$D",H245)),INDIRECT(CONCATENATE("'Data Base'!$E",H245))))*((100-L245)/100)))))))</f>
        <v>0</v>
      </c>
      <c r="T243" s="147"/>
      <c r="U243" s="1414"/>
      <c r="Z243" s="19">
        <f>SUM(Z240,AA243)</f>
        <v>0</v>
      </c>
      <c r="AA243" s="19">
        <f>IF(OR(OR(B243="",F243="",H243="",J243="",P243=""),AND(M243="",O243="")),0,1)</f>
        <v>0</v>
      </c>
      <c r="AB243" s="19">
        <f t="shared" ref="AB243" ca="1" si="306">IF(AND(AA243=1,S243&gt;0),1,0)</f>
        <v>0</v>
      </c>
      <c r="AC243" s="19">
        <f t="shared" ref="AC243" ca="1" si="307">IF(AND(AA243=1,S243&lt;1),1,0)</f>
        <v>0</v>
      </c>
      <c r="AD243" s="19">
        <f ca="1">IF(AND(AA243=1,S243&gt;=1,AJ243=1),1,0)</f>
        <v>0</v>
      </c>
      <c r="AE243" s="19">
        <f ca="1">IF(AD243=1,S243,0)</f>
        <v>0</v>
      </c>
      <c r="AF243" s="19">
        <f ca="1">IF(AND(AA243=1,S243&gt;=1,AJ243=1,AR245=1),1,0)</f>
        <v>0</v>
      </c>
      <c r="AG243" s="19">
        <f ca="1">IF(AF243=1,S243,0)</f>
        <v>0</v>
      </c>
      <c r="AH243" s="19">
        <f>IF(OR(EXACT(H243,"JCR-Q1"),EXACT(H243,"JCR-Q2")),(1),(0))</f>
        <v>0</v>
      </c>
      <c r="AI243" s="19">
        <f>IF(OR(EXACT(H243,"JCR-Q1"),EXACT(H243,"JCR-Q2"),EXACT(H243,"JCR-Q3")),(1),(0))</f>
        <v>0</v>
      </c>
      <c r="AJ243" s="19">
        <f>IF(OR(EXACT(H243,"JCR-Q1"),EXACT(H243,"JCR-Q2"),EXACT(H243,"JCR-Q3"),EXACT(H243,"JCR-Q4")),(1),(0))</f>
        <v>0</v>
      </c>
      <c r="AK243" s="19">
        <f>IF(OR(EXACT(H243,"JCR-Q1"),EXACT(H243,"JCR-Q2"),EXACT(H243,"JCR-Q3"),EXACT(H243,"JCR-Q4"),EXACT(H243,"WOS")),(1),(0))</f>
        <v>0</v>
      </c>
      <c r="AL243" s="19">
        <f>IF(OR(EXACT(H243,"JCR-Q1"),EXACT(H243,"JCR-Q2"),EXACT(H243,"JCR-Q3"),EXACT(H243,"JCR-Q4"),EXACT(H243,"WOS"),EXACT(H243,"Scopus")),(1),(0))</f>
        <v>0</v>
      </c>
      <c r="AM243" s="19">
        <f>IF(OR(EXACT(H243,'Data Base'!$B$21),EXACT(H243,'Data Base'!$B$22)),(1),(0))</f>
        <v>0</v>
      </c>
    </row>
    <row r="244" spans="1:83" ht="20.25" customHeight="1">
      <c r="A244" s="1416" t="s">
        <v>29</v>
      </c>
      <c r="B244" s="1417"/>
      <c r="C244" s="1417"/>
      <c r="D244" s="1418"/>
      <c r="E244" s="514" t="s">
        <v>1001</v>
      </c>
      <c r="F244" s="515"/>
      <c r="G244" s="516" t="s">
        <v>801</v>
      </c>
      <c r="H244" s="517"/>
      <c r="I244" s="516" t="s">
        <v>1002</v>
      </c>
      <c r="J244" s="518"/>
      <c r="K244" s="516" t="s">
        <v>1003</v>
      </c>
      <c r="L244" s="519"/>
      <c r="M244" s="516" t="s">
        <v>1004</v>
      </c>
      <c r="N244" s="520"/>
      <c r="O244" s="1266" t="s">
        <v>55</v>
      </c>
      <c r="P244" s="1419"/>
      <c r="Q244" s="1419"/>
      <c r="R244" s="1419"/>
      <c r="S244" s="1419"/>
      <c r="T244" s="1419"/>
      <c r="U244" s="1415"/>
      <c r="AN244" s="19">
        <f>IF(AND(AA243=1,EXACT(J244,"نفر اول")),(1),(0))</f>
        <v>0</v>
      </c>
      <c r="AO244" s="19">
        <f>IF(AN244=1,R243,0)</f>
        <v>0</v>
      </c>
      <c r="AP244" s="19">
        <f>IF(AND(AA243=1,EXACT(J244,"همكار")),(1),(0))</f>
        <v>0</v>
      </c>
      <c r="AQ244" s="19">
        <f>IF(AP244=1,R243,0)</f>
        <v>0</v>
      </c>
      <c r="AV244" s="19">
        <f>IF((AH243=1),R243,0)</f>
        <v>0</v>
      </c>
      <c r="AW244" s="19">
        <f>IF(AND(EXACT(AN244,"1"),EXACT(AH243,"1")),(1),(0))</f>
        <v>0</v>
      </c>
      <c r="AX244" s="19">
        <f>IF((AW244=1),AV244,0)</f>
        <v>0</v>
      </c>
      <c r="BB244" s="19">
        <f>IF((AI243=1),R243,0)</f>
        <v>0</v>
      </c>
      <c r="BC244" s="19">
        <f>IF(AND(EXACT(AI243,"1"),EXACT(AN244,"1")),(1),(0))</f>
        <v>0</v>
      </c>
      <c r="BD244" s="19">
        <f>IF((BC244=1),BB244,0)</f>
        <v>0</v>
      </c>
      <c r="BH244" s="19">
        <f>IF((AJ243=1),R243,0)</f>
        <v>0</v>
      </c>
      <c r="BI244" s="19">
        <f>IF(AND(EXACT(AJ243,"1"),EXACT(AN244,"1")),(1),(0))</f>
        <v>0</v>
      </c>
      <c r="BJ244" s="19">
        <f>IF((BI244=1),BH244,0)</f>
        <v>0</v>
      </c>
      <c r="BN244" s="19">
        <f>IF((AK243=1),R243,0)</f>
        <v>0</v>
      </c>
      <c r="BO244" s="19">
        <f>IF(AND(EXACT(AK243,"1"),EXACT(AN244,"1")),(1),(0))</f>
        <v>0</v>
      </c>
      <c r="BP244" s="19">
        <f>IF((BO244=1),BN244,0)</f>
        <v>0</v>
      </c>
      <c r="BT244" s="19">
        <f>IF((AL243=1),R243,0)</f>
        <v>0</v>
      </c>
      <c r="BU244" s="19">
        <f>IF(AND(EXACT(AN244,"1"),EXACT(AL243,"1")),(1),(0))</f>
        <v>0</v>
      </c>
      <c r="BV244" s="19">
        <f>IF((BU244=1),BT244,0)</f>
        <v>0</v>
      </c>
      <c r="BZ244" s="19">
        <f>IF((AM243=1),R243,0)</f>
        <v>0</v>
      </c>
      <c r="CA244" s="19">
        <f>IF(AND(EXACT(AM243,"1"),EXACT(AN244,"1")),(1),(0))</f>
        <v>0</v>
      </c>
      <c r="CB244" s="19">
        <f>IF((CA244=1),BZ244,0)</f>
        <v>0</v>
      </c>
    </row>
    <row r="245" spans="1:83" ht="20.25">
      <c r="A245" s="1420" t="s">
        <v>30</v>
      </c>
      <c r="B245" s="1421"/>
      <c r="C245" s="1421"/>
      <c r="D245" s="1422"/>
      <c r="E245" s="536" t="s">
        <v>1001</v>
      </c>
      <c r="F245" s="537"/>
      <c r="G245" s="538" t="s">
        <v>801</v>
      </c>
      <c r="H245" s="539"/>
      <c r="I245" s="538" t="s">
        <v>1002</v>
      </c>
      <c r="J245" s="525"/>
      <c r="K245" s="538" t="s">
        <v>1003</v>
      </c>
      <c r="L245" s="540"/>
      <c r="M245" s="538" t="s">
        <v>1004</v>
      </c>
      <c r="N245" s="541"/>
      <c r="O245" s="1266"/>
      <c r="P245" s="1423"/>
      <c r="Q245" s="1423"/>
      <c r="R245" s="1423"/>
      <c r="S245" s="1423"/>
      <c r="T245" s="1423"/>
      <c r="U245" s="1415"/>
      <c r="AR245" s="19">
        <f>IF(AND(AA243=1,EXACT(J245,"نفر اول")),(1),(0))</f>
        <v>0</v>
      </c>
      <c r="AS245" s="19">
        <f>IF(AR245=1,S243,0)</f>
        <v>0</v>
      </c>
      <c r="AT245" s="19">
        <f>IF(AND(AA243=1,EXACT(J245,"همكار")),(1),(0))</f>
        <v>0</v>
      </c>
      <c r="AU245" s="19">
        <f>IF(AT245=1,S243,0)</f>
        <v>0</v>
      </c>
      <c r="AY245" s="19">
        <f>IF((AH243=1),S243,0)</f>
        <v>0</v>
      </c>
      <c r="AZ245" s="19">
        <f>IF(AND(EXACT(AR245,"1"),EXACT(AH243,"1")),(1),(0))</f>
        <v>0</v>
      </c>
      <c r="BA245" s="19">
        <f>IF((AZ245=1),AY245,0)</f>
        <v>0</v>
      </c>
      <c r="BE245" s="19">
        <f>IF((AI243=1),S243,0)</f>
        <v>0</v>
      </c>
      <c r="BF245" s="19">
        <f>IF(AND(EXACT(AI243,"1"),EXACT(AR245,"1")),(1),(0))</f>
        <v>0</v>
      </c>
      <c r="BG245" s="19">
        <f>IF((BF245=1),BE245,0)</f>
        <v>0</v>
      </c>
      <c r="BK245" s="19">
        <f>IF((AJ243=1),S243,0)</f>
        <v>0</v>
      </c>
      <c r="BL245" s="19">
        <f>IF(AND(EXACT(AJ243,"1"),EXACT(AR245,"1")),(1),(0))</f>
        <v>0</v>
      </c>
      <c r="BM245" s="19">
        <f>IF((BL245=1),BK245,0)</f>
        <v>0</v>
      </c>
      <c r="BQ245" s="19">
        <f>IF((AJ243=1),S243,0)</f>
        <v>0</v>
      </c>
      <c r="BR245" s="19">
        <f>IF(AND(EXACT(AJ243,"1"),EXACT(AR245,"1")),(1),(0))</f>
        <v>0</v>
      </c>
      <c r="BS245" s="19">
        <f>IF((BL245=1),BK245,0)</f>
        <v>0</v>
      </c>
      <c r="BW245" s="19">
        <f>IF((AL243=1),S243,0)</f>
        <v>0</v>
      </c>
      <c r="BX245" s="19">
        <f>IF(AND(EXACT(AL243,"1"),EXACT(AR245,"1")),(1),(0))</f>
        <v>0</v>
      </c>
      <c r="BY245" s="19">
        <f>IF((BX245=1),BW245,0)</f>
        <v>0</v>
      </c>
      <c r="CC245" s="19">
        <f>IF((AM243=1),R243,0)</f>
        <v>0</v>
      </c>
      <c r="CD245" s="19">
        <f>IF(AND(EXACT(AM243,"1"),EXACT(AR245,"1")),(1),(0))</f>
        <v>0</v>
      </c>
      <c r="CE245" s="19">
        <f>IF((CD245=1),CC245,0)</f>
        <v>0</v>
      </c>
    </row>
    <row r="246" spans="1:83" ht="20.25">
      <c r="A246" s="12">
        <f>IF(AA246=0,0,IF(AA243=0,Z246,SUM(A243,AA246)))</f>
        <v>0</v>
      </c>
      <c r="B246" s="1157"/>
      <c r="C246" s="1157"/>
      <c r="D246" s="1157"/>
      <c r="E246" s="1182"/>
      <c r="F246" s="1424"/>
      <c r="G246" s="1424"/>
      <c r="H246" s="527"/>
      <c r="I246" s="528"/>
      <c r="J246" s="529"/>
      <c r="K246" s="530"/>
      <c r="L246" s="531"/>
      <c r="M246" s="532"/>
      <c r="N246" s="533"/>
      <c r="O246" s="532"/>
      <c r="P246" s="1182"/>
      <c r="Q246" s="1182"/>
      <c r="R246" s="534">
        <f t="shared" ref="R246" ca="1" si="308">IF(OR(EXACT(H246,""),EXACT(B246,""),EXACT(F247,""),EXACT(H247,""),EXACT(J247,""),EXACT(L247,""),EXACT(N247,""),EXACT(F246,""),EXACT(J246,""),EXACT(M246,""),EXACT(N246,""),EXACT(O246,""),EXACT(P246,"")),0,IF(OR(EXACT(P247,"مقاله پر استناد"),EXACT(P247,"مقاله داغ"),EXACT(P247,"مستخرج از برنامه تحقيقاتي ملي معطوف به رفع مشكلات كشور")),(1.5*(F247*N247*(IF(EXACT(J247,"نفر اول"),INDIRECT(CONCATENATE("'Data Base'!$d",H247)),INDIRECT(CONCATENATE("'Data Base'!$e",H247))))*((100-L247)/100))),IF(EXACT(P247,"Short Article"),(0.5*(F247*N247*(IF(EXACT(J247,"نفر اول"),INDIRECT(CONCATENATE("'Data Base'!$D",H247)),INDIRECT(CONCATENATE("'Data Base'!$E",H247))))*((100-L247)/100))),IF(EXACT(P247,"چاپ شده در نشريات بسيار پر استناد Nature و Science"),(2*(F247*N247*(IF(EXACT(J247,"نفر اول"),INDIRECT(CONCATENATE("'Data Base'!$D",H247)),INDIRECT(CONCATENATE("'Data Base'!$E",H247))))*((100-L247)/100))),IF(OR(EXACT(P247,"مستخرج از طرح پژوهشي محرمانه"),EXACT(P247,"مشترك با اساتيد دانشگاه خارج از كشور")),(1.2*(F247*N247*(IF(EXACT(J247,"نفر اول"),INDIRECT(CONCATENATE("'Data Base'!$D",H247)),INDIRECT(CONCATENATE("'Data Base'!$E",H247))))*((100-L247)/100))),(F247*N247*(IF(EXACT(J247,"نفر اول"),INDIRECT(CONCATENATE("'Data Base'!$d",H247)),INDIRECT(CONCATENATE("'Data Base'!$e",H247))))*((100-L247)/100)))))))</f>
        <v>0</v>
      </c>
      <c r="S246" s="535">
        <f t="shared" ref="S246" ca="1" si="309">IF(OR(EXACT(H246,""),EXACT(B246,""),EXACT(F248,""),EXACT(H248,""),EXACT(J248,""),EXACT(L248,""),EXACT(N248,""),EXACT(F246,""),EXACT(J246,""),EXACT(M246,""),EXACT(N246,""),EXACT(O246,""),EXACT(P246,"")),0,IF(OR(EXACT(P248,"مقاله پر استناد"),EXACT(P248,"مقاله داغ"),EXACT(P248,"مستخرج از برنامه تحقيقاتي ملي معطوف به رفع مشكلات كشور")),(1.5*(F248*N248*(IF(EXACT(J248,"نفر اول"),INDIRECT(CONCATENATE("'Data Base'!$d",H248)),INDIRECT(CONCATENATE("'Data Base'!$E",H248))))*((100-L248)/100))),IF(EXACT(P248,"Short Article"),(0.5*(F248*N248*(IF(EXACT(J248,"نفر اول"),INDIRECT(CONCATENATE("'Data Base'!$D",H248)),INDIRECT(CONCATENATE("'Data Base'!$E",H248))))*((100-L248)/100))),IF(EXACT(P248,"چاپ شده در نشريات بسيار پر استناد Nature و Science"),(2*(F248*N248*(IF(EXACT(J248,"نفر اول"),INDIRECT(CONCATENATE("'Data Base'!$D",H248)),INDIRECT(CONCATENATE("'Data Base'!$E",H248))))*((100-L248)/100))),IF(OR(EXACT(P248,"مستخرج از طرح پژوهشي محرمانه"),EXACT(P248,"مشترك با اساتيد دانشگاه خارج از كشور")),(1.2*(F248*N248*(IF(EXACT(J248,"نفر اول"),INDIRECT(CONCATENATE("'Data Base'!$D",H248)),INDIRECT(CONCATENATE("'Data Base'!$E",H248))))*((100-L248)/100))),(F248*N248*(IF(EXACT(J248,"نفر اول"),INDIRECT(CONCATENATE("'Data Base'!$D",H248)),INDIRECT(CONCATENATE("'Data Base'!$E",H248))))*((100-L248)/100)))))))</f>
        <v>0</v>
      </c>
      <c r="T246" s="147"/>
      <c r="U246" s="1414"/>
      <c r="Z246" s="19">
        <f>SUM(Z243,AA246)</f>
        <v>0</v>
      </c>
      <c r="AA246" s="19">
        <f>IF(OR(OR(B246="",F246="",H246="",J246="",P246=""),AND(M246="",O246="")),0,1)</f>
        <v>0</v>
      </c>
      <c r="AB246" s="19">
        <f t="shared" ref="AB246" ca="1" si="310">IF(AND(AA246=1,S246&gt;0),1,0)</f>
        <v>0</v>
      </c>
      <c r="AC246" s="19">
        <f t="shared" ref="AC246" ca="1" si="311">IF(AND(AA246=1,S246&lt;1),1,0)</f>
        <v>0</v>
      </c>
      <c r="AD246" s="19">
        <f ca="1">IF(AND(AA246=1,S246&gt;=1,AJ246=1),1,0)</f>
        <v>0</v>
      </c>
      <c r="AE246" s="19">
        <f ca="1">IF(AD246=1,S246,0)</f>
        <v>0</v>
      </c>
      <c r="AF246" s="19">
        <f ca="1">IF(AND(AA246=1,S246&gt;=1,AJ246=1,AR248=1),1,0)</f>
        <v>0</v>
      </c>
      <c r="AG246" s="19">
        <f ca="1">IF(AF246=1,S246,0)</f>
        <v>0</v>
      </c>
      <c r="AH246" s="19">
        <f>IF(OR(EXACT(H246,"JCR-Q1"),EXACT(H246,"JCR-Q2")),(1),(0))</f>
        <v>0</v>
      </c>
      <c r="AI246" s="19">
        <f>IF(OR(EXACT(H246,"JCR-Q1"),EXACT(H246,"JCR-Q2"),EXACT(H246,"JCR-Q3")),(1),(0))</f>
        <v>0</v>
      </c>
      <c r="AJ246" s="19">
        <f>IF(OR(EXACT(H246,"JCR-Q1"),EXACT(H246,"JCR-Q2"),EXACT(H246,"JCR-Q3"),EXACT(H246,"JCR-Q4")),(1),(0))</f>
        <v>0</v>
      </c>
      <c r="AK246" s="19">
        <f>IF(OR(EXACT(H246,"JCR-Q1"),EXACT(H246,"JCR-Q2"),EXACT(H246,"JCR-Q3"),EXACT(H246,"JCR-Q4"),EXACT(H246,"WOS")),(1),(0))</f>
        <v>0</v>
      </c>
      <c r="AL246" s="19">
        <f>IF(OR(EXACT(H246,"JCR-Q1"),EXACT(H246,"JCR-Q2"),EXACT(H246,"JCR-Q3"),EXACT(H246,"JCR-Q4"),EXACT(H246,"WOS"),EXACT(H246,"Scopus")),(1),(0))</f>
        <v>0</v>
      </c>
      <c r="AM246" s="19">
        <f>IF(OR(EXACT(H246,'Data Base'!$B$21),EXACT(H246,'Data Base'!$B$22)),(1),(0))</f>
        <v>0</v>
      </c>
    </row>
    <row r="247" spans="1:83" ht="20.25" customHeight="1">
      <c r="A247" s="1416" t="s">
        <v>29</v>
      </c>
      <c r="B247" s="1417"/>
      <c r="C247" s="1417"/>
      <c r="D247" s="1418"/>
      <c r="E247" s="514" t="s">
        <v>1001</v>
      </c>
      <c r="F247" s="515"/>
      <c r="G247" s="516" t="s">
        <v>801</v>
      </c>
      <c r="H247" s="517"/>
      <c r="I247" s="516" t="s">
        <v>1002</v>
      </c>
      <c r="J247" s="518"/>
      <c r="K247" s="516" t="s">
        <v>1003</v>
      </c>
      <c r="L247" s="519"/>
      <c r="M247" s="516" t="s">
        <v>1004</v>
      </c>
      <c r="N247" s="520"/>
      <c r="O247" s="1266" t="s">
        <v>55</v>
      </c>
      <c r="P247" s="1419"/>
      <c r="Q247" s="1419"/>
      <c r="R247" s="1419"/>
      <c r="S247" s="1419"/>
      <c r="T247" s="1419"/>
      <c r="U247" s="1415"/>
      <c r="AN247" s="19">
        <f>IF(AND(AA246=1,EXACT(J247,"نفر اول")),(1),(0))</f>
        <v>0</v>
      </c>
      <c r="AO247" s="19">
        <f>IF(AN247=1,R246,0)</f>
        <v>0</v>
      </c>
      <c r="AP247" s="19">
        <f>IF(AND(AA246=1,EXACT(J247,"همكار")),(1),(0))</f>
        <v>0</v>
      </c>
      <c r="AQ247" s="19">
        <f>IF(AP247=1,R246,0)</f>
        <v>0</v>
      </c>
      <c r="AV247" s="19">
        <f>IF((AH246=1),R246,0)</f>
        <v>0</v>
      </c>
      <c r="AW247" s="19">
        <f>IF(AND(EXACT(AN247,"1"),EXACT(AH246,"1")),(1),(0))</f>
        <v>0</v>
      </c>
      <c r="AX247" s="19">
        <f>IF((AW247=1),AV247,0)</f>
        <v>0</v>
      </c>
      <c r="BB247" s="19">
        <f>IF((AI246=1),R246,0)</f>
        <v>0</v>
      </c>
      <c r="BC247" s="19">
        <f>IF(AND(EXACT(AI246,"1"),EXACT(AN247,"1")),(1),(0))</f>
        <v>0</v>
      </c>
      <c r="BD247" s="19">
        <f>IF((BC247=1),BB247,0)</f>
        <v>0</v>
      </c>
      <c r="BH247" s="19">
        <f>IF((AJ246=1),R246,0)</f>
        <v>0</v>
      </c>
      <c r="BI247" s="19">
        <f>IF(AND(EXACT(AJ246,"1"),EXACT(AN247,"1")),(1),(0))</f>
        <v>0</v>
      </c>
      <c r="BJ247" s="19">
        <f>IF((BI247=1),BH247,0)</f>
        <v>0</v>
      </c>
      <c r="BN247" s="19">
        <f>IF((AK246=1),R246,0)</f>
        <v>0</v>
      </c>
      <c r="BO247" s="19">
        <f>IF(AND(EXACT(AK246,"1"),EXACT(AN247,"1")),(1),(0))</f>
        <v>0</v>
      </c>
      <c r="BP247" s="19">
        <f>IF((BO247=1),BN247,0)</f>
        <v>0</v>
      </c>
      <c r="BT247" s="19">
        <f>IF((AL246=1),R246,0)</f>
        <v>0</v>
      </c>
      <c r="BU247" s="19">
        <f>IF(AND(EXACT(AN247,"1"),EXACT(AL246,"1")),(1),(0))</f>
        <v>0</v>
      </c>
      <c r="BV247" s="19">
        <f>IF((BU247=1),BT247,0)</f>
        <v>0</v>
      </c>
      <c r="BZ247" s="19">
        <f>IF((AM246=1),R246,0)</f>
        <v>0</v>
      </c>
      <c r="CA247" s="19">
        <f>IF(AND(EXACT(AM246,"1"),EXACT(AN247,"1")),(1),(0))</f>
        <v>0</v>
      </c>
      <c r="CB247" s="19">
        <f>IF((CA247=1),BZ247,0)</f>
        <v>0</v>
      </c>
    </row>
    <row r="248" spans="1:83" ht="20.25">
      <c r="A248" s="1420" t="s">
        <v>30</v>
      </c>
      <c r="B248" s="1421"/>
      <c r="C248" s="1421"/>
      <c r="D248" s="1422"/>
      <c r="E248" s="536" t="s">
        <v>1001</v>
      </c>
      <c r="F248" s="537"/>
      <c r="G248" s="538" t="s">
        <v>801</v>
      </c>
      <c r="H248" s="539"/>
      <c r="I248" s="538" t="s">
        <v>1002</v>
      </c>
      <c r="J248" s="525"/>
      <c r="K248" s="538" t="s">
        <v>1003</v>
      </c>
      <c r="L248" s="540"/>
      <c r="M248" s="538" t="s">
        <v>1004</v>
      </c>
      <c r="N248" s="541"/>
      <c r="O248" s="1266"/>
      <c r="P248" s="1423"/>
      <c r="Q248" s="1423"/>
      <c r="R248" s="1423"/>
      <c r="S248" s="1423"/>
      <c r="T248" s="1423"/>
      <c r="U248" s="1415"/>
      <c r="AR248" s="19">
        <f>IF(AND(AA246=1,EXACT(J248,"نفر اول")),(1),(0))</f>
        <v>0</v>
      </c>
      <c r="AS248" s="19">
        <f>IF(AR248=1,S246,0)</f>
        <v>0</v>
      </c>
      <c r="AT248" s="19">
        <f>IF(AND(AA246=1,EXACT(J248,"همكار")),(1),(0))</f>
        <v>0</v>
      </c>
      <c r="AU248" s="19">
        <f>IF(AT248=1,S246,0)</f>
        <v>0</v>
      </c>
      <c r="AY248" s="19">
        <f>IF((AH246=1),S246,0)</f>
        <v>0</v>
      </c>
      <c r="AZ248" s="19">
        <f>IF(AND(EXACT(AR248,"1"),EXACT(AH246,"1")),(1),(0))</f>
        <v>0</v>
      </c>
      <c r="BA248" s="19">
        <f>IF((AZ248=1),AY248,0)</f>
        <v>0</v>
      </c>
      <c r="BE248" s="19">
        <f>IF((AI246=1),S246,0)</f>
        <v>0</v>
      </c>
      <c r="BF248" s="19">
        <f>IF(AND(EXACT(AI246,"1"),EXACT(AR248,"1")),(1),(0))</f>
        <v>0</v>
      </c>
      <c r="BG248" s="19">
        <f>IF((BF248=1),BE248,0)</f>
        <v>0</v>
      </c>
      <c r="BK248" s="19">
        <f>IF((AJ246=1),S246,0)</f>
        <v>0</v>
      </c>
      <c r="BL248" s="19">
        <f>IF(AND(EXACT(AJ246,"1"),EXACT(AR248,"1")),(1),(0))</f>
        <v>0</v>
      </c>
      <c r="BM248" s="19">
        <f>IF((BL248=1),BK248,0)</f>
        <v>0</v>
      </c>
      <c r="BQ248" s="19">
        <f>IF((AJ246=1),S246,0)</f>
        <v>0</v>
      </c>
      <c r="BR248" s="19">
        <f>IF(AND(EXACT(AJ246,"1"),EXACT(AR248,"1")),(1),(0))</f>
        <v>0</v>
      </c>
      <c r="BS248" s="19">
        <f>IF((BL248=1),BK248,0)</f>
        <v>0</v>
      </c>
      <c r="BW248" s="19">
        <f>IF((AL246=1),S246,0)</f>
        <v>0</v>
      </c>
      <c r="BX248" s="19">
        <f>IF(AND(EXACT(AL246,"1"),EXACT(AR248,"1")),(1),(0))</f>
        <v>0</v>
      </c>
      <c r="BY248" s="19">
        <f>IF((BX248=1),BW248,0)</f>
        <v>0</v>
      </c>
      <c r="CC248" s="19">
        <f>IF((AM246=1),R246,0)</f>
        <v>0</v>
      </c>
      <c r="CD248" s="19">
        <f>IF(AND(EXACT(AM246,"1"),EXACT(AR248,"1")),(1),(0))</f>
        <v>0</v>
      </c>
      <c r="CE248" s="19">
        <f>IF((CD248=1),CC248,0)</f>
        <v>0</v>
      </c>
    </row>
    <row r="249" spans="1:83" ht="20.25">
      <c r="A249" s="12">
        <f>IF(AA249=0,0,IF(AA246=0,Z249,SUM(A246,AA249)))</f>
        <v>0</v>
      </c>
      <c r="B249" s="1157"/>
      <c r="C249" s="1157"/>
      <c r="D249" s="1157"/>
      <c r="E249" s="1182"/>
      <c r="F249" s="1424"/>
      <c r="G249" s="1424"/>
      <c r="H249" s="527"/>
      <c r="I249" s="528"/>
      <c r="J249" s="529"/>
      <c r="K249" s="530"/>
      <c r="L249" s="531"/>
      <c r="M249" s="532"/>
      <c r="N249" s="533"/>
      <c r="O249" s="532"/>
      <c r="P249" s="1182"/>
      <c r="Q249" s="1182"/>
      <c r="R249" s="534">
        <f t="shared" ref="R249" ca="1" si="312">IF(OR(EXACT(H249,""),EXACT(B249,""),EXACT(F250,""),EXACT(H250,""),EXACT(J250,""),EXACT(L250,""),EXACT(N250,""),EXACT(F249,""),EXACT(J249,""),EXACT(M249,""),EXACT(N249,""),EXACT(O249,""),EXACT(P249,"")),0,IF(OR(EXACT(P250,"مقاله پر استناد"),EXACT(P250,"مقاله داغ"),EXACT(P250,"مستخرج از برنامه تحقيقاتي ملي معطوف به رفع مشكلات كشور")),(1.5*(F250*N250*(IF(EXACT(J250,"نفر اول"),INDIRECT(CONCATENATE("'Data Base'!$d",H250)),INDIRECT(CONCATENATE("'Data Base'!$e",H250))))*((100-L250)/100))),IF(EXACT(P250,"Short Article"),(0.5*(F250*N250*(IF(EXACT(J250,"نفر اول"),INDIRECT(CONCATENATE("'Data Base'!$D",H250)),INDIRECT(CONCATENATE("'Data Base'!$E",H250))))*((100-L250)/100))),IF(EXACT(P250,"چاپ شده در نشريات بسيار پر استناد Nature و Science"),(2*(F250*N250*(IF(EXACT(J250,"نفر اول"),INDIRECT(CONCATENATE("'Data Base'!$D",H250)),INDIRECT(CONCATENATE("'Data Base'!$E",H250))))*((100-L250)/100))),IF(OR(EXACT(P250,"مستخرج از طرح پژوهشي محرمانه"),EXACT(P250,"مشترك با اساتيد دانشگاه خارج از كشور")),(1.2*(F250*N250*(IF(EXACT(J250,"نفر اول"),INDIRECT(CONCATENATE("'Data Base'!$D",H250)),INDIRECT(CONCATENATE("'Data Base'!$E",H250))))*((100-L250)/100))),(F250*N250*(IF(EXACT(J250,"نفر اول"),INDIRECT(CONCATENATE("'Data Base'!$d",H250)),INDIRECT(CONCATENATE("'Data Base'!$e",H250))))*((100-L250)/100)))))))</f>
        <v>0</v>
      </c>
      <c r="S249" s="535">
        <f t="shared" ref="S249" ca="1" si="313">IF(OR(EXACT(H249,""),EXACT(B249,""),EXACT(F251,""),EXACT(H251,""),EXACT(J251,""),EXACT(L251,""),EXACT(N251,""),EXACT(F249,""),EXACT(J249,""),EXACT(M249,""),EXACT(N249,""),EXACT(O249,""),EXACT(P249,"")),0,IF(OR(EXACT(P251,"مقاله پر استناد"),EXACT(P251,"مقاله داغ"),EXACT(P251,"مستخرج از برنامه تحقيقاتي ملي معطوف به رفع مشكلات كشور")),(1.5*(F251*N251*(IF(EXACT(J251,"نفر اول"),INDIRECT(CONCATENATE("'Data Base'!$d",H251)),INDIRECT(CONCATENATE("'Data Base'!$E",H251))))*((100-L251)/100))),IF(EXACT(P251,"Short Article"),(0.5*(F251*N251*(IF(EXACT(J251,"نفر اول"),INDIRECT(CONCATENATE("'Data Base'!$D",H251)),INDIRECT(CONCATENATE("'Data Base'!$E",H251))))*((100-L251)/100))),IF(EXACT(P251,"چاپ شده در نشريات بسيار پر استناد Nature و Science"),(2*(F251*N251*(IF(EXACT(J251,"نفر اول"),INDIRECT(CONCATENATE("'Data Base'!$D",H251)),INDIRECT(CONCATENATE("'Data Base'!$E",H251))))*((100-L251)/100))),IF(OR(EXACT(P251,"مستخرج از طرح پژوهشي محرمانه"),EXACT(P251,"مشترك با اساتيد دانشگاه خارج از كشور")),(1.2*(F251*N251*(IF(EXACT(J251,"نفر اول"),INDIRECT(CONCATENATE("'Data Base'!$D",H251)),INDIRECT(CONCATENATE("'Data Base'!$E",H251))))*((100-L251)/100))),(F251*N251*(IF(EXACT(J251,"نفر اول"),INDIRECT(CONCATENATE("'Data Base'!$D",H251)),INDIRECT(CONCATENATE("'Data Base'!$E",H251))))*((100-L251)/100)))))))</f>
        <v>0</v>
      </c>
      <c r="T249" s="147"/>
      <c r="U249" s="1414"/>
      <c r="Z249" s="19">
        <f>SUM(Z246,AA249)</f>
        <v>0</v>
      </c>
      <c r="AA249" s="19">
        <f>IF(OR(OR(B249="",F249="",H249="",J249="",P249=""),AND(M249="",O249="")),0,1)</f>
        <v>0</v>
      </c>
      <c r="AB249" s="19">
        <f t="shared" ref="AB249" ca="1" si="314">IF(AND(AA249=1,S249&gt;0),1,0)</f>
        <v>0</v>
      </c>
      <c r="AC249" s="19">
        <f t="shared" ref="AC249" ca="1" si="315">IF(AND(AA249=1,S249&lt;1),1,0)</f>
        <v>0</v>
      </c>
      <c r="AD249" s="19">
        <f ca="1">IF(AND(AA249=1,S249&gt;=1,AJ249=1),1,0)</f>
        <v>0</v>
      </c>
      <c r="AE249" s="19">
        <f ca="1">IF(AD249=1,S249,0)</f>
        <v>0</v>
      </c>
      <c r="AF249" s="19">
        <f ca="1">IF(AND(AA249=1,S249&gt;=1,AJ249=1,AR251=1),1,0)</f>
        <v>0</v>
      </c>
      <c r="AG249" s="19">
        <f ca="1">IF(AF249=1,S249,0)</f>
        <v>0</v>
      </c>
      <c r="AH249" s="19">
        <f>IF(OR(EXACT(H249,"JCR-Q1"),EXACT(H249,"JCR-Q2")),(1),(0))</f>
        <v>0</v>
      </c>
      <c r="AI249" s="19">
        <f>IF(OR(EXACT(H249,"JCR-Q1"),EXACT(H249,"JCR-Q2"),EXACT(H249,"JCR-Q3")),(1),(0))</f>
        <v>0</v>
      </c>
      <c r="AJ249" s="19">
        <f>IF(OR(EXACT(H249,"JCR-Q1"),EXACT(H249,"JCR-Q2"),EXACT(H249,"JCR-Q3"),EXACT(H249,"JCR-Q4")),(1),(0))</f>
        <v>0</v>
      </c>
      <c r="AK249" s="19">
        <f>IF(OR(EXACT(H249,"JCR-Q1"),EXACT(H249,"JCR-Q2"),EXACT(H249,"JCR-Q3"),EXACT(H249,"JCR-Q4"),EXACT(H249,"WOS")),(1),(0))</f>
        <v>0</v>
      </c>
      <c r="AL249" s="19">
        <f>IF(OR(EXACT(H249,"JCR-Q1"),EXACT(H249,"JCR-Q2"),EXACT(H249,"JCR-Q3"),EXACT(H249,"JCR-Q4"),EXACT(H249,"WOS"),EXACT(H249,"Scopus")),(1),(0))</f>
        <v>0</v>
      </c>
      <c r="AM249" s="19">
        <f>IF(OR(EXACT(H249,'Data Base'!$B$21),EXACT(H249,'Data Base'!$B$22)),(1),(0))</f>
        <v>0</v>
      </c>
    </row>
    <row r="250" spans="1:83" ht="20.25" customHeight="1">
      <c r="A250" s="1416" t="s">
        <v>29</v>
      </c>
      <c r="B250" s="1417"/>
      <c r="C250" s="1417"/>
      <c r="D250" s="1418"/>
      <c r="E250" s="514" t="s">
        <v>1001</v>
      </c>
      <c r="F250" s="515"/>
      <c r="G250" s="516" t="s">
        <v>801</v>
      </c>
      <c r="H250" s="517"/>
      <c r="I250" s="516" t="s">
        <v>1002</v>
      </c>
      <c r="J250" s="518"/>
      <c r="K250" s="516" t="s">
        <v>1003</v>
      </c>
      <c r="L250" s="519"/>
      <c r="M250" s="516" t="s">
        <v>1004</v>
      </c>
      <c r="N250" s="520"/>
      <c r="O250" s="1266" t="s">
        <v>55</v>
      </c>
      <c r="P250" s="1419"/>
      <c r="Q250" s="1419"/>
      <c r="R250" s="1419"/>
      <c r="S250" s="1419"/>
      <c r="T250" s="1419"/>
      <c r="U250" s="1415"/>
      <c r="AN250" s="19">
        <f>IF(AND(AA249=1,EXACT(J250,"نفر اول")),(1),(0))</f>
        <v>0</v>
      </c>
      <c r="AO250" s="19">
        <f>IF(AN250=1,R249,0)</f>
        <v>0</v>
      </c>
      <c r="AP250" s="19">
        <f>IF(AND(AA249=1,EXACT(J250,"همكار")),(1),(0))</f>
        <v>0</v>
      </c>
      <c r="AQ250" s="19">
        <f>IF(AP250=1,R249,0)</f>
        <v>0</v>
      </c>
      <c r="AV250" s="19">
        <f>IF((AH249=1),R249,0)</f>
        <v>0</v>
      </c>
      <c r="AW250" s="19">
        <f>IF(AND(EXACT(AN250,"1"),EXACT(AH249,"1")),(1),(0))</f>
        <v>0</v>
      </c>
      <c r="AX250" s="19">
        <f>IF((AW250=1),AV250,0)</f>
        <v>0</v>
      </c>
      <c r="BB250" s="19">
        <f>IF((AI249=1),R249,0)</f>
        <v>0</v>
      </c>
      <c r="BC250" s="19">
        <f>IF(AND(EXACT(AI249,"1"),EXACT(AN250,"1")),(1),(0))</f>
        <v>0</v>
      </c>
      <c r="BD250" s="19">
        <f>IF((BC250=1),BB250,0)</f>
        <v>0</v>
      </c>
      <c r="BH250" s="19">
        <f>IF((AJ249=1),R249,0)</f>
        <v>0</v>
      </c>
      <c r="BI250" s="19">
        <f>IF(AND(EXACT(AJ249,"1"),EXACT(AN250,"1")),(1),(0))</f>
        <v>0</v>
      </c>
      <c r="BJ250" s="19">
        <f>IF((BI250=1),BH250,0)</f>
        <v>0</v>
      </c>
      <c r="BN250" s="19">
        <f>IF((AK249=1),R249,0)</f>
        <v>0</v>
      </c>
      <c r="BO250" s="19">
        <f>IF(AND(EXACT(AK249,"1"),EXACT(AN250,"1")),(1),(0))</f>
        <v>0</v>
      </c>
      <c r="BP250" s="19">
        <f>IF((BO250=1),BN250,0)</f>
        <v>0</v>
      </c>
      <c r="BT250" s="19">
        <f>IF((AL249=1),R249,0)</f>
        <v>0</v>
      </c>
      <c r="BU250" s="19">
        <f>IF(AND(EXACT(AN250,"1"),EXACT(AL249,"1")),(1),(0))</f>
        <v>0</v>
      </c>
      <c r="BV250" s="19">
        <f>IF((BU250=1),BT250,0)</f>
        <v>0</v>
      </c>
      <c r="BZ250" s="19">
        <f>IF((AM249=1),R249,0)</f>
        <v>0</v>
      </c>
      <c r="CA250" s="19">
        <f>IF(AND(EXACT(AM249,"1"),EXACT(AN250,"1")),(1),(0))</f>
        <v>0</v>
      </c>
      <c r="CB250" s="19">
        <f>IF((CA250=1),BZ250,0)</f>
        <v>0</v>
      </c>
    </row>
    <row r="251" spans="1:83" ht="20.25">
      <c r="A251" s="1420" t="s">
        <v>30</v>
      </c>
      <c r="B251" s="1421"/>
      <c r="C251" s="1421"/>
      <c r="D251" s="1422"/>
      <c r="E251" s="536" t="s">
        <v>1001</v>
      </c>
      <c r="F251" s="537"/>
      <c r="G251" s="538" t="s">
        <v>801</v>
      </c>
      <c r="H251" s="539"/>
      <c r="I251" s="538" t="s">
        <v>1002</v>
      </c>
      <c r="J251" s="525"/>
      <c r="K251" s="538" t="s">
        <v>1003</v>
      </c>
      <c r="L251" s="540"/>
      <c r="M251" s="538" t="s">
        <v>1004</v>
      </c>
      <c r="N251" s="541"/>
      <c r="O251" s="1266"/>
      <c r="P251" s="1423"/>
      <c r="Q251" s="1423"/>
      <c r="R251" s="1423"/>
      <c r="S251" s="1423"/>
      <c r="T251" s="1423"/>
      <c r="U251" s="1415"/>
      <c r="AR251" s="19">
        <f>IF(AND(AA249=1,EXACT(J251,"نفر اول")),(1),(0))</f>
        <v>0</v>
      </c>
      <c r="AS251" s="19">
        <f>IF(AR251=1,S249,0)</f>
        <v>0</v>
      </c>
      <c r="AT251" s="19">
        <f>IF(AND(AA249=1,EXACT(J251,"همكار")),(1),(0))</f>
        <v>0</v>
      </c>
      <c r="AU251" s="19">
        <f>IF(AT251=1,S249,0)</f>
        <v>0</v>
      </c>
      <c r="AY251" s="19">
        <f>IF((AH249=1),S249,0)</f>
        <v>0</v>
      </c>
      <c r="AZ251" s="19">
        <f>IF(AND(EXACT(AR251,"1"),EXACT(AH249,"1")),(1),(0))</f>
        <v>0</v>
      </c>
      <c r="BA251" s="19">
        <f>IF((AZ251=1),AY251,0)</f>
        <v>0</v>
      </c>
      <c r="BE251" s="19">
        <f>IF((AI249=1),S249,0)</f>
        <v>0</v>
      </c>
      <c r="BF251" s="19">
        <f>IF(AND(EXACT(AI249,"1"),EXACT(AR251,"1")),(1),(0))</f>
        <v>0</v>
      </c>
      <c r="BG251" s="19">
        <f>IF((BF251=1),BE251,0)</f>
        <v>0</v>
      </c>
      <c r="BK251" s="19">
        <f>IF((AJ249=1),S249,0)</f>
        <v>0</v>
      </c>
      <c r="BL251" s="19">
        <f>IF(AND(EXACT(AJ249,"1"),EXACT(AR251,"1")),(1),(0))</f>
        <v>0</v>
      </c>
      <c r="BM251" s="19">
        <f>IF((BL251=1),BK251,0)</f>
        <v>0</v>
      </c>
      <c r="BQ251" s="19">
        <f>IF((AJ249=1),S249,0)</f>
        <v>0</v>
      </c>
      <c r="BR251" s="19">
        <f>IF(AND(EXACT(AJ249,"1"),EXACT(AR251,"1")),(1),(0))</f>
        <v>0</v>
      </c>
      <c r="BS251" s="19">
        <f>IF((BL251=1),BK251,0)</f>
        <v>0</v>
      </c>
      <c r="BW251" s="19">
        <f>IF((AL249=1),S249,0)</f>
        <v>0</v>
      </c>
      <c r="BX251" s="19">
        <f>IF(AND(EXACT(AL249,"1"),EXACT(AR251,"1")),(1),(0))</f>
        <v>0</v>
      </c>
      <c r="BY251" s="19">
        <f>IF((BX251=1),BW251,0)</f>
        <v>0</v>
      </c>
      <c r="CC251" s="19">
        <f>IF((AM249=1),R249,0)</f>
        <v>0</v>
      </c>
      <c r="CD251" s="19">
        <f>IF(AND(EXACT(AM249,"1"),EXACT(AR251,"1")),(1),(0))</f>
        <v>0</v>
      </c>
      <c r="CE251" s="19">
        <f>IF((CD251=1),CC251,0)</f>
        <v>0</v>
      </c>
    </row>
    <row r="252" spans="1:83" ht="20.25">
      <c r="A252" s="12">
        <f>IF(AA252=0,0,IF(AA249=0,Z252,SUM(A249,AA252)))</f>
        <v>0</v>
      </c>
      <c r="B252" s="1157"/>
      <c r="C252" s="1157"/>
      <c r="D252" s="1157"/>
      <c r="E252" s="1182"/>
      <c r="F252" s="1424"/>
      <c r="G252" s="1424"/>
      <c r="H252" s="527"/>
      <c r="I252" s="528"/>
      <c r="J252" s="529"/>
      <c r="K252" s="530"/>
      <c r="L252" s="531"/>
      <c r="M252" s="532"/>
      <c r="N252" s="533"/>
      <c r="O252" s="532"/>
      <c r="P252" s="1182"/>
      <c r="Q252" s="1182"/>
      <c r="R252" s="534">
        <f t="shared" ref="R252" ca="1" si="316">IF(OR(EXACT(H252,""),EXACT(B252,""),EXACT(F253,""),EXACT(H253,""),EXACT(J253,""),EXACT(L253,""),EXACT(N253,""),EXACT(F252,""),EXACT(J252,""),EXACT(M252,""),EXACT(N252,""),EXACT(O252,""),EXACT(P252,"")),0,IF(OR(EXACT(P253,"مقاله پر استناد"),EXACT(P253,"مقاله داغ"),EXACT(P253,"مستخرج از برنامه تحقيقاتي ملي معطوف به رفع مشكلات كشور")),(1.5*(F253*N253*(IF(EXACT(J253,"نفر اول"),INDIRECT(CONCATENATE("'Data Base'!$d",H253)),INDIRECT(CONCATENATE("'Data Base'!$e",H253))))*((100-L253)/100))),IF(EXACT(P253,"Short Article"),(0.5*(F253*N253*(IF(EXACT(J253,"نفر اول"),INDIRECT(CONCATENATE("'Data Base'!$D",H253)),INDIRECT(CONCATENATE("'Data Base'!$E",H253))))*((100-L253)/100))),IF(EXACT(P253,"چاپ شده در نشريات بسيار پر استناد Nature و Science"),(2*(F253*N253*(IF(EXACT(J253,"نفر اول"),INDIRECT(CONCATENATE("'Data Base'!$D",H253)),INDIRECT(CONCATENATE("'Data Base'!$E",H253))))*((100-L253)/100))),IF(OR(EXACT(P253,"مستخرج از طرح پژوهشي محرمانه"),EXACT(P253,"مشترك با اساتيد دانشگاه خارج از كشور")),(1.2*(F253*N253*(IF(EXACT(J253,"نفر اول"),INDIRECT(CONCATENATE("'Data Base'!$D",H253)),INDIRECT(CONCATENATE("'Data Base'!$E",H253))))*((100-L253)/100))),(F253*N253*(IF(EXACT(J253,"نفر اول"),INDIRECT(CONCATENATE("'Data Base'!$d",H253)),INDIRECT(CONCATENATE("'Data Base'!$e",H253))))*((100-L253)/100)))))))</f>
        <v>0</v>
      </c>
      <c r="S252" s="535">
        <f t="shared" ref="S252" ca="1" si="317">IF(OR(EXACT(H252,""),EXACT(B252,""),EXACT(F254,""),EXACT(H254,""),EXACT(J254,""),EXACT(L254,""),EXACT(N254,""),EXACT(F252,""),EXACT(J252,""),EXACT(M252,""),EXACT(N252,""),EXACT(O252,""),EXACT(P252,"")),0,IF(OR(EXACT(P254,"مقاله پر استناد"),EXACT(P254,"مقاله داغ"),EXACT(P254,"مستخرج از برنامه تحقيقاتي ملي معطوف به رفع مشكلات كشور")),(1.5*(F254*N254*(IF(EXACT(J254,"نفر اول"),INDIRECT(CONCATENATE("'Data Base'!$d",H254)),INDIRECT(CONCATENATE("'Data Base'!$E",H254))))*((100-L254)/100))),IF(EXACT(P254,"Short Article"),(0.5*(F254*N254*(IF(EXACT(J254,"نفر اول"),INDIRECT(CONCATENATE("'Data Base'!$D",H254)),INDIRECT(CONCATENATE("'Data Base'!$E",H254))))*((100-L254)/100))),IF(EXACT(P254,"چاپ شده در نشريات بسيار پر استناد Nature و Science"),(2*(F254*N254*(IF(EXACT(J254,"نفر اول"),INDIRECT(CONCATENATE("'Data Base'!$D",H254)),INDIRECT(CONCATENATE("'Data Base'!$E",H254))))*((100-L254)/100))),IF(OR(EXACT(P254,"مستخرج از طرح پژوهشي محرمانه"),EXACT(P254,"مشترك با اساتيد دانشگاه خارج از كشور")),(1.2*(F254*N254*(IF(EXACT(J254,"نفر اول"),INDIRECT(CONCATENATE("'Data Base'!$D",H254)),INDIRECT(CONCATENATE("'Data Base'!$E",H254))))*((100-L254)/100))),(F254*N254*(IF(EXACT(J254,"نفر اول"),INDIRECT(CONCATENATE("'Data Base'!$D",H254)),INDIRECT(CONCATENATE("'Data Base'!$E",H254))))*((100-L254)/100)))))))</f>
        <v>0</v>
      </c>
      <c r="T252" s="147"/>
      <c r="U252" s="1414"/>
      <c r="Z252" s="19">
        <f>SUM(Z249,AA252)</f>
        <v>0</v>
      </c>
      <c r="AA252" s="19">
        <f>IF(OR(OR(B252="",F252="",H252="",J252="",P252=""),AND(M252="",O252="")),0,1)</f>
        <v>0</v>
      </c>
      <c r="AB252" s="19">
        <f t="shared" ref="AB252" ca="1" si="318">IF(AND(AA252=1,S252&gt;0),1,0)</f>
        <v>0</v>
      </c>
      <c r="AC252" s="19">
        <f t="shared" ref="AC252" ca="1" si="319">IF(AND(AA252=1,S252&lt;1),1,0)</f>
        <v>0</v>
      </c>
      <c r="AD252" s="19">
        <f ca="1">IF(AND(AA252=1,S252&gt;=1,AJ252=1),1,0)</f>
        <v>0</v>
      </c>
      <c r="AE252" s="19">
        <f ca="1">IF(AD252=1,S252,0)</f>
        <v>0</v>
      </c>
      <c r="AF252" s="19">
        <f ca="1">IF(AND(AA252=1,S252&gt;=1,AJ252=1,AR254=1),1,0)</f>
        <v>0</v>
      </c>
      <c r="AG252" s="19">
        <f ca="1">IF(AF252=1,S252,0)</f>
        <v>0</v>
      </c>
      <c r="AH252" s="19">
        <f>IF(OR(EXACT(H252,"JCR-Q1"),EXACT(H252,"JCR-Q2")),(1),(0))</f>
        <v>0</v>
      </c>
      <c r="AI252" s="19">
        <f>IF(OR(EXACT(H252,"JCR-Q1"),EXACT(H252,"JCR-Q2"),EXACT(H252,"JCR-Q3")),(1),(0))</f>
        <v>0</v>
      </c>
      <c r="AJ252" s="19">
        <f>IF(OR(EXACT(H252,"JCR-Q1"),EXACT(H252,"JCR-Q2"),EXACT(H252,"JCR-Q3"),EXACT(H252,"JCR-Q4")),(1),(0))</f>
        <v>0</v>
      </c>
      <c r="AK252" s="19">
        <f>IF(OR(EXACT(H252,"JCR-Q1"),EXACT(H252,"JCR-Q2"),EXACT(H252,"JCR-Q3"),EXACT(H252,"JCR-Q4"),EXACT(H252,"WOS")),(1),(0))</f>
        <v>0</v>
      </c>
      <c r="AL252" s="19">
        <f>IF(OR(EXACT(H252,"JCR-Q1"),EXACT(H252,"JCR-Q2"),EXACT(H252,"JCR-Q3"),EXACT(H252,"JCR-Q4"),EXACT(H252,"WOS"),EXACT(H252,"Scopus")),(1),(0))</f>
        <v>0</v>
      </c>
      <c r="AM252" s="19">
        <f>IF(OR(EXACT(H252,'Data Base'!$B$21),EXACT(H252,'Data Base'!$B$22)),(1),(0))</f>
        <v>0</v>
      </c>
    </row>
    <row r="253" spans="1:83" ht="20.25" customHeight="1">
      <c r="A253" s="1416" t="s">
        <v>29</v>
      </c>
      <c r="B253" s="1417"/>
      <c r="C253" s="1417"/>
      <c r="D253" s="1418"/>
      <c r="E253" s="514" t="s">
        <v>1001</v>
      </c>
      <c r="F253" s="515"/>
      <c r="G253" s="516" t="s">
        <v>801</v>
      </c>
      <c r="H253" s="517"/>
      <c r="I253" s="516" t="s">
        <v>1002</v>
      </c>
      <c r="J253" s="518"/>
      <c r="K253" s="516" t="s">
        <v>1003</v>
      </c>
      <c r="L253" s="519"/>
      <c r="M253" s="516" t="s">
        <v>1004</v>
      </c>
      <c r="N253" s="520"/>
      <c r="O253" s="1266" t="s">
        <v>55</v>
      </c>
      <c r="P253" s="1419"/>
      <c r="Q253" s="1419"/>
      <c r="R253" s="1419"/>
      <c r="S253" s="1419"/>
      <c r="T253" s="1419"/>
      <c r="U253" s="1415"/>
      <c r="AN253" s="19">
        <f>IF(AND(AA252=1,EXACT(J253,"نفر اول")),(1),(0))</f>
        <v>0</v>
      </c>
      <c r="AO253" s="19">
        <f>IF(AN253=1,R252,0)</f>
        <v>0</v>
      </c>
      <c r="AP253" s="19">
        <f>IF(AND(AA252=1,EXACT(J253,"همكار")),(1),(0))</f>
        <v>0</v>
      </c>
      <c r="AQ253" s="19">
        <f>IF(AP253=1,R252,0)</f>
        <v>0</v>
      </c>
      <c r="AV253" s="19">
        <f>IF((AH252=1),R252,0)</f>
        <v>0</v>
      </c>
      <c r="AW253" s="19">
        <f>IF(AND(EXACT(AN253,"1"),EXACT(AH252,"1")),(1),(0))</f>
        <v>0</v>
      </c>
      <c r="AX253" s="19">
        <f>IF((AW253=1),AV253,0)</f>
        <v>0</v>
      </c>
      <c r="BB253" s="19">
        <f>IF((AI252=1),R252,0)</f>
        <v>0</v>
      </c>
      <c r="BC253" s="19">
        <f>IF(AND(EXACT(AI252,"1"),EXACT(AN253,"1")),(1),(0))</f>
        <v>0</v>
      </c>
      <c r="BD253" s="19">
        <f>IF((BC253=1),BB253,0)</f>
        <v>0</v>
      </c>
      <c r="BH253" s="19">
        <f>IF((AJ252=1),R252,0)</f>
        <v>0</v>
      </c>
      <c r="BI253" s="19">
        <f>IF(AND(EXACT(AJ252,"1"),EXACT(AN253,"1")),(1),(0))</f>
        <v>0</v>
      </c>
      <c r="BJ253" s="19">
        <f>IF((BI253=1),BH253,0)</f>
        <v>0</v>
      </c>
      <c r="BN253" s="19">
        <f>IF((AK252=1),R252,0)</f>
        <v>0</v>
      </c>
      <c r="BO253" s="19">
        <f>IF(AND(EXACT(AK252,"1"),EXACT(AN253,"1")),(1),(0))</f>
        <v>0</v>
      </c>
      <c r="BP253" s="19">
        <f>IF((BO253=1),BN253,0)</f>
        <v>0</v>
      </c>
      <c r="BT253" s="19">
        <f>IF((AL252=1),R252,0)</f>
        <v>0</v>
      </c>
      <c r="BU253" s="19">
        <f>IF(AND(EXACT(AN253,"1"),EXACT(AL252,"1")),(1),(0))</f>
        <v>0</v>
      </c>
      <c r="BV253" s="19">
        <f>IF((BU253=1),BT253,0)</f>
        <v>0</v>
      </c>
      <c r="BZ253" s="19">
        <f>IF((AM252=1),R252,0)</f>
        <v>0</v>
      </c>
      <c r="CA253" s="19">
        <f>IF(AND(EXACT(AM252,"1"),EXACT(AN253,"1")),(1),(0))</f>
        <v>0</v>
      </c>
      <c r="CB253" s="19">
        <f>IF((CA253=1),BZ253,0)</f>
        <v>0</v>
      </c>
    </row>
    <row r="254" spans="1:83" ht="20.25">
      <c r="A254" s="1420" t="s">
        <v>30</v>
      </c>
      <c r="B254" s="1421"/>
      <c r="C254" s="1421"/>
      <c r="D254" s="1422"/>
      <c r="E254" s="536" t="s">
        <v>1001</v>
      </c>
      <c r="F254" s="537"/>
      <c r="G254" s="538" t="s">
        <v>801</v>
      </c>
      <c r="H254" s="539"/>
      <c r="I254" s="538" t="s">
        <v>1002</v>
      </c>
      <c r="J254" s="525"/>
      <c r="K254" s="538" t="s">
        <v>1003</v>
      </c>
      <c r="L254" s="540"/>
      <c r="M254" s="538" t="s">
        <v>1004</v>
      </c>
      <c r="N254" s="541"/>
      <c r="O254" s="1266"/>
      <c r="P254" s="1423"/>
      <c r="Q254" s="1423"/>
      <c r="R254" s="1423"/>
      <c r="S254" s="1423"/>
      <c r="T254" s="1423"/>
      <c r="U254" s="1415"/>
      <c r="AR254" s="19">
        <f>IF(AND(AA252=1,EXACT(J254,"نفر اول")),(1),(0))</f>
        <v>0</v>
      </c>
      <c r="AS254" s="19">
        <f>IF(AR254=1,S252,0)</f>
        <v>0</v>
      </c>
      <c r="AT254" s="19">
        <f>IF(AND(AA252=1,EXACT(J254,"همكار")),(1),(0))</f>
        <v>0</v>
      </c>
      <c r="AU254" s="19">
        <f>IF(AT254=1,S252,0)</f>
        <v>0</v>
      </c>
      <c r="AY254" s="19">
        <f>IF((AH252=1),S252,0)</f>
        <v>0</v>
      </c>
      <c r="AZ254" s="19">
        <f>IF(AND(EXACT(AR254,"1"),EXACT(AH252,"1")),(1),(0))</f>
        <v>0</v>
      </c>
      <c r="BA254" s="19">
        <f>IF((AZ254=1),AY254,0)</f>
        <v>0</v>
      </c>
      <c r="BE254" s="19">
        <f>IF((AI252=1),S252,0)</f>
        <v>0</v>
      </c>
      <c r="BF254" s="19">
        <f>IF(AND(EXACT(AI252,"1"),EXACT(AR254,"1")),(1),(0))</f>
        <v>0</v>
      </c>
      <c r="BG254" s="19">
        <f>IF((BF254=1),BE254,0)</f>
        <v>0</v>
      </c>
      <c r="BK254" s="19">
        <f>IF((AJ252=1),S252,0)</f>
        <v>0</v>
      </c>
      <c r="BL254" s="19">
        <f>IF(AND(EXACT(AJ252,"1"),EXACT(AR254,"1")),(1),(0))</f>
        <v>0</v>
      </c>
      <c r="BM254" s="19">
        <f>IF((BL254=1),BK254,0)</f>
        <v>0</v>
      </c>
      <c r="BQ254" s="19">
        <f>IF((AJ252=1),S252,0)</f>
        <v>0</v>
      </c>
      <c r="BR254" s="19">
        <f>IF(AND(EXACT(AJ252,"1"),EXACT(AR254,"1")),(1),(0))</f>
        <v>0</v>
      </c>
      <c r="BS254" s="19">
        <f>IF((BL254=1),BK254,0)</f>
        <v>0</v>
      </c>
      <c r="BW254" s="19">
        <f>IF((AL252=1),S252,0)</f>
        <v>0</v>
      </c>
      <c r="BX254" s="19">
        <f>IF(AND(EXACT(AL252,"1"),EXACT(AR254,"1")),(1),(0))</f>
        <v>0</v>
      </c>
      <c r="BY254" s="19">
        <f>IF((BX254=1),BW254,0)</f>
        <v>0</v>
      </c>
      <c r="CC254" s="19">
        <f>IF((AM252=1),R252,0)</f>
        <v>0</v>
      </c>
      <c r="CD254" s="19">
        <f>IF(AND(EXACT(AM252,"1"),EXACT(AR254,"1")),(1),(0))</f>
        <v>0</v>
      </c>
      <c r="CE254" s="19">
        <f>IF((CD254=1),CC254,0)</f>
        <v>0</v>
      </c>
    </row>
    <row r="255" spans="1:83" ht="20.25">
      <c r="A255" s="12">
        <f>IF(AA255=0,0,IF(AA252=0,Z255,SUM(A252,AA255)))</f>
        <v>0</v>
      </c>
      <c r="B255" s="1157"/>
      <c r="C255" s="1157"/>
      <c r="D255" s="1157"/>
      <c r="E255" s="1182"/>
      <c r="F255" s="1424"/>
      <c r="G255" s="1424"/>
      <c r="H255" s="527"/>
      <c r="I255" s="528"/>
      <c r="J255" s="529"/>
      <c r="K255" s="530"/>
      <c r="L255" s="531"/>
      <c r="M255" s="532"/>
      <c r="N255" s="533"/>
      <c r="O255" s="532"/>
      <c r="P255" s="1182"/>
      <c r="Q255" s="1182"/>
      <c r="R255" s="534">
        <f t="shared" ref="R255" ca="1" si="320">IF(OR(EXACT(H255,""),EXACT(B255,""),EXACT(F256,""),EXACT(H256,""),EXACT(J256,""),EXACT(L256,""),EXACT(N256,""),EXACT(F255,""),EXACT(J255,""),EXACT(M255,""),EXACT(N255,""),EXACT(O255,""),EXACT(P255,"")),0,IF(OR(EXACT(P256,"مقاله پر استناد"),EXACT(P256,"مقاله داغ"),EXACT(P256,"مستخرج از برنامه تحقيقاتي ملي معطوف به رفع مشكلات كشور")),(1.5*(F256*N256*(IF(EXACT(J256,"نفر اول"),INDIRECT(CONCATENATE("'Data Base'!$d",H256)),INDIRECT(CONCATENATE("'Data Base'!$e",H256))))*((100-L256)/100))),IF(EXACT(P256,"Short Article"),(0.5*(F256*N256*(IF(EXACT(J256,"نفر اول"),INDIRECT(CONCATENATE("'Data Base'!$D",H256)),INDIRECT(CONCATENATE("'Data Base'!$E",H256))))*((100-L256)/100))),IF(EXACT(P256,"چاپ شده در نشريات بسيار پر استناد Nature و Science"),(2*(F256*N256*(IF(EXACT(J256,"نفر اول"),INDIRECT(CONCATENATE("'Data Base'!$D",H256)),INDIRECT(CONCATENATE("'Data Base'!$E",H256))))*((100-L256)/100))),IF(OR(EXACT(P256,"مستخرج از طرح پژوهشي محرمانه"),EXACT(P256,"مشترك با اساتيد دانشگاه خارج از كشور")),(1.2*(F256*N256*(IF(EXACT(J256,"نفر اول"),INDIRECT(CONCATENATE("'Data Base'!$D",H256)),INDIRECT(CONCATENATE("'Data Base'!$E",H256))))*((100-L256)/100))),(F256*N256*(IF(EXACT(J256,"نفر اول"),INDIRECT(CONCATENATE("'Data Base'!$d",H256)),INDIRECT(CONCATENATE("'Data Base'!$e",H256))))*((100-L256)/100)))))))</f>
        <v>0</v>
      </c>
      <c r="S255" s="535">
        <f t="shared" ref="S255" ca="1" si="321">IF(OR(EXACT(H255,""),EXACT(B255,""),EXACT(F257,""),EXACT(H257,""),EXACT(J257,""),EXACT(L257,""),EXACT(N257,""),EXACT(F255,""),EXACT(J255,""),EXACT(M255,""),EXACT(N255,""),EXACT(O255,""),EXACT(P255,"")),0,IF(OR(EXACT(P257,"مقاله پر استناد"),EXACT(P257,"مقاله داغ"),EXACT(P257,"مستخرج از برنامه تحقيقاتي ملي معطوف به رفع مشكلات كشور")),(1.5*(F257*N257*(IF(EXACT(J257,"نفر اول"),INDIRECT(CONCATENATE("'Data Base'!$d",H257)),INDIRECT(CONCATENATE("'Data Base'!$E",H257))))*((100-L257)/100))),IF(EXACT(P257,"Short Article"),(0.5*(F257*N257*(IF(EXACT(J257,"نفر اول"),INDIRECT(CONCATENATE("'Data Base'!$D",H257)),INDIRECT(CONCATENATE("'Data Base'!$E",H257))))*((100-L257)/100))),IF(EXACT(P257,"چاپ شده در نشريات بسيار پر استناد Nature و Science"),(2*(F257*N257*(IF(EXACT(J257,"نفر اول"),INDIRECT(CONCATENATE("'Data Base'!$D",H257)),INDIRECT(CONCATENATE("'Data Base'!$E",H257))))*((100-L257)/100))),IF(OR(EXACT(P257,"مستخرج از طرح پژوهشي محرمانه"),EXACT(P257,"مشترك با اساتيد دانشگاه خارج از كشور")),(1.2*(F257*N257*(IF(EXACT(J257,"نفر اول"),INDIRECT(CONCATENATE("'Data Base'!$D",H257)),INDIRECT(CONCATENATE("'Data Base'!$E",H257))))*((100-L257)/100))),(F257*N257*(IF(EXACT(J257,"نفر اول"),INDIRECT(CONCATENATE("'Data Base'!$D",H257)),INDIRECT(CONCATENATE("'Data Base'!$E",H257))))*((100-L257)/100)))))))</f>
        <v>0</v>
      </c>
      <c r="T255" s="147"/>
      <c r="U255" s="1414"/>
      <c r="Z255" s="19">
        <f>SUM(Z252,AA255)</f>
        <v>0</v>
      </c>
      <c r="AA255" s="19">
        <f>IF(OR(OR(B255="",F255="",H255="",J255="",P255=""),AND(M255="",O255="")),0,1)</f>
        <v>0</v>
      </c>
      <c r="AB255" s="19">
        <f t="shared" ref="AB255" ca="1" si="322">IF(AND(AA255=1,S255&gt;0),1,0)</f>
        <v>0</v>
      </c>
      <c r="AC255" s="19">
        <f t="shared" ref="AC255" ca="1" si="323">IF(AND(AA255=1,S255&lt;1),1,0)</f>
        <v>0</v>
      </c>
      <c r="AD255" s="19">
        <f ca="1">IF(AND(AA255=1,S255&gt;=1,AJ255=1),1,0)</f>
        <v>0</v>
      </c>
      <c r="AE255" s="19">
        <f ca="1">IF(AD255=1,S255,0)</f>
        <v>0</v>
      </c>
      <c r="AF255" s="19">
        <f ca="1">IF(AND(AA255=1,S255&gt;=1,AJ255=1,AR257=1),1,0)</f>
        <v>0</v>
      </c>
      <c r="AG255" s="19">
        <f ca="1">IF(AF255=1,S255,0)</f>
        <v>0</v>
      </c>
      <c r="AH255" s="19">
        <f>IF(OR(EXACT(H255,"JCR-Q1"),EXACT(H255,"JCR-Q2")),(1),(0))</f>
        <v>0</v>
      </c>
      <c r="AI255" s="19">
        <f>IF(OR(EXACT(H255,"JCR-Q1"),EXACT(H255,"JCR-Q2"),EXACT(H255,"JCR-Q3")),(1),(0))</f>
        <v>0</v>
      </c>
      <c r="AJ255" s="19">
        <f>IF(OR(EXACT(H255,"JCR-Q1"),EXACT(H255,"JCR-Q2"),EXACT(H255,"JCR-Q3"),EXACT(H255,"JCR-Q4")),(1),(0))</f>
        <v>0</v>
      </c>
      <c r="AK255" s="19">
        <f>IF(OR(EXACT(H255,"JCR-Q1"),EXACT(H255,"JCR-Q2"),EXACT(H255,"JCR-Q3"),EXACT(H255,"JCR-Q4"),EXACT(H255,"WOS")),(1),(0))</f>
        <v>0</v>
      </c>
      <c r="AL255" s="19">
        <f>IF(OR(EXACT(H255,"JCR-Q1"),EXACT(H255,"JCR-Q2"),EXACT(H255,"JCR-Q3"),EXACT(H255,"JCR-Q4"),EXACT(H255,"WOS"),EXACT(H255,"Scopus")),(1),(0))</f>
        <v>0</v>
      </c>
      <c r="AM255" s="19">
        <f>IF(OR(EXACT(H255,'Data Base'!$B$21),EXACT(H255,'Data Base'!$B$22)),(1),(0))</f>
        <v>0</v>
      </c>
    </row>
    <row r="256" spans="1:83" ht="20.25" customHeight="1">
      <c r="A256" s="1416" t="s">
        <v>29</v>
      </c>
      <c r="B256" s="1417"/>
      <c r="C256" s="1417"/>
      <c r="D256" s="1418"/>
      <c r="E256" s="514" t="s">
        <v>1001</v>
      </c>
      <c r="F256" s="515"/>
      <c r="G256" s="516" t="s">
        <v>801</v>
      </c>
      <c r="H256" s="517"/>
      <c r="I256" s="516" t="s">
        <v>1002</v>
      </c>
      <c r="J256" s="518"/>
      <c r="K256" s="516" t="s">
        <v>1003</v>
      </c>
      <c r="L256" s="519"/>
      <c r="M256" s="516" t="s">
        <v>1004</v>
      </c>
      <c r="N256" s="520"/>
      <c r="O256" s="1266" t="s">
        <v>55</v>
      </c>
      <c r="P256" s="1419"/>
      <c r="Q256" s="1419"/>
      <c r="R256" s="1419"/>
      <c r="S256" s="1419"/>
      <c r="T256" s="1419"/>
      <c r="U256" s="1415"/>
      <c r="AN256" s="19">
        <f>IF(AND(AA255=1,EXACT(J256,"نفر اول")),(1),(0))</f>
        <v>0</v>
      </c>
      <c r="AO256" s="19">
        <f>IF(AN256=1,R255,0)</f>
        <v>0</v>
      </c>
      <c r="AP256" s="19">
        <f>IF(AND(AA255=1,EXACT(J256,"همكار")),(1),(0))</f>
        <v>0</v>
      </c>
      <c r="AQ256" s="19">
        <f>IF(AP256=1,R255,0)</f>
        <v>0</v>
      </c>
      <c r="AV256" s="19">
        <f>IF((AH255=1),R255,0)</f>
        <v>0</v>
      </c>
      <c r="AW256" s="19">
        <f>IF(AND(EXACT(AN256,"1"),EXACT(AH255,"1")),(1),(0))</f>
        <v>0</v>
      </c>
      <c r="AX256" s="19">
        <f>IF((AW256=1),AV256,0)</f>
        <v>0</v>
      </c>
      <c r="BB256" s="19">
        <f>IF((AI255=1),R255,0)</f>
        <v>0</v>
      </c>
      <c r="BC256" s="19">
        <f>IF(AND(EXACT(AI255,"1"),EXACT(AN256,"1")),(1),(0))</f>
        <v>0</v>
      </c>
      <c r="BD256" s="19">
        <f>IF((BC256=1),BB256,0)</f>
        <v>0</v>
      </c>
      <c r="BH256" s="19">
        <f>IF((AJ255=1),R255,0)</f>
        <v>0</v>
      </c>
      <c r="BI256" s="19">
        <f>IF(AND(EXACT(AJ255,"1"),EXACT(AN256,"1")),(1),(0))</f>
        <v>0</v>
      </c>
      <c r="BJ256" s="19">
        <f>IF((BI256=1),BH256,0)</f>
        <v>0</v>
      </c>
      <c r="BN256" s="19">
        <f>IF((AK255=1),R255,0)</f>
        <v>0</v>
      </c>
      <c r="BO256" s="19">
        <f>IF(AND(EXACT(AK255,"1"),EXACT(AN256,"1")),(1),(0))</f>
        <v>0</v>
      </c>
      <c r="BP256" s="19">
        <f>IF((BO256=1),BN256,0)</f>
        <v>0</v>
      </c>
      <c r="BT256" s="19">
        <f>IF((AL255=1),R255,0)</f>
        <v>0</v>
      </c>
      <c r="BU256" s="19">
        <f>IF(AND(EXACT(AN256,"1"),EXACT(AL255,"1")),(1),(0))</f>
        <v>0</v>
      </c>
      <c r="BV256" s="19">
        <f>IF((BU256=1),BT256,0)</f>
        <v>0</v>
      </c>
      <c r="BZ256" s="19">
        <f>IF((AM255=1),R255,0)</f>
        <v>0</v>
      </c>
      <c r="CA256" s="19">
        <f>IF(AND(EXACT(AM255,"1"),EXACT(AN256,"1")),(1),(0))</f>
        <v>0</v>
      </c>
      <c r="CB256" s="19">
        <f>IF((CA256=1),BZ256,0)</f>
        <v>0</v>
      </c>
    </row>
    <row r="257" spans="1:83" ht="20.25">
      <c r="A257" s="1420" t="s">
        <v>30</v>
      </c>
      <c r="B257" s="1421"/>
      <c r="C257" s="1421"/>
      <c r="D257" s="1422"/>
      <c r="E257" s="536" t="s">
        <v>1001</v>
      </c>
      <c r="F257" s="537"/>
      <c r="G257" s="538" t="s">
        <v>801</v>
      </c>
      <c r="H257" s="539"/>
      <c r="I257" s="538" t="s">
        <v>1002</v>
      </c>
      <c r="J257" s="525"/>
      <c r="K257" s="538" t="s">
        <v>1003</v>
      </c>
      <c r="L257" s="540"/>
      <c r="M257" s="538" t="s">
        <v>1004</v>
      </c>
      <c r="N257" s="541"/>
      <c r="O257" s="1266"/>
      <c r="P257" s="1423"/>
      <c r="Q257" s="1423"/>
      <c r="R257" s="1423"/>
      <c r="S257" s="1423"/>
      <c r="T257" s="1423"/>
      <c r="U257" s="1415"/>
      <c r="AR257" s="19">
        <f>IF(AND(AA255=1,EXACT(J257,"نفر اول")),(1),(0))</f>
        <v>0</v>
      </c>
      <c r="AS257" s="19">
        <f>IF(AR257=1,S255,0)</f>
        <v>0</v>
      </c>
      <c r="AT257" s="19">
        <f>IF(AND(AA255=1,EXACT(J257,"همكار")),(1),(0))</f>
        <v>0</v>
      </c>
      <c r="AU257" s="19">
        <f>IF(AT257=1,S255,0)</f>
        <v>0</v>
      </c>
      <c r="AY257" s="19">
        <f>IF((AH255=1),S255,0)</f>
        <v>0</v>
      </c>
      <c r="AZ257" s="19">
        <f>IF(AND(EXACT(AR257,"1"),EXACT(AH255,"1")),(1),(0))</f>
        <v>0</v>
      </c>
      <c r="BA257" s="19">
        <f>IF((AZ257=1),AY257,0)</f>
        <v>0</v>
      </c>
      <c r="BE257" s="19">
        <f>IF((AI255=1),S255,0)</f>
        <v>0</v>
      </c>
      <c r="BF257" s="19">
        <f>IF(AND(EXACT(AI255,"1"),EXACT(AR257,"1")),(1),(0))</f>
        <v>0</v>
      </c>
      <c r="BG257" s="19">
        <f>IF((BF257=1),BE257,0)</f>
        <v>0</v>
      </c>
      <c r="BK257" s="19">
        <f>IF((AJ255=1),S255,0)</f>
        <v>0</v>
      </c>
      <c r="BL257" s="19">
        <f>IF(AND(EXACT(AJ255,"1"),EXACT(AR257,"1")),(1),(0))</f>
        <v>0</v>
      </c>
      <c r="BM257" s="19">
        <f>IF((BL257=1),BK257,0)</f>
        <v>0</v>
      </c>
      <c r="BQ257" s="19">
        <f>IF((AJ255=1),S255,0)</f>
        <v>0</v>
      </c>
      <c r="BR257" s="19">
        <f>IF(AND(EXACT(AJ255,"1"),EXACT(AR257,"1")),(1),(0))</f>
        <v>0</v>
      </c>
      <c r="BS257" s="19">
        <f>IF((BL257=1),BK257,0)</f>
        <v>0</v>
      </c>
      <c r="BW257" s="19">
        <f>IF((AL255=1),S255,0)</f>
        <v>0</v>
      </c>
      <c r="BX257" s="19">
        <f>IF(AND(EXACT(AL255,"1"),EXACT(AR257,"1")),(1),(0))</f>
        <v>0</v>
      </c>
      <c r="BY257" s="19">
        <f>IF((BX257=1),BW257,0)</f>
        <v>0</v>
      </c>
      <c r="CC257" s="19">
        <f>IF((AM255=1),R255,0)</f>
        <v>0</v>
      </c>
      <c r="CD257" s="19">
        <f>IF(AND(EXACT(AM255,"1"),EXACT(AR257,"1")),(1),(0))</f>
        <v>0</v>
      </c>
      <c r="CE257" s="19">
        <f>IF((CD257=1),CC257,0)</f>
        <v>0</v>
      </c>
    </row>
    <row r="258" spans="1:83" ht="20.25">
      <c r="A258" s="12">
        <f>IF(AA258=0,0,IF(AA255=0,Z258,SUM(A255,AA258)))</f>
        <v>0</v>
      </c>
      <c r="B258" s="1157"/>
      <c r="C258" s="1157"/>
      <c r="D258" s="1157"/>
      <c r="E258" s="1182"/>
      <c r="F258" s="1424"/>
      <c r="G258" s="1424"/>
      <c r="H258" s="527"/>
      <c r="I258" s="528"/>
      <c r="J258" s="529"/>
      <c r="K258" s="530"/>
      <c r="L258" s="531"/>
      <c r="M258" s="532"/>
      <c r="N258" s="533"/>
      <c r="O258" s="532"/>
      <c r="P258" s="1182"/>
      <c r="Q258" s="1182"/>
      <c r="R258" s="534">
        <f t="shared" ref="R258" ca="1" si="324">IF(OR(EXACT(H258,""),EXACT(B258,""),EXACT(F259,""),EXACT(H259,""),EXACT(J259,""),EXACT(L259,""),EXACT(N259,""),EXACT(F258,""),EXACT(J258,""),EXACT(M258,""),EXACT(N258,""),EXACT(O258,""),EXACT(P258,"")),0,IF(OR(EXACT(P259,"مقاله پر استناد"),EXACT(P259,"مقاله داغ"),EXACT(P259,"مستخرج از برنامه تحقيقاتي ملي معطوف به رفع مشكلات كشور")),(1.5*(F259*N259*(IF(EXACT(J259,"نفر اول"),INDIRECT(CONCATENATE("'Data Base'!$d",H259)),INDIRECT(CONCATENATE("'Data Base'!$e",H259))))*((100-L259)/100))),IF(EXACT(P259,"Short Article"),(0.5*(F259*N259*(IF(EXACT(J259,"نفر اول"),INDIRECT(CONCATENATE("'Data Base'!$D",H259)),INDIRECT(CONCATENATE("'Data Base'!$E",H259))))*((100-L259)/100))),IF(EXACT(P259,"چاپ شده در نشريات بسيار پر استناد Nature و Science"),(2*(F259*N259*(IF(EXACT(J259,"نفر اول"),INDIRECT(CONCATENATE("'Data Base'!$D",H259)),INDIRECT(CONCATENATE("'Data Base'!$E",H259))))*((100-L259)/100))),IF(OR(EXACT(P259,"مستخرج از طرح پژوهشي محرمانه"),EXACT(P259,"مشترك با اساتيد دانشگاه خارج از كشور")),(1.2*(F259*N259*(IF(EXACT(J259,"نفر اول"),INDIRECT(CONCATENATE("'Data Base'!$D",H259)),INDIRECT(CONCATENATE("'Data Base'!$E",H259))))*((100-L259)/100))),(F259*N259*(IF(EXACT(J259,"نفر اول"),INDIRECT(CONCATENATE("'Data Base'!$d",H259)),INDIRECT(CONCATENATE("'Data Base'!$e",H259))))*((100-L259)/100)))))))</f>
        <v>0</v>
      </c>
      <c r="S258" s="535">
        <f t="shared" ref="S258" ca="1" si="325">IF(OR(EXACT(H258,""),EXACT(B258,""),EXACT(F260,""),EXACT(H260,""),EXACT(J260,""),EXACT(L260,""),EXACT(N260,""),EXACT(F258,""),EXACT(J258,""),EXACT(M258,""),EXACT(N258,""),EXACT(O258,""),EXACT(P258,"")),0,IF(OR(EXACT(P260,"مقاله پر استناد"),EXACT(P260,"مقاله داغ"),EXACT(P260,"مستخرج از برنامه تحقيقاتي ملي معطوف به رفع مشكلات كشور")),(1.5*(F260*N260*(IF(EXACT(J260,"نفر اول"),INDIRECT(CONCATENATE("'Data Base'!$d",H260)),INDIRECT(CONCATENATE("'Data Base'!$E",H260))))*((100-L260)/100))),IF(EXACT(P260,"Short Article"),(0.5*(F260*N260*(IF(EXACT(J260,"نفر اول"),INDIRECT(CONCATENATE("'Data Base'!$D",H260)),INDIRECT(CONCATENATE("'Data Base'!$E",H260))))*((100-L260)/100))),IF(EXACT(P260,"چاپ شده در نشريات بسيار پر استناد Nature و Science"),(2*(F260*N260*(IF(EXACT(J260,"نفر اول"),INDIRECT(CONCATENATE("'Data Base'!$D",H260)),INDIRECT(CONCATENATE("'Data Base'!$E",H260))))*((100-L260)/100))),IF(OR(EXACT(P260,"مستخرج از طرح پژوهشي محرمانه"),EXACT(P260,"مشترك با اساتيد دانشگاه خارج از كشور")),(1.2*(F260*N260*(IF(EXACT(J260,"نفر اول"),INDIRECT(CONCATENATE("'Data Base'!$D",H260)),INDIRECT(CONCATENATE("'Data Base'!$E",H260))))*((100-L260)/100))),(F260*N260*(IF(EXACT(J260,"نفر اول"),INDIRECT(CONCATENATE("'Data Base'!$D",H260)),INDIRECT(CONCATENATE("'Data Base'!$E",H260))))*((100-L260)/100)))))))</f>
        <v>0</v>
      </c>
      <c r="T258" s="147"/>
      <c r="U258" s="1414"/>
      <c r="Z258" s="19">
        <f>SUM(Z255,AA258)</f>
        <v>0</v>
      </c>
      <c r="AA258" s="19">
        <f>IF(OR(OR(B258="",F258="",H258="",J258="",P258=""),AND(M258="",O258="")),0,1)</f>
        <v>0</v>
      </c>
      <c r="AB258" s="19">
        <f t="shared" ref="AB258" ca="1" si="326">IF(AND(AA258=1,S258&gt;0),1,0)</f>
        <v>0</v>
      </c>
      <c r="AC258" s="19">
        <f t="shared" ref="AC258" ca="1" si="327">IF(AND(AA258=1,S258&lt;1),1,0)</f>
        <v>0</v>
      </c>
      <c r="AD258" s="19">
        <f ca="1">IF(AND(AA258=1,S258&gt;=1,AJ258=1),1,0)</f>
        <v>0</v>
      </c>
      <c r="AE258" s="19">
        <f ca="1">IF(AD258=1,S258,0)</f>
        <v>0</v>
      </c>
      <c r="AF258" s="19">
        <f ca="1">IF(AND(AA258=1,S258&gt;=1,AJ258=1,AR260=1),1,0)</f>
        <v>0</v>
      </c>
      <c r="AG258" s="19">
        <f ca="1">IF(AF258=1,S258,0)</f>
        <v>0</v>
      </c>
      <c r="AH258" s="19">
        <f>IF(OR(EXACT(H258,"JCR-Q1"),EXACT(H258,"JCR-Q2")),(1),(0))</f>
        <v>0</v>
      </c>
      <c r="AI258" s="19">
        <f>IF(OR(EXACT(H258,"JCR-Q1"),EXACT(H258,"JCR-Q2"),EXACT(H258,"JCR-Q3")),(1),(0))</f>
        <v>0</v>
      </c>
      <c r="AJ258" s="19">
        <f>IF(OR(EXACT(H258,"JCR-Q1"),EXACT(H258,"JCR-Q2"),EXACT(H258,"JCR-Q3"),EXACT(H258,"JCR-Q4")),(1),(0))</f>
        <v>0</v>
      </c>
      <c r="AK258" s="19">
        <f>IF(OR(EXACT(H258,"JCR-Q1"),EXACT(H258,"JCR-Q2"),EXACT(H258,"JCR-Q3"),EXACT(H258,"JCR-Q4"),EXACT(H258,"WOS")),(1),(0))</f>
        <v>0</v>
      </c>
      <c r="AL258" s="19">
        <f>IF(OR(EXACT(H258,"JCR-Q1"),EXACT(H258,"JCR-Q2"),EXACT(H258,"JCR-Q3"),EXACT(H258,"JCR-Q4"),EXACT(H258,"WOS"),EXACT(H258,"Scopus")),(1),(0))</f>
        <v>0</v>
      </c>
      <c r="AM258" s="19">
        <f>IF(OR(EXACT(H258,'Data Base'!$B$21),EXACT(H258,'Data Base'!$B$22)),(1),(0))</f>
        <v>0</v>
      </c>
    </row>
    <row r="259" spans="1:83" ht="20.25" customHeight="1">
      <c r="A259" s="1416" t="s">
        <v>29</v>
      </c>
      <c r="B259" s="1417"/>
      <c r="C259" s="1417"/>
      <c r="D259" s="1418"/>
      <c r="E259" s="514" t="s">
        <v>1001</v>
      </c>
      <c r="F259" s="515"/>
      <c r="G259" s="516" t="s">
        <v>801</v>
      </c>
      <c r="H259" s="517"/>
      <c r="I259" s="516" t="s">
        <v>1002</v>
      </c>
      <c r="J259" s="518"/>
      <c r="K259" s="516" t="s">
        <v>1003</v>
      </c>
      <c r="L259" s="519"/>
      <c r="M259" s="516" t="s">
        <v>1004</v>
      </c>
      <c r="N259" s="520"/>
      <c r="O259" s="1266" t="s">
        <v>55</v>
      </c>
      <c r="P259" s="1419"/>
      <c r="Q259" s="1419"/>
      <c r="R259" s="1419"/>
      <c r="S259" s="1419"/>
      <c r="T259" s="1419"/>
      <c r="U259" s="1415"/>
      <c r="AN259" s="19">
        <f>IF(AND(AA258=1,EXACT(J259,"نفر اول")),(1),(0))</f>
        <v>0</v>
      </c>
      <c r="AO259" s="19">
        <f>IF(AN259=1,R258,0)</f>
        <v>0</v>
      </c>
      <c r="AP259" s="19">
        <f>IF(AND(AA258=1,EXACT(J259,"همكار")),(1),(0))</f>
        <v>0</v>
      </c>
      <c r="AQ259" s="19">
        <f>IF(AP259=1,R258,0)</f>
        <v>0</v>
      </c>
      <c r="AV259" s="19">
        <f>IF((AH258=1),R258,0)</f>
        <v>0</v>
      </c>
      <c r="AW259" s="19">
        <f>IF(AND(EXACT(AN259,"1"),EXACT(AH258,"1")),(1),(0))</f>
        <v>0</v>
      </c>
      <c r="AX259" s="19">
        <f>IF((AW259=1),AV259,0)</f>
        <v>0</v>
      </c>
      <c r="BB259" s="19">
        <f>IF((AI258=1),R258,0)</f>
        <v>0</v>
      </c>
      <c r="BC259" s="19">
        <f>IF(AND(EXACT(AI258,"1"),EXACT(AN259,"1")),(1),(0))</f>
        <v>0</v>
      </c>
      <c r="BD259" s="19">
        <f>IF((BC259=1),BB259,0)</f>
        <v>0</v>
      </c>
      <c r="BH259" s="19">
        <f>IF((AJ258=1),R258,0)</f>
        <v>0</v>
      </c>
      <c r="BI259" s="19">
        <f>IF(AND(EXACT(AJ258,"1"),EXACT(AN259,"1")),(1),(0))</f>
        <v>0</v>
      </c>
      <c r="BJ259" s="19">
        <f>IF((BI259=1),BH259,0)</f>
        <v>0</v>
      </c>
      <c r="BN259" s="19">
        <f>IF((AK258=1),R258,0)</f>
        <v>0</v>
      </c>
      <c r="BO259" s="19">
        <f>IF(AND(EXACT(AK258,"1"),EXACT(AN259,"1")),(1),(0))</f>
        <v>0</v>
      </c>
      <c r="BP259" s="19">
        <f>IF((BO259=1),BN259,0)</f>
        <v>0</v>
      </c>
      <c r="BT259" s="19">
        <f>IF((AL258=1),R258,0)</f>
        <v>0</v>
      </c>
      <c r="BU259" s="19">
        <f>IF(AND(EXACT(AN259,"1"),EXACT(AL258,"1")),(1),(0))</f>
        <v>0</v>
      </c>
      <c r="BV259" s="19">
        <f>IF((BU259=1),BT259,0)</f>
        <v>0</v>
      </c>
      <c r="BZ259" s="19">
        <f>IF((AM258=1),R258,0)</f>
        <v>0</v>
      </c>
      <c r="CA259" s="19">
        <f>IF(AND(EXACT(AM258,"1"),EXACT(AN259,"1")),(1),(0))</f>
        <v>0</v>
      </c>
      <c r="CB259" s="19">
        <f>IF((CA259=1),BZ259,0)</f>
        <v>0</v>
      </c>
    </row>
    <row r="260" spans="1:83" ht="20.25">
      <c r="A260" s="1420" t="s">
        <v>30</v>
      </c>
      <c r="B260" s="1421"/>
      <c r="C260" s="1421"/>
      <c r="D260" s="1422"/>
      <c r="E260" s="536" t="s">
        <v>1001</v>
      </c>
      <c r="F260" s="537"/>
      <c r="G260" s="538" t="s">
        <v>801</v>
      </c>
      <c r="H260" s="539"/>
      <c r="I260" s="538" t="s">
        <v>1002</v>
      </c>
      <c r="J260" s="525"/>
      <c r="K260" s="538" t="s">
        <v>1003</v>
      </c>
      <c r="L260" s="540"/>
      <c r="M260" s="538" t="s">
        <v>1004</v>
      </c>
      <c r="N260" s="541"/>
      <c r="O260" s="1266"/>
      <c r="P260" s="1423"/>
      <c r="Q260" s="1423"/>
      <c r="R260" s="1423"/>
      <c r="S260" s="1423"/>
      <c r="T260" s="1423"/>
      <c r="U260" s="1415"/>
      <c r="AR260" s="19">
        <f>IF(AND(AA258=1,EXACT(J260,"نفر اول")),(1),(0))</f>
        <v>0</v>
      </c>
      <c r="AS260" s="19">
        <f>IF(AR260=1,S258,0)</f>
        <v>0</v>
      </c>
      <c r="AT260" s="19">
        <f>IF(AND(AA258=1,EXACT(J260,"همكار")),(1),(0))</f>
        <v>0</v>
      </c>
      <c r="AU260" s="19">
        <f>IF(AT260=1,S258,0)</f>
        <v>0</v>
      </c>
      <c r="AY260" s="19">
        <f>IF((AH258=1),S258,0)</f>
        <v>0</v>
      </c>
      <c r="AZ260" s="19">
        <f>IF(AND(EXACT(AR260,"1"),EXACT(AH258,"1")),(1),(0))</f>
        <v>0</v>
      </c>
      <c r="BA260" s="19">
        <f>IF((AZ260=1),AY260,0)</f>
        <v>0</v>
      </c>
      <c r="BE260" s="19">
        <f>IF((AI258=1),S258,0)</f>
        <v>0</v>
      </c>
      <c r="BF260" s="19">
        <f>IF(AND(EXACT(AI258,"1"),EXACT(AR260,"1")),(1),(0))</f>
        <v>0</v>
      </c>
      <c r="BG260" s="19">
        <f>IF((BF260=1),BE260,0)</f>
        <v>0</v>
      </c>
      <c r="BK260" s="19">
        <f>IF((AJ258=1),S258,0)</f>
        <v>0</v>
      </c>
      <c r="BL260" s="19">
        <f>IF(AND(EXACT(AJ258,"1"),EXACT(AR260,"1")),(1),(0))</f>
        <v>0</v>
      </c>
      <c r="BM260" s="19">
        <f>IF((BL260=1),BK260,0)</f>
        <v>0</v>
      </c>
      <c r="BQ260" s="19">
        <f>IF((AJ258=1),S258,0)</f>
        <v>0</v>
      </c>
      <c r="BR260" s="19">
        <f>IF(AND(EXACT(AJ258,"1"),EXACT(AR260,"1")),(1),(0))</f>
        <v>0</v>
      </c>
      <c r="BS260" s="19">
        <f>IF((BL260=1),BK260,0)</f>
        <v>0</v>
      </c>
      <c r="BW260" s="19">
        <f>IF((AL258=1),S258,0)</f>
        <v>0</v>
      </c>
      <c r="BX260" s="19">
        <f>IF(AND(EXACT(AL258,"1"),EXACT(AR260,"1")),(1),(0))</f>
        <v>0</v>
      </c>
      <c r="BY260" s="19">
        <f>IF((BX260=1),BW260,0)</f>
        <v>0</v>
      </c>
      <c r="CC260" s="19">
        <f>IF((AM258=1),R258,0)</f>
        <v>0</v>
      </c>
      <c r="CD260" s="19">
        <f>IF(AND(EXACT(AM258,"1"),EXACT(AR260,"1")),(1),(0))</f>
        <v>0</v>
      </c>
      <c r="CE260" s="19">
        <f>IF((CD260=1),CC260,0)</f>
        <v>0</v>
      </c>
    </row>
    <row r="261" spans="1:83" ht="20.25">
      <c r="A261" s="12">
        <f>IF(AA261=0,0,IF(AA258=0,Z261,SUM(A258,AA261)))</f>
        <v>0</v>
      </c>
      <c r="B261" s="1157"/>
      <c r="C261" s="1157"/>
      <c r="D261" s="1157"/>
      <c r="E261" s="1182"/>
      <c r="F261" s="1424"/>
      <c r="G261" s="1424"/>
      <c r="H261" s="527"/>
      <c r="I261" s="528"/>
      <c r="J261" s="529"/>
      <c r="K261" s="530"/>
      <c r="L261" s="531"/>
      <c r="M261" s="532"/>
      <c r="N261" s="533"/>
      <c r="O261" s="532"/>
      <c r="P261" s="1182"/>
      <c r="Q261" s="1182"/>
      <c r="R261" s="534">
        <f t="shared" ref="R261" ca="1" si="328">IF(OR(EXACT(H261,""),EXACT(B261,""),EXACT(F262,""),EXACT(H262,""),EXACT(J262,""),EXACT(L262,""),EXACT(N262,""),EXACT(F261,""),EXACT(J261,""),EXACT(M261,""),EXACT(N261,""),EXACT(O261,""),EXACT(P261,"")),0,IF(OR(EXACT(P262,"مقاله پر استناد"),EXACT(P262,"مقاله داغ"),EXACT(P262,"مستخرج از برنامه تحقيقاتي ملي معطوف به رفع مشكلات كشور")),(1.5*(F262*N262*(IF(EXACT(J262,"نفر اول"),INDIRECT(CONCATENATE("'Data Base'!$d",H262)),INDIRECT(CONCATENATE("'Data Base'!$e",H262))))*((100-L262)/100))),IF(EXACT(P262,"Short Article"),(0.5*(F262*N262*(IF(EXACT(J262,"نفر اول"),INDIRECT(CONCATENATE("'Data Base'!$D",H262)),INDIRECT(CONCATENATE("'Data Base'!$E",H262))))*((100-L262)/100))),IF(EXACT(P262,"چاپ شده در نشريات بسيار پر استناد Nature و Science"),(2*(F262*N262*(IF(EXACT(J262,"نفر اول"),INDIRECT(CONCATENATE("'Data Base'!$D",H262)),INDIRECT(CONCATENATE("'Data Base'!$E",H262))))*((100-L262)/100))),IF(OR(EXACT(P262,"مستخرج از طرح پژوهشي محرمانه"),EXACT(P262,"مشترك با اساتيد دانشگاه خارج از كشور")),(1.2*(F262*N262*(IF(EXACT(J262,"نفر اول"),INDIRECT(CONCATENATE("'Data Base'!$D",H262)),INDIRECT(CONCATENATE("'Data Base'!$E",H262))))*((100-L262)/100))),(F262*N262*(IF(EXACT(J262,"نفر اول"),INDIRECT(CONCATENATE("'Data Base'!$d",H262)),INDIRECT(CONCATENATE("'Data Base'!$e",H262))))*((100-L262)/100)))))))</f>
        <v>0</v>
      </c>
      <c r="S261" s="535">
        <f t="shared" ref="S261" ca="1" si="329">IF(OR(EXACT(H261,""),EXACT(B261,""),EXACT(F263,""),EXACT(H263,""),EXACT(J263,""),EXACT(L263,""),EXACT(N263,""),EXACT(F261,""),EXACT(J261,""),EXACT(M261,""),EXACT(N261,""),EXACT(O261,""),EXACT(P261,"")),0,IF(OR(EXACT(P263,"مقاله پر استناد"),EXACT(P263,"مقاله داغ"),EXACT(P263,"مستخرج از برنامه تحقيقاتي ملي معطوف به رفع مشكلات كشور")),(1.5*(F263*N263*(IF(EXACT(J263,"نفر اول"),INDIRECT(CONCATENATE("'Data Base'!$d",H263)),INDIRECT(CONCATENATE("'Data Base'!$E",H263))))*((100-L263)/100))),IF(EXACT(P263,"Short Article"),(0.5*(F263*N263*(IF(EXACT(J263,"نفر اول"),INDIRECT(CONCATENATE("'Data Base'!$D",H263)),INDIRECT(CONCATENATE("'Data Base'!$E",H263))))*((100-L263)/100))),IF(EXACT(P263,"چاپ شده در نشريات بسيار پر استناد Nature و Science"),(2*(F263*N263*(IF(EXACT(J263,"نفر اول"),INDIRECT(CONCATENATE("'Data Base'!$D",H263)),INDIRECT(CONCATENATE("'Data Base'!$E",H263))))*((100-L263)/100))),IF(OR(EXACT(P263,"مستخرج از طرح پژوهشي محرمانه"),EXACT(P263,"مشترك با اساتيد دانشگاه خارج از كشور")),(1.2*(F263*N263*(IF(EXACT(J263,"نفر اول"),INDIRECT(CONCATENATE("'Data Base'!$D",H263)),INDIRECT(CONCATENATE("'Data Base'!$E",H263))))*((100-L263)/100))),(F263*N263*(IF(EXACT(J263,"نفر اول"),INDIRECT(CONCATENATE("'Data Base'!$D",H263)),INDIRECT(CONCATENATE("'Data Base'!$E",H263))))*((100-L263)/100)))))))</f>
        <v>0</v>
      </c>
      <c r="T261" s="147"/>
      <c r="U261" s="1414"/>
      <c r="Z261" s="19">
        <f>SUM(Z258,AA261)</f>
        <v>0</v>
      </c>
      <c r="AA261" s="19">
        <f>IF(OR(OR(B261="",F261="",H261="",J261="",P261=""),AND(M261="",O261="")),0,1)</f>
        <v>0</v>
      </c>
      <c r="AB261" s="19">
        <f t="shared" ref="AB261" ca="1" si="330">IF(AND(AA261=1,S261&gt;0),1,0)</f>
        <v>0</v>
      </c>
      <c r="AC261" s="19">
        <f t="shared" ref="AC261" ca="1" si="331">IF(AND(AA261=1,S261&lt;1),1,0)</f>
        <v>0</v>
      </c>
      <c r="AD261" s="19">
        <f ca="1">IF(AND(AA261=1,S261&gt;=1,AJ261=1),1,0)</f>
        <v>0</v>
      </c>
      <c r="AE261" s="19">
        <f ca="1">IF(AD261=1,S261,0)</f>
        <v>0</v>
      </c>
      <c r="AF261" s="19">
        <f ca="1">IF(AND(AA261=1,S261&gt;=1,AJ261=1,AR263=1),1,0)</f>
        <v>0</v>
      </c>
      <c r="AG261" s="19">
        <f ca="1">IF(AF261=1,S261,0)</f>
        <v>0</v>
      </c>
      <c r="AH261" s="19">
        <f>IF(OR(EXACT(H261,"JCR-Q1"),EXACT(H261,"JCR-Q2")),(1),(0))</f>
        <v>0</v>
      </c>
      <c r="AI261" s="19">
        <f>IF(OR(EXACT(H261,"JCR-Q1"),EXACT(H261,"JCR-Q2"),EXACT(H261,"JCR-Q3")),(1),(0))</f>
        <v>0</v>
      </c>
      <c r="AJ261" s="19">
        <f>IF(OR(EXACT(H261,"JCR-Q1"),EXACT(H261,"JCR-Q2"),EXACT(H261,"JCR-Q3"),EXACT(H261,"JCR-Q4")),(1),(0))</f>
        <v>0</v>
      </c>
      <c r="AK261" s="19">
        <f>IF(OR(EXACT(H261,"JCR-Q1"),EXACT(H261,"JCR-Q2"),EXACT(H261,"JCR-Q3"),EXACT(H261,"JCR-Q4"),EXACT(H261,"WOS")),(1),(0))</f>
        <v>0</v>
      </c>
      <c r="AL261" s="19">
        <f>IF(OR(EXACT(H261,"JCR-Q1"),EXACT(H261,"JCR-Q2"),EXACT(H261,"JCR-Q3"),EXACT(H261,"JCR-Q4"),EXACT(H261,"WOS"),EXACT(H261,"Scopus")),(1),(0))</f>
        <v>0</v>
      </c>
      <c r="AM261" s="19">
        <f>IF(OR(EXACT(H261,'Data Base'!$B$21),EXACT(H261,'Data Base'!$B$22)),(1),(0))</f>
        <v>0</v>
      </c>
    </row>
    <row r="262" spans="1:83" ht="20.25" customHeight="1">
      <c r="A262" s="1416" t="s">
        <v>29</v>
      </c>
      <c r="B262" s="1417"/>
      <c r="C262" s="1417"/>
      <c r="D262" s="1418"/>
      <c r="E262" s="514" t="s">
        <v>1001</v>
      </c>
      <c r="F262" s="515"/>
      <c r="G262" s="516" t="s">
        <v>801</v>
      </c>
      <c r="H262" s="517"/>
      <c r="I262" s="516" t="s">
        <v>1002</v>
      </c>
      <c r="J262" s="518"/>
      <c r="K262" s="516" t="s">
        <v>1003</v>
      </c>
      <c r="L262" s="519"/>
      <c r="M262" s="516" t="s">
        <v>1004</v>
      </c>
      <c r="N262" s="520"/>
      <c r="O262" s="1266" t="s">
        <v>55</v>
      </c>
      <c r="P262" s="1419"/>
      <c r="Q262" s="1419"/>
      <c r="R262" s="1419"/>
      <c r="S262" s="1419"/>
      <c r="T262" s="1419"/>
      <c r="U262" s="1415"/>
      <c r="AN262" s="19">
        <f>IF(AND(AA261=1,EXACT(J262,"نفر اول")),(1),(0))</f>
        <v>0</v>
      </c>
      <c r="AO262" s="19">
        <f>IF(AN262=1,R261,0)</f>
        <v>0</v>
      </c>
      <c r="AP262" s="19">
        <f>IF(AND(AA261=1,EXACT(J262,"همكار")),(1),(0))</f>
        <v>0</v>
      </c>
      <c r="AQ262" s="19">
        <f>IF(AP262=1,R261,0)</f>
        <v>0</v>
      </c>
      <c r="AV262" s="19">
        <f>IF((AH261=1),R261,0)</f>
        <v>0</v>
      </c>
      <c r="AW262" s="19">
        <f>IF(AND(EXACT(AN262,"1"),EXACT(AH261,"1")),(1),(0))</f>
        <v>0</v>
      </c>
      <c r="AX262" s="19">
        <f>IF((AW262=1),AV262,0)</f>
        <v>0</v>
      </c>
      <c r="BB262" s="19">
        <f>IF((AI261=1),R261,0)</f>
        <v>0</v>
      </c>
      <c r="BC262" s="19">
        <f>IF(AND(EXACT(AI261,"1"),EXACT(AN262,"1")),(1),(0))</f>
        <v>0</v>
      </c>
      <c r="BD262" s="19">
        <f>IF((BC262=1),BB262,0)</f>
        <v>0</v>
      </c>
      <c r="BH262" s="19">
        <f>IF((AJ261=1),R261,0)</f>
        <v>0</v>
      </c>
      <c r="BI262" s="19">
        <f>IF(AND(EXACT(AJ261,"1"),EXACT(AN262,"1")),(1),(0))</f>
        <v>0</v>
      </c>
      <c r="BJ262" s="19">
        <f>IF((BI262=1),BH262,0)</f>
        <v>0</v>
      </c>
      <c r="BN262" s="19">
        <f>IF((AK261=1),R261,0)</f>
        <v>0</v>
      </c>
      <c r="BO262" s="19">
        <f>IF(AND(EXACT(AK261,"1"),EXACT(AN262,"1")),(1),(0))</f>
        <v>0</v>
      </c>
      <c r="BP262" s="19">
        <f>IF((BO262=1),BN262,0)</f>
        <v>0</v>
      </c>
      <c r="BT262" s="19">
        <f>IF((AL261=1),R261,0)</f>
        <v>0</v>
      </c>
      <c r="BU262" s="19">
        <f>IF(AND(EXACT(AN262,"1"),EXACT(AL261,"1")),(1),(0))</f>
        <v>0</v>
      </c>
      <c r="BV262" s="19">
        <f>IF((BU262=1),BT262,0)</f>
        <v>0</v>
      </c>
      <c r="BZ262" s="19">
        <f>IF((AM261=1),R261,0)</f>
        <v>0</v>
      </c>
      <c r="CA262" s="19">
        <f>IF(AND(EXACT(AM261,"1"),EXACT(AN262,"1")),(1),(0))</f>
        <v>0</v>
      </c>
      <c r="CB262" s="19">
        <f>IF((CA262=1),BZ262,0)</f>
        <v>0</v>
      </c>
    </row>
    <row r="263" spans="1:83" ht="20.25">
      <c r="A263" s="1420" t="s">
        <v>30</v>
      </c>
      <c r="B263" s="1421"/>
      <c r="C263" s="1421"/>
      <c r="D263" s="1422"/>
      <c r="E263" s="536" t="s">
        <v>1001</v>
      </c>
      <c r="F263" s="537"/>
      <c r="G263" s="538" t="s">
        <v>801</v>
      </c>
      <c r="H263" s="539"/>
      <c r="I263" s="538" t="s">
        <v>1002</v>
      </c>
      <c r="J263" s="525"/>
      <c r="K263" s="538" t="s">
        <v>1003</v>
      </c>
      <c r="L263" s="540"/>
      <c r="M263" s="538" t="s">
        <v>1004</v>
      </c>
      <c r="N263" s="541"/>
      <c r="O263" s="1266"/>
      <c r="P263" s="1423"/>
      <c r="Q263" s="1423"/>
      <c r="R263" s="1423"/>
      <c r="S263" s="1423"/>
      <c r="T263" s="1423"/>
      <c r="U263" s="1415"/>
      <c r="AR263" s="19">
        <f>IF(AND(AA261=1,EXACT(J263,"نفر اول")),(1),(0))</f>
        <v>0</v>
      </c>
      <c r="AS263" s="19">
        <f>IF(AR263=1,S261,0)</f>
        <v>0</v>
      </c>
      <c r="AT263" s="19">
        <f>IF(AND(AA261=1,EXACT(J263,"همكار")),(1),(0))</f>
        <v>0</v>
      </c>
      <c r="AU263" s="19">
        <f>IF(AT263=1,S261,0)</f>
        <v>0</v>
      </c>
      <c r="AY263" s="19">
        <f>IF((AH261=1),S261,0)</f>
        <v>0</v>
      </c>
      <c r="AZ263" s="19">
        <f>IF(AND(EXACT(AR263,"1"),EXACT(AH261,"1")),(1),(0))</f>
        <v>0</v>
      </c>
      <c r="BA263" s="19">
        <f>IF((AZ263=1),AY263,0)</f>
        <v>0</v>
      </c>
      <c r="BE263" s="19">
        <f>IF((AI261=1),S261,0)</f>
        <v>0</v>
      </c>
      <c r="BF263" s="19">
        <f>IF(AND(EXACT(AI261,"1"),EXACT(AR263,"1")),(1),(0))</f>
        <v>0</v>
      </c>
      <c r="BG263" s="19">
        <f>IF((BF263=1),BE263,0)</f>
        <v>0</v>
      </c>
      <c r="BK263" s="19">
        <f>IF((AJ261=1),S261,0)</f>
        <v>0</v>
      </c>
      <c r="BL263" s="19">
        <f>IF(AND(EXACT(AJ261,"1"),EXACT(AR263,"1")),(1),(0))</f>
        <v>0</v>
      </c>
      <c r="BM263" s="19">
        <f>IF((BL263=1),BK263,0)</f>
        <v>0</v>
      </c>
      <c r="BQ263" s="19">
        <f>IF((AJ261=1),S261,0)</f>
        <v>0</v>
      </c>
      <c r="BR263" s="19">
        <f>IF(AND(EXACT(AJ261,"1"),EXACT(AR263,"1")),(1),(0))</f>
        <v>0</v>
      </c>
      <c r="BS263" s="19">
        <f>IF((BL263=1),BK263,0)</f>
        <v>0</v>
      </c>
      <c r="BW263" s="19">
        <f>IF((AL261=1),S261,0)</f>
        <v>0</v>
      </c>
      <c r="BX263" s="19">
        <f>IF(AND(EXACT(AL261,"1"),EXACT(AR263,"1")),(1),(0))</f>
        <v>0</v>
      </c>
      <c r="BY263" s="19">
        <f>IF((BX263=1),BW263,0)</f>
        <v>0</v>
      </c>
      <c r="CC263" s="19">
        <f>IF((AM261=1),R261,0)</f>
        <v>0</v>
      </c>
      <c r="CD263" s="19">
        <f>IF(AND(EXACT(AM261,"1"),EXACT(AR263,"1")),(1),(0))</f>
        <v>0</v>
      </c>
      <c r="CE263" s="19">
        <f>IF((CD263=1),CC263,0)</f>
        <v>0</v>
      </c>
    </row>
    <row r="264" spans="1:83" ht="20.25">
      <c r="A264" s="12">
        <f>IF(AA264=0,0,IF(AA261=0,Z264,SUM(A261,AA264)))</f>
        <v>0</v>
      </c>
      <c r="B264" s="1157"/>
      <c r="C264" s="1157"/>
      <c r="D264" s="1157"/>
      <c r="E264" s="1182"/>
      <c r="F264" s="1424"/>
      <c r="G264" s="1424"/>
      <c r="H264" s="527"/>
      <c r="I264" s="528"/>
      <c r="J264" s="529"/>
      <c r="K264" s="530"/>
      <c r="L264" s="531"/>
      <c r="M264" s="532"/>
      <c r="N264" s="533"/>
      <c r="O264" s="532"/>
      <c r="P264" s="1182"/>
      <c r="Q264" s="1182"/>
      <c r="R264" s="534">
        <f t="shared" ref="R264" ca="1" si="332">IF(OR(EXACT(H264,""),EXACT(B264,""),EXACT(F265,""),EXACT(H265,""),EXACT(J265,""),EXACT(L265,""),EXACT(N265,""),EXACT(F264,""),EXACT(J264,""),EXACT(M264,""),EXACT(N264,""),EXACT(O264,""),EXACT(P264,"")),0,IF(OR(EXACT(P265,"مقاله پر استناد"),EXACT(P265,"مقاله داغ"),EXACT(P265,"مستخرج از برنامه تحقيقاتي ملي معطوف به رفع مشكلات كشور")),(1.5*(F265*N265*(IF(EXACT(J265,"نفر اول"),INDIRECT(CONCATENATE("'Data Base'!$d",H265)),INDIRECT(CONCATENATE("'Data Base'!$e",H265))))*((100-L265)/100))),IF(EXACT(P265,"Short Article"),(0.5*(F265*N265*(IF(EXACT(J265,"نفر اول"),INDIRECT(CONCATENATE("'Data Base'!$D",H265)),INDIRECT(CONCATENATE("'Data Base'!$E",H265))))*((100-L265)/100))),IF(EXACT(P265,"چاپ شده در نشريات بسيار پر استناد Nature و Science"),(2*(F265*N265*(IF(EXACT(J265,"نفر اول"),INDIRECT(CONCATENATE("'Data Base'!$D",H265)),INDIRECT(CONCATENATE("'Data Base'!$E",H265))))*((100-L265)/100))),IF(OR(EXACT(P265,"مستخرج از طرح پژوهشي محرمانه"),EXACT(P265,"مشترك با اساتيد دانشگاه خارج از كشور")),(1.2*(F265*N265*(IF(EXACT(J265,"نفر اول"),INDIRECT(CONCATENATE("'Data Base'!$D",H265)),INDIRECT(CONCATENATE("'Data Base'!$E",H265))))*((100-L265)/100))),(F265*N265*(IF(EXACT(J265,"نفر اول"),INDIRECT(CONCATENATE("'Data Base'!$d",H265)),INDIRECT(CONCATENATE("'Data Base'!$e",H265))))*((100-L265)/100)))))))</f>
        <v>0</v>
      </c>
      <c r="S264" s="535">
        <f t="shared" ref="S264" ca="1" si="333">IF(OR(EXACT(H264,""),EXACT(B264,""),EXACT(F266,""),EXACT(H266,""),EXACT(J266,""),EXACT(L266,""),EXACT(N266,""),EXACT(F264,""),EXACT(J264,""),EXACT(M264,""),EXACT(N264,""),EXACT(O264,""),EXACT(P264,"")),0,IF(OR(EXACT(P266,"مقاله پر استناد"),EXACT(P266,"مقاله داغ"),EXACT(P266,"مستخرج از برنامه تحقيقاتي ملي معطوف به رفع مشكلات كشور")),(1.5*(F266*N266*(IF(EXACT(J266,"نفر اول"),INDIRECT(CONCATENATE("'Data Base'!$d",H266)),INDIRECT(CONCATENATE("'Data Base'!$E",H266))))*((100-L266)/100))),IF(EXACT(P266,"Short Article"),(0.5*(F266*N266*(IF(EXACT(J266,"نفر اول"),INDIRECT(CONCATENATE("'Data Base'!$D",H266)),INDIRECT(CONCATENATE("'Data Base'!$E",H266))))*((100-L266)/100))),IF(EXACT(P266,"چاپ شده در نشريات بسيار پر استناد Nature و Science"),(2*(F266*N266*(IF(EXACT(J266,"نفر اول"),INDIRECT(CONCATENATE("'Data Base'!$D",H266)),INDIRECT(CONCATENATE("'Data Base'!$E",H266))))*((100-L266)/100))),IF(OR(EXACT(P266,"مستخرج از طرح پژوهشي محرمانه"),EXACT(P266,"مشترك با اساتيد دانشگاه خارج از كشور")),(1.2*(F266*N266*(IF(EXACT(J266,"نفر اول"),INDIRECT(CONCATENATE("'Data Base'!$D",H266)),INDIRECT(CONCATENATE("'Data Base'!$E",H266))))*((100-L266)/100))),(F266*N266*(IF(EXACT(J266,"نفر اول"),INDIRECT(CONCATENATE("'Data Base'!$D",H266)),INDIRECT(CONCATENATE("'Data Base'!$E",H266))))*((100-L266)/100)))))))</f>
        <v>0</v>
      </c>
      <c r="T264" s="147"/>
      <c r="U264" s="1414"/>
      <c r="Z264" s="19">
        <f>SUM(Z261,AA264)</f>
        <v>0</v>
      </c>
      <c r="AA264" s="19">
        <f>IF(OR(OR(B264="",F264="",H264="",J264="",P264=""),AND(M264="",O264="")),0,1)</f>
        <v>0</v>
      </c>
      <c r="AB264" s="19">
        <f t="shared" ref="AB264" ca="1" si="334">IF(AND(AA264=1,S264&gt;0),1,0)</f>
        <v>0</v>
      </c>
      <c r="AC264" s="19">
        <f t="shared" ref="AC264" ca="1" si="335">IF(AND(AA264=1,S264&lt;1),1,0)</f>
        <v>0</v>
      </c>
      <c r="AD264" s="19">
        <f ca="1">IF(AND(AA264=1,S264&gt;=1,AJ264=1),1,0)</f>
        <v>0</v>
      </c>
      <c r="AE264" s="19">
        <f ca="1">IF(AD264=1,S264,0)</f>
        <v>0</v>
      </c>
      <c r="AF264" s="19">
        <f ca="1">IF(AND(AA264=1,S264&gt;=1,AJ264=1,AR266=1),1,0)</f>
        <v>0</v>
      </c>
      <c r="AG264" s="19">
        <f ca="1">IF(AF264=1,S264,0)</f>
        <v>0</v>
      </c>
      <c r="AH264" s="19">
        <f>IF(OR(EXACT(H264,"JCR-Q1"),EXACT(H264,"JCR-Q2")),(1),(0))</f>
        <v>0</v>
      </c>
      <c r="AI264" s="19">
        <f>IF(OR(EXACT(H264,"JCR-Q1"),EXACT(H264,"JCR-Q2"),EXACT(H264,"JCR-Q3")),(1),(0))</f>
        <v>0</v>
      </c>
      <c r="AJ264" s="19">
        <f>IF(OR(EXACT(H264,"JCR-Q1"),EXACT(H264,"JCR-Q2"),EXACT(H264,"JCR-Q3"),EXACT(H264,"JCR-Q4")),(1),(0))</f>
        <v>0</v>
      </c>
      <c r="AK264" s="19">
        <f>IF(OR(EXACT(H264,"JCR-Q1"),EXACT(H264,"JCR-Q2"),EXACT(H264,"JCR-Q3"),EXACT(H264,"JCR-Q4"),EXACT(H264,"WOS")),(1),(0))</f>
        <v>0</v>
      </c>
      <c r="AL264" s="19">
        <f>IF(OR(EXACT(H264,"JCR-Q1"),EXACT(H264,"JCR-Q2"),EXACT(H264,"JCR-Q3"),EXACT(H264,"JCR-Q4"),EXACT(H264,"WOS"),EXACT(H264,"Scopus")),(1),(0))</f>
        <v>0</v>
      </c>
      <c r="AM264" s="19">
        <f>IF(OR(EXACT(H264,'Data Base'!$B$21),EXACT(H264,'Data Base'!$B$22)),(1),(0))</f>
        <v>0</v>
      </c>
    </row>
    <row r="265" spans="1:83" ht="20.25" customHeight="1">
      <c r="A265" s="1416" t="s">
        <v>29</v>
      </c>
      <c r="B265" s="1417"/>
      <c r="C265" s="1417"/>
      <c r="D265" s="1418"/>
      <c r="E265" s="514" t="s">
        <v>1001</v>
      </c>
      <c r="F265" s="515"/>
      <c r="G265" s="516" t="s">
        <v>801</v>
      </c>
      <c r="H265" s="517"/>
      <c r="I265" s="516" t="s">
        <v>1002</v>
      </c>
      <c r="J265" s="518"/>
      <c r="K265" s="516" t="s">
        <v>1003</v>
      </c>
      <c r="L265" s="519"/>
      <c r="M265" s="516" t="s">
        <v>1004</v>
      </c>
      <c r="N265" s="520"/>
      <c r="O265" s="1266" t="s">
        <v>55</v>
      </c>
      <c r="P265" s="1419"/>
      <c r="Q265" s="1419"/>
      <c r="R265" s="1419"/>
      <c r="S265" s="1419"/>
      <c r="T265" s="1419"/>
      <c r="U265" s="1415"/>
      <c r="AN265" s="19">
        <f>IF(AND(AA264=1,EXACT(J265,"نفر اول")),(1),(0))</f>
        <v>0</v>
      </c>
      <c r="AO265" s="19">
        <f>IF(AN265=1,R264,0)</f>
        <v>0</v>
      </c>
      <c r="AP265" s="19">
        <f>IF(AND(AA264=1,EXACT(J265,"همكار")),(1),(0))</f>
        <v>0</v>
      </c>
      <c r="AQ265" s="19">
        <f>IF(AP265=1,R264,0)</f>
        <v>0</v>
      </c>
      <c r="AV265" s="19">
        <f>IF((AH264=1),R264,0)</f>
        <v>0</v>
      </c>
      <c r="AW265" s="19">
        <f>IF(AND(EXACT(AN265,"1"),EXACT(AH264,"1")),(1),(0))</f>
        <v>0</v>
      </c>
      <c r="AX265" s="19">
        <f>IF((AW265=1),AV265,0)</f>
        <v>0</v>
      </c>
      <c r="BB265" s="19">
        <f>IF((AI264=1),R264,0)</f>
        <v>0</v>
      </c>
      <c r="BC265" s="19">
        <f>IF(AND(EXACT(AI264,"1"),EXACT(AN265,"1")),(1),(0))</f>
        <v>0</v>
      </c>
      <c r="BD265" s="19">
        <f>IF((BC265=1),BB265,0)</f>
        <v>0</v>
      </c>
      <c r="BH265" s="19">
        <f>IF((AJ264=1),R264,0)</f>
        <v>0</v>
      </c>
      <c r="BI265" s="19">
        <f>IF(AND(EXACT(AJ264,"1"),EXACT(AN265,"1")),(1),(0))</f>
        <v>0</v>
      </c>
      <c r="BJ265" s="19">
        <f>IF((BI265=1),BH265,0)</f>
        <v>0</v>
      </c>
      <c r="BN265" s="19">
        <f>IF((AK264=1),R264,0)</f>
        <v>0</v>
      </c>
      <c r="BO265" s="19">
        <f>IF(AND(EXACT(AK264,"1"),EXACT(AN265,"1")),(1),(0))</f>
        <v>0</v>
      </c>
      <c r="BP265" s="19">
        <f>IF((BO265=1),BN265,0)</f>
        <v>0</v>
      </c>
      <c r="BT265" s="19">
        <f>IF((AL264=1),R264,0)</f>
        <v>0</v>
      </c>
      <c r="BU265" s="19">
        <f>IF(AND(EXACT(AN265,"1"),EXACT(AL264,"1")),(1),(0))</f>
        <v>0</v>
      </c>
      <c r="BV265" s="19">
        <f>IF((BU265=1),BT265,0)</f>
        <v>0</v>
      </c>
      <c r="BZ265" s="19">
        <f>IF((AM264=1),R264,0)</f>
        <v>0</v>
      </c>
      <c r="CA265" s="19">
        <f>IF(AND(EXACT(AM264,"1"),EXACT(AN265,"1")),(1),(0))</f>
        <v>0</v>
      </c>
      <c r="CB265" s="19">
        <f>IF((CA265=1),BZ265,0)</f>
        <v>0</v>
      </c>
    </row>
    <row r="266" spans="1:83" ht="20.25">
      <c r="A266" s="1420" t="s">
        <v>30</v>
      </c>
      <c r="B266" s="1421"/>
      <c r="C266" s="1421"/>
      <c r="D266" s="1422"/>
      <c r="E266" s="536" t="s">
        <v>1001</v>
      </c>
      <c r="F266" s="537"/>
      <c r="G266" s="538" t="s">
        <v>801</v>
      </c>
      <c r="H266" s="539"/>
      <c r="I266" s="538" t="s">
        <v>1002</v>
      </c>
      <c r="J266" s="525"/>
      <c r="K266" s="538" t="s">
        <v>1003</v>
      </c>
      <c r="L266" s="540"/>
      <c r="M266" s="538" t="s">
        <v>1004</v>
      </c>
      <c r="N266" s="541"/>
      <c r="O266" s="1266"/>
      <c r="P266" s="1423"/>
      <c r="Q266" s="1423"/>
      <c r="R266" s="1423"/>
      <c r="S266" s="1423"/>
      <c r="T266" s="1423"/>
      <c r="U266" s="1415"/>
      <c r="AR266" s="19">
        <f>IF(AND(AA264=1,EXACT(J266,"نفر اول")),(1),(0))</f>
        <v>0</v>
      </c>
      <c r="AS266" s="19">
        <f>IF(AR266=1,S264,0)</f>
        <v>0</v>
      </c>
      <c r="AT266" s="19">
        <f>IF(AND(AA264=1,EXACT(J266,"همكار")),(1),(0))</f>
        <v>0</v>
      </c>
      <c r="AU266" s="19">
        <f>IF(AT266=1,S264,0)</f>
        <v>0</v>
      </c>
      <c r="AY266" s="19">
        <f>IF((AH264=1),S264,0)</f>
        <v>0</v>
      </c>
      <c r="AZ266" s="19">
        <f>IF(AND(EXACT(AR266,"1"),EXACT(AH264,"1")),(1),(0))</f>
        <v>0</v>
      </c>
      <c r="BA266" s="19">
        <f>IF((AZ266=1),AY266,0)</f>
        <v>0</v>
      </c>
      <c r="BE266" s="19">
        <f>IF((AI264=1),S264,0)</f>
        <v>0</v>
      </c>
      <c r="BF266" s="19">
        <f>IF(AND(EXACT(AI264,"1"),EXACT(AR266,"1")),(1),(0))</f>
        <v>0</v>
      </c>
      <c r="BG266" s="19">
        <f>IF((BF266=1),BE266,0)</f>
        <v>0</v>
      </c>
      <c r="BK266" s="19">
        <f>IF((AJ264=1),S264,0)</f>
        <v>0</v>
      </c>
      <c r="BL266" s="19">
        <f>IF(AND(EXACT(AJ264,"1"),EXACT(AR266,"1")),(1),(0))</f>
        <v>0</v>
      </c>
      <c r="BM266" s="19">
        <f>IF((BL266=1),BK266,0)</f>
        <v>0</v>
      </c>
      <c r="BQ266" s="19">
        <f>IF((AJ264=1),S264,0)</f>
        <v>0</v>
      </c>
      <c r="BR266" s="19">
        <f>IF(AND(EXACT(AJ264,"1"),EXACT(AR266,"1")),(1),(0))</f>
        <v>0</v>
      </c>
      <c r="BS266" s="19">
        <f>IF((BL266=1),BK266,0)</f>
        <v>0</v>
      </c>
      <c r="BW266" s="19">
        <f>IF((AL264=1),S264,0)</f>
        <v>0</v>
      </c>
      <c r="BX266" s="19">
        <f>IF(AND(EXACT(AL264,"1"),EXACT(AR266,"1")),(1),(0))</f>
        <v>0</v>
      </c>
      <c r="BY266" s="19">
        <f>IF((BX266=1),BW266,0)</f>
        <v>0</v>
      </c>
      <c r="CC266" s="19">
        <f>IF((AM264=1),R264,0)</f>
        <v>0</v>
      </c>
      <c r="CD266" s="19">
        <f>IF(AND(EXACT(AM264,"1"),EXACT(AR266,"1")),(1),(0))</f>
        <v>0</v>
      </c>
      <c r="CE266" s="19">
        <f>IF((CD266=1),CC266,0)</f>
        <v>0</v>
      </c>
    </row>
    <row r="267" spans="1:83" ht="20.25">
      <c r="A267" s="12">
        <f>IF(AA267=0,0,IF(AA264=0,Z267,SUM(A264,AA267)))</f>
        <v>0</v>
      </c>
      <c r="B267" s="1157"/>
      <c r="C267" s="1157"/>
      <c r="D267" s="1157"/>
      <c r="E267" s="1182"/>
      <c r="F267" s="1424"/>
      <c r="G267" s="1424"/>
      <c r="H267" s="527"/>
      <c r="I267" s="528"/>
      <c r="J267" s="529"/>
      <c r="K267" s="530"/>
      <c r="L267" s="531"/>
      <c r="M267" s="532"/>
      <c r="N267" s="533"/>
      <c r="O267" s="532"/>
      <c r="P267" s="1182"/>
      <c r="Q267" s="1182"/>
      <c r="R267" s="534">
        <f t="shared" ref="R267" ca="1" si="336">IF(OR(EXACT(H267,""),EXACT(B267,""),EXACT(F268,""),EXACT(H268,""),EXACT(J268,""),EXACT(L268,""),EXACT(N268,""),EXACT(F267,""),EXACT(J267,""),EXACT(M267,""),EXACT(N267,""),EXACT(O267,""),EXACT(P267,"")),0,IF(OR(EXACT(P268,"مقاله پر استناد"),EXACT(P268,"مقاله داغ"),EXACT(P268,"مستخرج از برنامه تحقيقاتي ملي معطوف به رفع مشكلات كشور")),(1.5*(F268*N268*(IF(EXACT(J268,"نفر اول"),INDIRECT(CONCATENATE("'Data Base'!$d",H268)),INDIRECT(CONCATENATE("'Data Base'!$e",H268))))*((100-L268)/100))),IF(EXACT(P268,"Short Article"),(0.5*(F268*N268*(IF(EXACT(J268,"نفر اول"),INDIRECT(CONCATENATE("'Data Base'!$D",H268)),INDIRECT(CONCATENATE("'Data Base'!$E",H268))))*((100-L268)/100))),IF(EXACT(P268,"چاپ شده در نشريات بسيار پر استناد Nature و Science"),(2*(F268*N268*(IF(EXACT(J268,"نفر اول"),INDIRECT(CONCATENATE("'Data Base'!$D",H268)),INDIRECT(CONCATENATE("'Data Base'!$E",H268))))*((100-L268)/100))),IF(OR(EXACT(P268,"مستخرج از طرح پژوهشي محرمانه"),EXACT(P268,"مشترك با اساتيد دانشگاه خارج از كشور")),(1.2*(F268*N268*(IF(EXACT(J268,"نفر اول"),INDIRECT(CONCATENATE("'Data Base'!$D",H268)),INDIRECT(CONCATENATE("'Data Base'!$E",H268))))*((100-L268)/100))),(F268*N268*(IF(EXACT(J268,"نفر اول"),INDIRECT(CONCATENATE("'Data Base'!$d",H268)),INDIRECT(CONCATENATE("'Data Base'!$e",H268))))*((100-L268)/100)))))))</f>
        <v>0</v>
      </c>
      <c r="S267" s="535">
        <f t="shared" ref="S267" ca="1" si="337">IF(OR(EXACT(H267,""),EXACT(B267,""),EXACT(F269,""),EXACT(H269,""),EXACT(J269,""),EXACT(L269,""),EXACT(N269,""),EXACT(F267,""),EXACT(J267,""),EXACT(M267,""),EXACT(N267,""),EXACT(O267,""),EXACT(P267,"")),0,IF(OR(EXACT(P269,"مقاله پر استناد"),EXACT(P269,"مقاله داغ"),EXACT(P269,"مستخرج از برنامه تحقيقاتي ملي معطوف به رفع مشكلات كشور")),(1.5*(F269*N269*(IF(EXACT(J269,"نفر اول"),INDIRECT(CONCATENATE("'Data Base'!$d",H269)),INDIRECT(CONCATENATE("'Data Base'!$E",H269))))*((100-L269)/100))),IF(EXACT(P269,"Short Article"),(0.5*(F269*N269*(IF(EXACT(J269,"نفر اول"),INDIRECT(CONCATENATE("'Data Base'!$D",H269)),INDIRECT(CONCATENATE("'Data Base'!$E",H269))))*((100-L269)/100))),IF(EXACT(P269,"چاپ شده در نشريات بسيار پر استناد Nature و Science"),(2*(F269*N269*(IF(EXACT(J269,"نفر اول"),INDIRECT(CONCATENATE("'Data Base'!$D",H269)),INDIRECT(CONCATENATE("'Data Base'!$E",H269))))*((100-L269)/100))),IF(OR(EXACT(P269,"مستخرج از طرح پژوهشي محرمانه"),EXACT(P269,"مشترك با اساتيد دانشگاه خارج از كشور")),(1.2*(F269*N269*(IF(EXACT(J269,"نفر اول"),INDIRECT(CONCATENATE("'Data Base'!$D",H269)),INDIRECT(CONCATENATE("'Data Base'!$E",H269))))*((100-L269)/100))),(F269*N269*(IF(EXACT(J269,"نفر اول"),INDIRECT(CONCATENATE("'Data Base'!$D",H269)),INDIRECT(CONCATENATE("'Data Base'!$E",H269))))*((100-L269)/100)))))))</f>
        <v>0</v>
      </c>
      <c r="T267" s="147"/>
      <c r="U267" s="1414"/>
      <c r="Z267" s="19">
        <f>SUM(Z264,AA267)</f>
        <v>0</v>
      </c>
      <c r="AA267" s="19">
        <f>IF(OR(OR(B267="",F267="",H267="",J267="",P267=""),AND(M267="",O267="")),0,1)</f>
        <v>0</v>
      </c>
      <c r="AB267" s="19">
        <f t="shared" ref="AB267" ca="1" si="338">IF(AND(AA267=1,S267&gt;0),1,0)</f>
        <v>0</v>
      </c>
      <c r="AC267" s="19">
        <f t="shared" ref="AC267" ca="1" si="339">IF(AND(AA267=1,S267&lt;1),1,0)</f>
        <v>0</v>
      </c>
      <c r="AD267" s="19">
        <f ca="1">IF(AND(AA267=1,S267&gt;=1,AJ267=1),1,0)</f>
        <v>0</v>
      </c>
      <c r="AE267" s="19">
        <f ca="1">IF(AD267=1,S267,0)</f>
        <v>0</v>
      </c>
      <c r="AF267" s="19">
        <f ca="1">IF(AND(AA267=1,S267&gt;=1,AJ267=1,AR269=1),1,0)</f>
        <v>0</v>
      </c>
      <c r="AG267" s="19">
        <f ca="1">IF(AF267=1,S267,0)</f>
        <v>0</v>
      </c>
      <c r="AH267" s="19">
        <f>IF(OR(EXACT(H267,"JCR-Q1"),EXACT(H267,"JCR-Q2")),(1),(0))</f>
        <v>0</v>
      </c>
      <c r="AI267" s="19">
        <f>IF(OR(EXACT(H267,"JCR-Q1"),EXACT(H267,"JCR-Q2"),EXACT(H267,"JCR-Q3")),(1),(0))</f>
        <v>0</v>
      </c>
      <c r="AJ267" s="19">
        <f>IF(OR(EXACT(H267,"JCR-Q1"),EXACT(H267,"JCR-Q2"),EXACT(H267,"JCR-Q3"),EXACT(H267,"JCR-Q4")),(1),(0))</f>
        <v>0</v>
      </c>
      <c r="AK267" s="19">
        <f>IF(OR(EXACT(H267,"JCR-Q1"),EXACT(H267,"JCR-Q2"),EXACT(H267,"JCR-Q3"),EXACT(H267,"JCR-Q4"),EXACT(H267,"WOS")),(1),(0))</f>
        <v>0</v>
      </c>
      <c r="AL267" s="19">
        <f>IF(OR(EXACT(H267,"JCR-Q1"),EXACT(H267,"JCR-Q2"),EXACT(H267,"JCR-Q3"),EXACT(H267,"JCR-Q4"),EXACT(H267,"WOS"),EXACT(H267,"Scopus")),(1),(0))</f>
        <v>0</v>
      </c>
      <c r="AM267" s="19">
        <f>IF(OR(EXACT(H267,'Data Base'!$B$21),EXACT(H267,'Data Base'!$B$22)),(1),(0))</f>
        <v>0</v>
      </c>
    </row>
    <row r="268" spans="1:83" ht="20.25" customHeight="1">
      <c r="A268" s="1416" t="s">
        <v>29</v>
      </c>
      <c r="B268" s="1417"/>
      <c r="C268" s="1417"/>
      <c r="D268" s="1418"/>
      <c r="E268" s="514" t="s">
        <v>1001</v>
      </c>
      <c r="F268" s="515"/>
      <c r="G268" s="516" t="s">
        <v>801</v>
      </c>
      <c r="H268" s="517"/>
      <c r="I268" s="516" t="s">
        <v>1002</v>
      </c>
      <c r="J268" s="518"/>
      <c r="K268" s="516" t="s">
        <v>1003</v>
      </c>
      <c r="L268" s="519"/>
      <c r="M268" s="516" t="s">
        <v>1004</v>
      </c>
      <c r="N268" s="520"/>
      <c r="O268" s="1266" t="s">
        <v>55</v>
      </c>
      <c r="P268" s="1419"/>
      <c r="Q268" s="1419"/>
      <c r="R268" s="1419"/>
      <c r="S268" s="1419"/>
      <c r="T268" s="1419"/>
      <c r="U268" s="1415"/>
      <c r="AN268" s="19">
        <f>IF(AND(AA267=1,EXACT(J268,"نفر اول")),(1),(0))</f>
        <v>0</v>
      </c>
      <c r="AO268" s="19">
        <f>IF(AN268=1,R267,0)</f>
        <v>0</v>
      </c>
      <c r="AP268" s="19">
        <f>IF(AND(AA267=1,EXACT(J268,"همكار")),(1),(0))</f>
        <v>0</v>
      </c>
      <c r="AQ268" s="19">
        <f>IF(AP268=1,R267,0)</f>
        <v>0</v>
      </c>
      <c r="AV268" s="19">
        <f>IF((AH267=1),R267,0)</f>
        <v>0</v>
      </c>
      <c r="AW268" s="19">
        <f>IF(AND(EXACT(AN268,"1"),EXACT(AH267,"1")),(1),(0))</f>
        <v>0</v>
      </c>
      <c r="AX268" s="19">
        <f>IF((AW268=1),AV268,0)</f>
        <v>0</v>
      </c>
      <c r="BB268" s="19">
        <f>IF((AI267=1),R267,0)</f>
        <v>0</v>
      </c>
      <c r="BC268" s="19">
        <f>IF(AND(EXACT(AI267,"1"),EXACT(AN268,"1")),(1),(0))</f>
        <v>0</v>
      </c>
      <c r="BD268" s="19">
        <f>IF((BC268=1),BB268,0)</f>
        <v>0</v>
      </c>
      <c r="BH268" s="19">
        <f>IF((AJ267=1),R267,0)</f>
        <v>0</v>
      </c>
      <c r="BI268" s="19">
        <f>IF(AND(EXACT(AJ267,"1"),EXACT(AN268,"1")),(1),(0))</f>
        <v>0</v>
      </c>
      <c r="BJ268" s="19">
        <f>IF((BI268=1),BH268,0)</f>
        <v>0</v>
      </c>
      <c r="BN268" s="19">
        <f>IF((AK267=1),R267,0)</f>
        <v>0</v>
      </c>
      <c r="BO268" s="19">
        <f>IF(AND(EXACT(AK267,"1"),EXACT(AN268,"1")),(1),(0))</f>
        <v>0</v>
      </c>
      <c r="BP268" s="19">
        <f>IF((BO268=1),BN268,0)</f>
        <v>0</v>
      </c>
      <c r="BT268" s="19">
        <f>IF((AL267=1),R267,0)</f>
        <v>0</v>
      </c>
      <c r="BU268" s="19">
        <f>IF(AND(EXACT(AN268,"1"),EXACT(AL267,"1")),(1),(0))</f>
        <v>0</v>
      </c>
      <c r="BV268" s="19">
        <f>IF((BU268=1),BT268,0)</f>
        <v>0</v>
      </c>
      <c r="BZ268" s="19">
        <f>IF((AM267=1),R267,0)</f>
        <v>0</v>
      </c>
      <c r="CA268" s="19">
        <f>IF(AND(EXACT(AM267,"1"),EXACT(AN268,"1")),(1),(0))</f>
        <v>0</v>
      </c>
      <c r="CB268" s="19">
        <f>IF((CA268=1),BZ268,0)</f>
        <v>0</v>
      </c>
    </row>
    <row r="269" spans="1:83" ht="20.25">
      <c r="A269" s="1420" t="s">
        <v>30</v>
      </c>
      <c r="B269" s="1421"/>
      <c r="C269" s="1421"/>
      <c r="D269" s="1422"/>
      <c r="E269" s="536" t="s">
        <v>1001</v>
      </c>
      <c r="F269" s="537"/>
      <c r="G269" s="538" t="s">
        <v>801</v>
      </c>
      <c r="H269" s="539"/>
      <c r="I269" s="538" t="s">
        <v>1002</v>
      </c>
      <c r="J269" s="525"/>
      <c r="K269" s="538" t="s">
        <v>1003</v>
      </c>
      <c r="L269" s="540"/>
      <c r="M269" s="538" t="s">
        <v>1004</v>
      </c>
      <c r="N269" s="541"/>
      <c r="O269" s="1266"/>
      <c r="P269" s="1423"/>
      <c r="Q269" s="1423"/>
      <c r="R269" s="1423"/>
      <c r="S269" s="1423"/>
      <c r="T269" s="1423"/>
      <c r="U269" s="1415"/>
      <c r="AR269" s="19">
        <f>IF(AND(AA267=1,EXACT(J269,"نفر اول")),(1),(0))</f>
        <v>0</v>
      </c>
      <c r="AS269" s="19">
        <f>IF(AR269=1,S267,0)</f>
        <v>0</v>
      </c>
      <c r="AT269" s="19">
        <f>IF(AND(AA267=1,EXACT(J269,"همكار")),(1),(0))</f>
        <v>0</v>
      </c>
      <c r="AU269" s="19">
        <f>IF(AT269=1,S267,0)</f>
        <v>0</v>
      </c>
      <c r="AY269" s="19">
        <f>IF((AH267=1),S267,0)</f>
        <v>0</v>
      </c>
      <c r="AZ269" s="19">
        <f>IF(AND(EXACT(AR269,"1"),EXACT(AH267,"1")),(1),(0))</f>
        <v>0</v>
      </c>
      <c r="BA269" s="19">
        <f>IF((AZ269=1),AY269,0)</f>
        <v>0</v>
      </c>
      <c r="BE269" s="19">
        <f>IF((AI267=1),S267,0)</f>
        <v>0</v>
      </c>
      <c r="BF269" s="19">
        <f>IF(AND(EXACT(AI267,"1"),EXACT(AR269,"1")),(1),(0))</f>
        <v>0</v>
      </c>
      <c r="BG269" s="19">
        <f>IF((BF269=1),BE269,0)</f>
        <v>0</v>
      </c>
      <c r="BK269" s="19">
        <f>IF((AJ267=1),S267,0)</f>
        <v>0</v>
      </c>
      <c r="BL269" s="19">
        <f>IF(AND(EXACT(AJ267,"1"),EXACT(AR269,"1")),(1),(0))</f>
        <v>0</v>
      </c>
      <c r="BM269" s="19">
        <f>IF((BL269=1),BK269,0)</f>
        <v>0</v>
      </c>
      <c r="BQ269" s="19">
        <f>IF((AJ267=1),S267,0)</f>
        <v>0</v>
      </c>
      <c r="BR269" s="19">
        <f>IF(AND(EXACT(AJ267,"1"),EXACT(AR269,"1")),(1),(0))</f>
        <v>0</v>
      </c>
      <c r="BS269" s="19">
        <f>IF((BL269=1),BK269,0)</f>
        <v>0</v>
      </c>
      <c r="BW269" s="19">
        <f>IF((AL267=1),S267,0)</f>
        <v>0</v>
      </c>
      <c r="BX269" s="19">
        <f>IF(AND(EXACT(AL267,"1"),EXACT(AR269,"1")),(1),(0))</f>
        <v>0</v>
      </c>
      <c r="BY269" s="19">
        <f>IF((BX269=1),BW269,0)</f>
        <v>0</v>
      </c>
      <c r="CC269" s="19">
        <f>IF((AM267=1),R267,0)</f>
        <v>0</v>
      </c>
      <c r="CD269" s="19">
        <f>IF(AND(EXACT(AM267,"1"),EXACT(AR269,"1")),(1),(0))</f>
        <v>0</v>
      </c>
      <c r="CE269" s="19">
        <f>IF((CD269=1),CC269,0)</f>
        <v>0</v>
      </c>
    </row>
    <row r="270" spans="1:83" ht="20.25">
      <c r="A270" s="12">
        <f>IF(AA270=0,0,IF(AA267=0,Z270,SUM(A267,AA270)))</f>
        <v>0</v>
      </c>
      <c r="B270" s="1157"/>
      <c r="C270" s="1157"/>
      <c r="D270" s="1157"/>
      <c r="E270" s="1182"/>
      <c r="F270" s="1424"/>
      <c r="G270" s="1424"/>
      <c r="H270" s="527"/>
      <c r="I270" s="528"/>
      <c r="J270" s="529"/>
      <c r="K270" s="530"/>
      <c r="L270" s="531"/>
      <c r="M270" s="532"/>
      <c r="N270" s="533"/>
      <c r="O270" s="532"/>
      <c r="P270" s="1182"/>
      <c r="Q270" s="1182"/>
      <c r="R270" s="534">
        <f t="shared" ref="R270" ca="1" si="340">IF(OR(EXACT(H270,""),EXACT(B270,""),EXACT(F271,""),EXACT(H271,""),EXACT(J271,""),EXACT(L271,""),EXACT(N271,""),EXACT(F270,""),EXACT(J270,""),EXACT(M270,""),EXACT(N270,""),EXACT(O270,""),EXACT(P270,"")),0,IF(OR(EXACT(P271,"مقاله پر استناد"),EXACT(P271,"مقاله داغ"),EXACT(P271,"مستخرج از برنامه تحقيقاتي ملي معطوف به رفع مشكلات كشور")),(1.5*(F271*N271*(IF(EXACT(J271,"نفر اول"),INDIRECT(CONCATENATE("'Data Base'!$d",H271)),INDIRECT(CONCATENATE("'Data Base'!$e",H271))))*((100-L271)/100))),IF(EXACT(P271,"Short Article"),(0.5*(F271*N271*(IF(EXACT(J271,"نفر اول"),INDIRECT(CONCATENATE("'Data Base'!$D",H271)),INDIRECT(CONCATENATE("'Data Base'!$E",H271))))*((100-L271)/100))),IF(EXACT(P271,"چاپ شده در نشريات بسيار پر استناد Nature و Science"),(2*(F271*N271*(IF(EXACT(J271,"نفر اول"),INDIRECT(CONCATENATE("'Data Base'!$D",H271)),INDIRECT(CONCATENATE("'Data Base'!$E",H271))))*((100-L271)/100))),IF(OR(EXACT(P271,"مستخرج از طرح پژوهشي محرمانه"),EXACT(P271,"مشترك با اساتيد دانشگاه خارج از كشور")),(1.2*(F271*N271*(IF(EXACT(J271,"نفر اول"),INDIRECT(CONCATENATE("'Data Base'!$D",H271)),INDIRECT(CONCATENATE("'Data Base'!$E",H271))))*((100-L271)/100))),(F271*N271*(IF(EXACT(J271,"نفر اول"),INDIRECT(CONCATENATE("'Data Base'!$d",H271)),INDIRECT(CONCATENATE("'Data Base'!$e",H271))))*((100-L271)/100)))))))</f>
        <v>0</v>
      </c>
      <c r="S270" s="535">
        <f t="shared" ref="S270" ca="1" si="341">IF(OR(EXACT(H270,""),EXACT(B270,""),EXACT(F272,""),EXACT(H272,""),EXACT(J272,""),EXACT(L272,""),EXACT(N272,""),EXACT(F270,""),EXACT(J270,""),EXACT(M270,""),EXACT(N270,""),EXACT(O270,""),EXACT(P270,"")),0,IF(OR(EXACT(P272,"مقاله پر استناد"),EXACT(P272,"مقاله داغ"),EXACT(P272,"مستخرج از برنامه تحقيقاتي ملي معطوف به رفع مشكلات كشور")),(1.5*(F272*N272*(IF(EXACT(J272,"نفر اول"),INDIRECT(CONCATENATE("'Data Base'!$d",H272)),INDIRECT(CONCATENATE("'Data Base'!$E",H272))))*((100-L272)/100))),IF(EXACT(P272,"Short Article"),(0.5*(F272*N272*(IF(EXACT(J272,"نفر اول"),INDIRECT(CONCATENATE("'Data Base'!$D",H272)),INDIRECT(CONCATENATE("'Data Base'!$E",H272))))*((100-L272)/100))),IF(EXACT(P272,"چاپ شده در نشريات بسيار پر استناد Nature و Science"),(2*(F272*N272*(IF(EXACT(J272,"نفر اول"),INDIRECT(CONCATENATE("'Data Base'!$D",H272)),INDIRECT(CONCATENATE("'Data Base'!$E",H272))))*((100-L272)/100))),IF(OR(EXACT(P272,"مستخرج از طرح پژوهشي محرمانه"),EXACT(P272,"مشترك با اساتيد دانشگاه خارج از كشور")),(1.2*(F272*N272*(IF(EXACT(J272,"نفر اول"),INDIRECT(CONCATENATE("'Data Base'!$D",H272)),INDIRECT(CONCATENATE("'Data Base'!$E",H272))))*((100-L272)/100))),(F272*N272*(IF(EXACT(J272,"نفر اول"),INDIRECT(CONCATENATE("'Data Base'!$D",H272)),INDIRECT(CONCATENATE("'Data Base'!$E",H272))))*((100-L272)/100)))))))</f>
        <v>0</v>
      </c>
      <c r="T270" s="147"/>
      <c r="U270" s="1414"/>
      <c r="Z270" s="19">
        <f>SUM(Z267,AA270)</f>
        <v>0</v>
      </c>
      <c r="AA270" s="19">
        <f>IF(OR(OR(B270="",F270="",H270="",J270="",P270=""),AND(M270="",O270="")),0,1)</f>
        <v>0</v>
      </c>
      <c r="AB270" s="19">
        <f t="shared" ref="AB270" ca="1" si="342">IF(AND(AA270=1,S270&gt;0),1,0)</f>
        <v>0</v>
      </c>
      <c r="AC270" s="19">
        <f t="shared" ref="AC270" ca="1" si="343">IF(AND(AA270=1,S270&lt;1),1,0)</f>
        <v>0</v>
      </c>
      <c r="AD270" s="19">
        <f ca="1">IF(AND(AA270=1,S270&gt;=1,AJ270=1),1,0)</f>
        <v>0</v>
      </c>
      <c r="AE270" s="19">
        <f ca="1">IF(AD270=1,S270,0)</f>
        <v>0</v>
      </c>
      <c r="AF270" s="19">
        <f ca="1">IF(AND(AA270=1,S270&gt;=1,AJ270=1,AR272=1),1,0)</f>
        <v>0</v>
      </c>
      <c r="AG270" s="19">
        <f ca="1">IF(AF270=1,S270,0)</f>
        <v>0</v>
      </c>
      <c r="AH270" s="19">
        <f>IF(OR(EXACT(H270,"JCR-Q1"),EXACT(H270,"JCR-Q2")),(1),(0))</f>
        <v>0</v>
      </c>
      <c r="AI270" s="19">
        <f>IF(OR(EXACT(H270,"JCR-Q1"),EXACT(H270,"JCR-Q2"),EXACT(H270,"JCR-Q3")),(1),(0))</f>
        <v>0</v>
      </c>
      <c r="AJ270" s="19">
        <f>IF(OR(EXACT(H270,"JCR-Q1"),EXACT(H270,"JCR-Q2"),EXACT(H270,"JCR-Q3"),EXACT(H270,"JCR-Q4")),(1),(0))</f>
        <v>0</v>
      </c>
      <c r="AK270" s="19">
        <f>IF(OR(EXACT(H270,"JCR-Q1"),EXACT(H270,"JCR-Q2"),EXACT(H270,"JCR-Q3"),EXACT(H270,"JCR-Q4"),EXACT(H270,"WOS")),(1),(0))</f>
        <v>0</v>
      </c>
      <c r="AL270" s="19">
        <f>IF(OR(EXACT(H270,"JCR-Q1"),EXACT(H270,"JCR-Q2"),EXACT(H270,"JCR-Q3"),EXACT(H270,"JCR-Q4"),EXACT(H270,"WOS"),EXACT(H270,"Scopus")),(1),(0))</f>
        <v>0</v>
      </c>
      <c r="AM270" s="19">
        <f>IF(OR(EXACT(H270,'Data Base'!$B$21),EXACT(H270,'Data Base'!$B$22)),(1),(0))</f>
        <v>0</v>
      </c>
    </row>
    <row r="271" spans="1:83" ht="20.25" customHeight="1">
      <c r="A271" s="1416" t="s">
        <v>29</v>
      </c>
      <c r="B271" s="1417"/>
      <c r="C271" s="1417"/>
      <c r="D271" s="1418"/>
      <c r="E271" s="514" t="s">
        <v>1001</v>
      </c>
      <c r="F271" s="515"/>
      <c r="G271" s="516" t="s">
        <v>801</v>
      </c>
      <c r="H271" s="517"/>
      <c r="I271" s="516" t="s">
        <v>1002</v>
      </c>
      <c r="J271" s="518"/>
      <c r="K271" s="516" t="s">
        <v>1003</v>
      </c>
      <c r="L271" s="519"/>
      <c r="M271" s="516" t="s">
        <v>1004</v>
      </c>
      <c r="N271" s="520"/>
      <c r="O271" s="1266" t="s">
        <v>55</v>
      </c>
      <c r="P271" s="1419"/>
      <c r="Q271" s="1419"/>
      <c r="R271" s="1419"/>
      <c r="S271" s="1419"/>
      <c r="T271" s="1419"/>
      <c r="U271" s="1415"/>
      <c r="AN271" s="19">
        <f>IF(AND(AA270=1,EXACT(J271,"نفر اول")),(1),(0))</f>
        <v>0</v>
      </c>
      <c r="AO271" s="19">
        <f>IF(AN271=1,R270,0)</f>
        <v>0</v>
      </c>
      <c r="AP271" s="19">
        <f>IF(AND(AA270=1,EXACT(J271,"همكار")),(1),(0))</f>
        <v>0</v>
      </c>
      <c r="AQ271" s="19">
        <f>IF(AP271=1,R270,0)</f>
        <v>0</v>
      </c>
      <c r="AV271" s="19">
        <f>IF((AH270=1),R270,0)</f>
        <v>0</v>
      </c>
      <c r="AW271" s="19">
        <f>IF(AND(EXACT(AN271,"1"),EXACT(AH270,"1")),(1),(0))</f>
        <v>0</v>
      </c>
      <c r="AX271" s="19">
        <f>IF((AW271=1),AV271,0)</f>
        <v>0</v>
      </c>
      <c r="BB271" s="19">
        <f>IF((AI270=1),R270,0)</f>
        <v>0</v>
      </c>
      <c r="BC271" s="19">
        <f>IF(AND(EXACT(AI270,"1"),EXACT(AN271,"1")),(1),(0))</f>
        <v>0</v>
      </c>
      <c r="BD271" s="19">
        <f>IF((BC271=1),BB271,0)</f>
        <v>0</v>
      </c>
      <c r="BH271" s="19">
        <f>IF((AJ270=1),R270,0)</f>
        <v>0</v>
      </c>
      <c r="BI271" s="19">
        <f>IF(AND(EXACT(AJ270,"1"),EXACT(AN271,"1")),(1),(0))</f>
        <v>0</v>
      </c>
      <c r="BJ271" s="19">
        <f>IF((BI271=1),BH271,0)</f>
        <v>0</v>
      </c>
      <c r="BN271" s="19">
        <f>IF((AK270=1),R270,0)</f>
        <v>0</v>
      </c>
      <c r="BO271" s="19">
        <f>IF(AND(EXACT(AK270,"1"),EXACT(AN271,"1")),(1),(0))</f>
        <v>0</v>
      </c>
      <c r="BP271" s="19">
        <f>IF((BO271=1),BN271,0)</f>
        <v>0</v>
      </c>
      <c r="BT271" s="19">
        <f>IF((AL270=1),R270,0)</f>
        <v>0</v>
      </c>
      <c r="BU271" s="19">
        <f>IF(AND(EXACT(AN271,"1"),EXACT(AL270,"1")),(1),(0))</f>
        <v>0</v>
      </c>
      <c r="BV271" s="19">
        <f>IF((BU271=1),BT271,0)</f>
        <v>0</v>
      </c>
      <c r="BZ271" s="19">
        <f>IF((AM270=1),R270,0)</f>
        <v>0</v>
      </c>
      <c r="CA271" s="19">
        <f>IF(AND(EXACT(AM270,"1"),EXACT(AN271,"1")),(1),(0))</f>
        <v>0</v>
      </c>
      <c r="CB271" s="19">
        <f>IF((CA271=1),BZ271,0)</f>
        <v>0</v>
      </c>
    </row>
    <row r="272" spans="1:83" ht="20.25">
      <c r="A272" s="1420" t="s">
        <v>30</v>
      </c>
      <c r="B272" s="1421"/>
      <c r="C272" s="1421"/>
      <c r="D272" s="1422"/>
      <c r="E272" s="536" t="s">
        <v>1001</v>
      </c>
      <c r="F272" s="537"/>
      <c r="G272" s="538" t="s">
        <v>801</v>
      </c>
      <c r="H272" s="539"/>
      <c r="I272" s="538" t="s">
        <v>1002</v>
      </c>
      <c r="J272" s="525"/>
      <c r="K272" s="538" t="s">
        <v>1003</v>
      </c>
      <c r="L272" s="540"/>
      <c r="M272" s="538" t="s">
        <v>1004</v>
      </c>
      <c r="N272" s="541"/>
      <c r="O272" s="1266"/>
      <c r="P272" s="1423"/>
      <c r="Q272" s="1423"/>
      <c r="R272" s="1423"/>
      <c r="S272" s="1423"/>
      <c r="T272" s="1423"/>
      <c r="U272" s="1415"/>
      <c r="AR272" s="19">
        <f>IF(AND(AA270=1,EXACT(J272,"نفر اول")),(1),(0))</f>
        <v>0</v>
      </c>
      <c r="AS272" s="19">
        <f>IF(AR272=1,S270,0)</f>
        <v>0</v>
      </c>
      <c r="AT272" s="19">
        <f>IF(AND(AA270=1,EXACT(J272,"همكار")),(1),(0))</f>
        <v>0</v>
      </c>
      <c r="AU272" s="19">
        <f>IF(AT272=1,S270,0)</f>
        <v>0</v>
      </c>
      <c r="AY272" s="19">
        <f>IF((AH270=1),S270,0)</f>
        <v>0</v>
      </c>
      <c r="AZ272" s="19">
        <f>IF(AND(EXACT(AR272,"1"),EXACT(AH270,"1")),(1),(0))</f>
        <v>0</v>
      </c>
      <c r="BA272" s="19">
        <f>IF((AZ272=1),AY272,0)</f>
        <v>0</v>
      </c>
      <c r="BE272" s="19">
        <f>IF((AI270=1),S270,0)</f>
        <v>0</v>
      </c>
      <c r="BF272" s="19">
        <f>IF(AND(EXACT(AI270,"1"),EXACT(AR272,"1")),(1),(0))</f>
        <v>0</v>
      </c>
      <c r="BG272" s="19">
        <f>IF((BF272=1),BE272,0)</f>
        <v>0</v>
      </c>
      <c r="BK272" s="19">
        <f>IF((AJ270=1),S270,0)</f>
        <v>0</v>
      </c>
      <c r="BL272" s="19">
        <f>IF(AND(EXACT(AJ270,"1"),EXACT(AR272,"1")),(1),(0))</f>
        <v>0</v>
      </c>
      <c r="BM272" s="19">
        <f>IF((BL272=1),BK272,0)</f>
        <v>0</v>
      </c>
      <c r="BQ272" s="19">
        <f>IF((AJ270=1),S270,0)</f>
        <v>0</v>
      </c>
      <c r="BR272" s="19">
        <f>IF(AND(EXACT(AJ270,"1"),EXACT(AR272,"1")),(1),(0))</f>
        <v>0</v>
      </c>
      <c r="BS272" s="19">
        <f>IF((BL272=1),BK272,0)</f>
        <v>0</v>
      </c>
      <c r="BW272" s="19">
        <f>IF((AL270=1),S270,0)</f>
        <v>0</v>
      </c>
      <c r="BX272" s="19">
        <f>IF(AND(EXACT(AL270,"1"),EXACT(AR272,"1")),(1),(0))</f>
        <v>0</v>
      </c>
      <c r="BY272" s="19">
        <f>IF((BX272=1),BW272,0)</f>
        <v>0</v>
      </c>
      <c r="CC272" s="19">
        <f>IF((AM270=1),R270,0)</f>
        <v>0</v>
      </c>
      <c r="CD272" s="19">
        <f>IF(AND(EXACT(AM270,"1"),EXACT(AR272,"1")),(1),(0))</f>
        <v>0</v>
      </c>
      <c r="CE272" s="19">
        <f>IF((CD272=1),CC272,0)</f>
        <v>0</v>
      </c>
    </row>
    <row r="273" spans="1:83" ht="20.25">
      <c r="A273" s="12">
        <f>IF(AA273=0,0,IF(AA270=0,Z273,SUM(A270,AA273)))</f>
        <v>0</v>
      </c>
      <c r="B273" s="1157"/>
      <c r="C273" s="1157"/>
      <c r="D273" s="1157"/>
      <c r="E273" s="1182"/>
      <c r="F273" s="1424"/>
      <c r="G273" s="1424"/>
      <c r="H273" s="527"/>
      <c r="I273" s="528"/>
      <c r="J273" s="529"/>
      <c r="K273" s="530"/>
      <c r="L273" s="531"/>
      <c r="M273" s="532"/>
      <c r="N273" s="533"/>
      <c r="O273" s="532"/>
      <c r="P273" s="1182"/>
      <c r="Q273" s="1182"/>
      <c r="R273" s="534">
        <f t="shared" ref="R273" ca="1" si="344">IF(OR(EXACT(H273,""),EXACT(B273,""),EXACT(F274,""),EXACT(H274,""),EXACT(J274,""),EXACT(L274,""),EXACT(N274,""),EXACT(F273,""),EXACT(J273,""),EXACT(M273,""),EXACT(N273,""),EXACT(O273,""),EXACT(P273,"")),0,IF(OR(EXACT(P274,"مقاله پر استناد"),EXACT(P274,"مقاله داغ"),EXACT(P274,"مستخرج از برنامه تحقيقاتي ملي معطوف به رفع مشكلات كشور")),(1.5*(F274*N274*(IF(EXACT(J274,"نفر اول"),INDIRECT(CONCATENATE("'Data Base'!$d",H274)),INDIRECT(CONCATENATE("'Data Base'!$e",H274))))*((100-L274)/100))),IF(EXACT(P274,"Short Article"),(0.5*(F274*N274*(IF(EXACT(J274,"نفر اول"),INDIRECT(CONCATENATE("'Data Base'!$D",H274)),INDIRECT(CONCATENATE("'Data Base'!$E",H274))))*((100-L274)/100))),IF(EXACT(P274,"چاپ شده در نشريات بسيار پر استناد Nature و Science"),(2*(F274*N274*(IF(EXACT(J274,"نفر اول"),INDIRECT(CONCATENATE("'Data Base'!$D",H274)),INDIRECT(CONCATENATE("'Data Base'!$E",H274))))*((100-L274)/100))),IF(OR(EXACT(P274,"مستخرج از طرح پژوهشي محرمانه"),EXACT(P274,"مشترك با اساتيد دانشگاه خارج از كشور")),(1.2*(F274*N274*(IF(EXACT(J274,"نفر اول"),INDIRECT(CONCATENATE("'Data Base'!$D",H274)),INDIRECT(CONCATENATE("'Data Base'!$E",H274))))*((100-L274)/100))),(F274*N274*(IF(EXACT(J274,"نفر اول"),INDIRECT(CONCATENATE("'Data Base'!$d",H274)),INDIRECT(CONCATENATE("'Data Base'!$e",H274))))*((100-L274)/100)))))))</f>
        <v>0</v>
      </c>
      <c r="S273" s="535">
        <f t="shared" ref="S273" ca="1" si="345">IF(OR(EXACT(H273,""),EXACT(B273,""),EXACT(F275,""),EXACT(H275,""),EXACT(J275,""),EXACT(L275,""),EXACT(N275,""),EXACT(F273,""),EXACT(J273,""),EXACT(M273,""),EXACT(N273,""),EXACT(O273,""),EXACT(P273,"")),0,IF(OR(EXACT(P275,"مقاله پر استناد"),EXACT(P275,"مقاله داغ"),EXACT(P275,"مستخرج از برنامه تحقيقاتي ملي معطوف به رفع مشكلات كشور")),(1.5*(F275*N275*(IF(EXACT(J275,"نفر اول"),INDIRECT(CONCATENATE("'Data Base'!$d",H275)),INDIRECT(CONCATENATE("'Data Base'!$E",H275))))*((100-L275)/100))),IF(EXACT(P275,"Short Article"),(0.5*(F275*N275*(IF(EXACT(J275,"نفر اول"),INDIRECT(CONCATENATE("'Data Base'!$D",H275)),INDIRECT(CONCATENATE("'Data Base'!$E",H275))))*((100-L275)/100))),IF(EXACT(P275,"چاپ شده در نشريات بسيار پر استناد Nature و Science"),(2*(F275*N275*(IF(EXACT(J275,"نفر اول"),INDIRECT(CONCATENATE("'Data Base'!$D",H275)),INDIRECT(CONCATENATE("'Data Base'!$E",H275))))*((100-L275)/100))),IF(OR(EXACT(P275,"مستخرج از طرح پژوهشي محرمانه"),EXACT(P275,"مشترك با اساتيد دانشگاه خارج از كشور")),(1.2*(F275*N275*(IF(EXACT(J275,"نفر اول"),INDIRECT(CONCATENATE("'Data Base'!$D",H275)),INDIRECT(CONCATENATE("'Data Base'!$E",H275))))*((100-L275)/100))),(F275*N275*(IF(EXACT(J275,"نفر اول"),INDIRECT(CONCATENATE("'Data Base'!$D",H275)),INDIRECT(CONCATENATE("'Data Base'!$E",H275))))*((100-L275)/100)))))))</f>
        <v>0</v>
      </c>
      <c r="T273" s="147"/>
      <c r="U273" s="1414"/>
      <c r="Z273" s="19">
        <f>SUM(Z270,AA273)</f>
        <v>0</v>
      </c>
      <c r="AA273" s="19">
        <f>IF(OR(OR(B273="",F273="",H273="",J273="",P273=""),AND(M273="",O273="")),0,1)</f>
        <v>0</v>
      </c>
      <c r="AB273" s="19">
        <f t="shared" ref="AB273" ca="1" si="346">IF(AND(AA273=1,S273&gt;0),1,0)</f>
        <v>0</v>
      </c>
      <c r="AC273" s="19">
        <f t="shared" ref="AC273" ca="1" si="347">IF(AND(AA273=1,S273&lt;1),1,0)</f>
        <v>0</v>
      </c>
      <c r="AD273" s="19">
        <f ca="1">IF(AND(AA273=1,S273&gt;=1,AJ273=1),1,0)</f>
        <v>0</v>
      </c>
      <c r="AE273" s="19">
        <f ca="1">IF(AD273=1,S273,0)</f>
        <v>0</v>
      </c>
      <c r="AF273" s="19">
        <f ca="1">IF(AND(AA273=1,S273&gt;=1,AJ273=1,AR275=1),1,0)</f>
        <v>0</v>
      </c>
      <c r="AG273" s="19">
        <f ca="1">IF(AF273=1,S273,0)</f>
        <v>0</v>
      </c>
      <c r="AH273" s="19">
        <f>IF(OR(EXACT(H273,"JCR-Q1"),EXACT(H273,"JCR-Q2")),(1),(0))</f>
        <v>0</v>
      </c>
      <c r="AI273" s="19">
        <f>IF(OR(EXACT(H273,"JCR-Q1"),EXACT(H273,"JCR-Q2"),EXACT(H273,"JCR-Q3")),(1),(0))</f>
        <v>0</v>
      </c>
      <c r="AJ273" s="19">
        <f>IF(OR(EXACT(H273,"JCR-Q1"),EXACT(H273,"JCR-Q2"),EXACT(H273,"JCR-Q3"),EXACT(H273,"JCR-Q4")),(1),(0))</f>
        <v>0</v>
      </c>
      <c r="AK273" s="19">
        <f>IF(OR(EXACT(H273,"JCR-Q1"),EXACT(H273,"JCR-Q2"),EXACT(H273,"JCR-Q3"),EXACT(H273,"JCR-Q4"),EXACT(H273,"WOS")),(1),(0))</f>
        <v>0</v>
      </c>
      <c r="AL273" s="19">
        <f>IF(OR(EXACT(H273,"JCR-Q1"),EXACT(H273,"JCR-Q2"),EXACT(H273,"JCR-Q3"),EXACT(H273,"JCR-Q4"),EXACT(H273,"WOS"),EXACT(H273,"Scopus")),(1),(0))</f>
        <v>0</v>
      </c>
      <c r="AM273" s="19">
        <f>IF(OR(EXACT(H273,'Data Base'!$B$21),EXACT(H273,'Data Base'!$B$22)),(1),(0))</f>
        <v>0</v>
      </c>
    </row>
    <row r="274" spans="1:83" ht="20.25" customHeight="1">
      <c r="A274" s="1416" t="s">
        <v>29</v>
      </c>
      <c r="B274" s="1417"/>
      <c r="C274" s="1417"/>
      <c r="D274" s="1418"/>
      <c r="E274" s="514" t="s">
        <v>1001</v>
      </c>
      <c r="F274" s="515"/>
      <c r="G274" s="516" t="s">
        <v>801</v>
      </c>
      <c r="H274" s="517"/>
      <c r="I274" s="516" t="s">
        <v>1002</v>
      </c>
      <c r="J274" s="518"/>
      <c r="K274" s="516" t="s">
        <v>1003</v>
      </c>
      <c r="L274" s="519"/>
      <c r="M274" s="516" t="s">
        <v>1004</v>
      </c>
      <c r="N274" s="520"/>
      <c r="O274" s="1266" t="s">
        <v>55</v>
      </c>
      <c r="P274" s="1419"/>
      <c r="Q274" s="1419"/>
      <c r="R274" s="1419"/>
      <c r="S274" s="1419"/>
      <c r="T274" s="1419"/>
      <c r="U274" s="1415"/>
      <c r="AN274" s="19">
        <f>IF(AND(AA273=1,EXACT(J274,"نفر اول")),(1),(0))</f>
        <v>0</v>
      </c>
      <c r="AO274" s="19">
        <f>IF(AN274=1,R273,0)</f>
        <v>0</v>
      </c>
      <c r="AP274" s="19">
        <f>IF(AND(AA273=1,EXACT(J274,"همكار")),(1),(0))</f>
        <v>0</v>
      </c>
      <c r="AQ274" s="19">
        <f>IF(AP274=1,R273,0)</f>
        <v>0</v>
      </c>
      <c r="AV274" s="19">
        <f>IF((AH273=1),R273,0)</f>
        <v>0</v>
      </c>
      <c r="AW274" s="19">
        <f>IF(AND(EXACT(AN274,"1"),EXACT(AH273,"1")),(1),(0))</f>
        <v>0</v>
      </c>
      <c r="AX274" s="19">
        <f>IF((AW274=1),AV274,0)</f>
        <v>0</v>
      </c>
      <c r="BB274" s="19">
        <f>IF((AI273=1),R273,0)</f>
        <v>0</v>
      </c>
      <c r="BC274" s="19">
        <f>IF(AND(EXACT(AI273,"1"),EXACT(AN274,"1")),(1),(0))</f>
        <v>0</v>
      </c>
      <c r="BD274" s="19">
        <f>IF((BC274=1),BB274,0)</f>
        <v>0</v>
      </c>
      <c r="BH274" s="19">
        <f>IF((AJ273=1),R273,0)</f>
        <v>0</v>
      </c>
      <c r="BI274" s="19">
        <f>IF(AND(EXACT(AJ273,"1"),EXACT(AN274,"1")),(1),(0))</f>
        <v>0</v>
      </c>
      <c r="BJ274" s="19">
        <f>IF((BI274=1),BH274,0)</f>
        <v>0</v>
      </c>
      <c r="BN274" s="19">
        <f>IF((AK273=1),R273,0)</f>
        <v>0</v>
      </c>
      <c r="BO274" s="19">
        <f>IF(AND(EXACT(AK273,"1"),EXACT(AN274,"1")),(1),(0))</f>
        <v>0</v>
      </c>
      <c r="BP274" s="19">
        <f>IF((BO274=1),BN274,0)</f>
        <v>0</v>
      </c>
      <c r="BT274" s="19">
        <f>IF((AL273=1),R273,0)</f>
        <v>0</v>
      </c>
      <c r="BU274" s="19">
        <f>IF(AND(EXACT(AN274,"1"),EXACT(AL273,"1")),(1),(0))</f>
        <v>0</v>
      </c>
      <c r="BV274" s="19">
        <f>IF((BU274=1),BT274,0)</f>
        <v>0</v>
      </c>
      <c r="BZ274" s="19">
        <f>IF((AM273=1),R273,0)</f>
        <v>0</v>
      </c>
      <c r="CA274" s="19">
        <f>IF(AND(EXACT(AM273,"1"),EXACT(AN274,"1")),(1),(0))</f>
        <v>0</v>
      </c>
      <c r="CB274" s="19">
        <f>IF((CA274=1),BZ274,0)</f>
        <v>0</v>
      </c>
    </row>
    <row r="275" spans="1:83" ht="20.25">
      <c r="A275" s="1420" t="s">
        <v>30</v>
      </c>
      <c r="B275" s="1421"/>
      <c r="C275" s="1421"/>
      <c r="D275" s="1422"/>
      <c r="E275" s="536" t="s">
        <v>1001</v>
      </c>
      <c r="F275" s="537"/>
      <c r="G275" s="538" t="s">
        <v>801</v>
      </c>
      <c r="H275" s="539"/>
      <c r="I275" s="538" t="s">
        <v>1002</v>
      </c>
      <c r="J275" s="525"/>
      <c r="K275" s="538" t="s">
        <v>1003</v>
      </c>
      <c r="L275" s="540"/>
      <c r="M275" s="538" t="s">
        <v>1004</v>
      </c>
      <c r="N275" s="541"/>
      <c r="O275" s="1266"/>
      <c r="P275" s="1423"/>
      <c r="Q275" s="1423"/>
      <c r="R275" s="1423"/>
      <c r="S275" s="1423"/>
      <c r="T275" s="1423"/>
      <c r="U275" s="1415"/>
      <c r="AR275" s="19">
        <f>IF(AND(AA273=1,EXACT(J275,"نفر اول")),(1),(0))</f>
        <v>0</v>
      </c>
      <c r="AS275" s="19">
        <f>IF(AR275=1,S273,0)</f>
        <v>0</v>
      </c>
      <c r="AT275" s="19">
        <f>IF(AND(AA273=1,EXACT(J275,"همكار")),(1),(0))</f>
        <v>0</v>
      </c>
      <c r="AU275" s="19">
        <f>IF(AT275=1,S273,0)</f>
        <v>0</v>
      </c>
      <c r="AY275" s="19">
        <f>IF((AH273=1),S273,0)</f>
        <v>0</v>
      </c>
      <c r="AZ275" s="19">
        <f>IF(AND(EXACT(AR275,"1"),EXACT(AH273,"1")),(1),(0))</f>
        <v>0</v>
      </c>
      <c r="BA275" s="19">
        <f>IF((AZ275=1),AY275,0)</f>
        <v>0</v>
      </c>
      <c r="BE275" s="19">
        <f>IF((AI273=1),S273,0)</f>
        <v>0</v>
      </c>
      <c r="BF275" s="19">
        <f>IF(AND(EXACT(AI273,"1"),EXACT(AR275,"1")),(1),(0))</f>
        <v>0</v>
      </c>
      <c r="BG275" s="19">
        <f>IF((BF275=1),BE275,0)</f>
        <v>0</v>
      </c>
      <c r="BK275" s="19">
        <f>IF((AJ273=1),S273,0)</f>
        <v>0</v>
      </c>
      <c r="BL275" s="19">
        <f>IF(AND(EXACT(AJ273,"1"),EXACT(AR275,"1")),(1),(0))</f>
        <v>0</v>
      </c>
      <c r="BM275" s="19">
        <f>IF((BL275=1),BK275,0)</f>
        <v>0</v>
      </c>
      <c r="BQ275" s="19">
        <f>IF((AJ273=1),S273,0)</f>
        <v>0</v>
      </c>
      <c r="BR275" s="19">
        <f>IF(AND(EXACT(AJ273,"1"),EXACT(AR275,"1")),(1),(0))</f>
        <v>0</v>
      </c>
      <c r="BS275" s="19">
        <f>IF((BL275=1),BK275,0)</f>
        <v>0</v>
      </c>
      <c r="BW275" s="19">
        <f>IF((AL273=1),S273,0)</f>
        <v>0</v>
      </c>
      <c r="BX275" s="19">
        <f>IF(AND(EXACT(AL273,"1"),EXACT(AR275,"1")),(1),(0))</f>
        <v>0</v>
      </c>
      <c r="BY275" s="19">
        <f>IF((BX275=1),BW275,0)</f>
        <v>0</v>
      </c>
      <c r="CC275" s="19">
        <f>IF((AM273=1),R273,0)</f>
        <v>0</v>
      </c>
      <c r="CD275" s="19">
        <f>IF(AND(EXACT(AM273,"1"),EXACT(AR275,"1")),(1),(0))</f>
        <v>0</v>
      </c>
      <c r="CE275" s="19">
        <f>IF((CD275=1),CC275,0)</f>
        <v>0</v>
      </c>
    </row>
    <row r="276" spans="1:83" ht="20.25">
      <c r="A276" s="12">
        <f>IF(AA276=0,0,IF(AA273=0,Z276,SUM(A273,AA276)))</f>
        <v>0</v>
      </c>
      <c r="B276" s="1157"/>
      <c r="C276" s="1157"/>
      <c r="D276" s="1157"/>
      <c r="E276" s="1182"/>
      <c r="F276" s="1424"/>
      <c r="G276" s="1424"/>
      <c r="H276" s="527"/>
      <c r="I276" s="528"/>
      <c r="J276" s="529"/>
      <c r="K276" s="530"/>
      <c r="L276" s="531"/>
      <c r="M276" s="532"/>
      <c r="N276" s="533"/>
      <c r="O276" s="532"/>
      <c r="P276" s="1182"/>
      <c r="Q276" s="1182"/>
      <c r="R276" s="534">
        <f t="shared" ref="R276" ca="1" si="348">IF(OR(EXACT(H276,""),EXACT(B276,""),EXACT(F277,""),EXACT(H277,""),EXACT(J277,""),EXACT(L277,""),EXACT(N277,""),EXACT(F276,""),EXACT(J276,""),EXACT(M276,""),EXACT(N276,""),EXACT(O276,""),EXACT(P276,"")),0,IF(OR(EXACT(P277,"مقاله پر استناد"),EXACT(P277,"مقاله داغ"),EXACT(P277,"مستخرج از برنامه تحقيقاتي ملي معطوف به رفع مشكلات كشور")),(1.5*(F277*N277*(IF(EXACT(J277,"نفر اول"),INDIRECT(CONCATENATE("'Data Base'!$d",H277)),INDIRECT(CONCATENATE("'Data Base'!$e",H277))))*((100-L277)/100))),IF(EXACT(P277,"Short Article"),(0.5*(F277*N277*(IF(EXACT(J277,"نفر اول"),INDIRECT(CONCATENATE("'Data Base'!$D",H277)),INDIRECT(CONCATENATE("'Data Base'!$E",H277))))*((100-L277)/100))),IF(EXACT(P277,"چاپ شده در نشريات بسيار پر استناد Nature و Science"),(2*(F277*N277*(IF(EXACT(J277,"نفر اول"),INDIRECT(CONCATENATE("'Data Base'!$D",H277)),INDIRECT(CONCATENATE("'Data Base'!$E",H277))))*((100-L277)/100))),IF(OR(EXACT(P277,"مستخرج از طرح پژوهشي محرمانه"),EXACT(P277,"مشترك با اساتيد دانشگاه خارج از كشور")),(1.2*(F277*N277*(IF(EXACT(J277,"نفر اول"),INDIRECT(CONCATENATE("'Data Base'!$D",H277)),INDIRECT(CONCATENATE("'Data Base'!$E",H277))))*((100-L277)/100))),(F277*N277*(IF(EXACT(J277,"نفر اول"),INDIRECT(CONCATENATE("'Data Base'!$d",H277)),INDIRECT(CONCATENATE("'Data Base'!$e",H277))))*((100-L277)/100)))))))</f>
        <v>0</v>
      </c>
      <c r="S276" s="535">
        <f t="shared" ref="S276" ca="1" si="349">IF(OR(EXACT(H276,""),EXACT(B276,""),EXACT(F278,""),EXACT(H278,""),EXACT(J278,""),EXACT(L278,""),EXACT(N278,""),EXACT(F276,""),EXACT(J276,""),EXACT(M276,""),EXACT(N276,""),EXACT(O276,""),EXACT(P276,"")),0,IF(OR(EXACT(P278,"مقاله پر استناد"),EXACT(P278,"مقاله داغ"),EXACT(P278,"مستخرج از برنامه تحقيقاتي ملي معطوف به رفع مشكلات كشور")),(1.5*(F278*N278*(IF(EXACT(J278,"نفر اول"),INDIRECT(CONCATENATE("'Data Base'!$d",H278)),INDIRECT(CONCATENATE("'Data Base'!$E",H278))))*((100-L278)/100))),IF(EXACT(P278,"Short Article"),(0.5*(F278*N278*(IF(EXACT(J278,"نفر اول"),INDIRECT(CONCATENATE("'Data Base'!$D",H278)),INDIRECT(CONCATENATE("'Data Base'!$E",H278))))*((100-L278)/100))),IF(EXACT(P278,"چاپ شده در نشريات بسيار پر استناد Nature و Science"),(2*(F278*N278*(IF(EXACT(J278,"نفر اول"),INDIRECT(CONCATENATE("'Data Base'!$D",H278)),INDIRECT(CONCATENATE("'Data Base'!$E",H278))))*((100-L278)/100))),IF(OR(EXACT(P278,"مستخرج از طرح پژوهشي محرمانه"),EXACT(P278,"مشترك با اساتيد دانشگاه خارج از كشور")),(1.2*(F278*N278*(IF(EXACT(J278,"نفر اول"),INDIRECT(CONCATENATE("'Data Base'!$D",H278)),INDIRECT(CONCATENATE("'Data Base'!$E",H278))))*((100-L278)/100))),(F278*N278*(IF(EXACT(J278,"نفر اول"),INDIRECT(CONCATENATE("'Data Base'!$D",H278)),INDIRECT(CONCATENATE("'Data Base'!$E",H278))))*((100-L278)/100)))))))</f>
        <v>0</v>
      </c>
      <c r="T276" s="147"/>
      <c r="U276" s="1414"/>
      <c r="Z276" s="19">
        <f>SUM(Z273,AA276)</f>
        <v>0</v>
      </c>
      <c r="AA276" s="19">
        <f>IF(OR(OR(B276="",F276="",H276="",J276="",P276=""),AND(M276="",O276="")),0,1)</f>
        <v>0</v>
      </c>
      <c r="AB276" s="19">
        <f t="shared" ref="AB276" ca="1" si="350">IF(AND(AA276=1,S276&gt;0),1,0)</f>
        <v>0</v>
      </c>
      <c r="AC276" s="19">
        <f t="shared" ref="AC276" ca="1" si="351">IF(AND(AA276=1,S276&lt;1),1,0)</f>
        <v>0</v>
      </c>
      <c r="AD276" s="19">
        <f ca="1">IF(AND(AA276=1,S276&gt;=1,AJ276=1),1,0)</f>
        <v>0</v>
      </c>
      <c r="AE276" s="19">
        <f ca="1">IF(AD276=1,S276,0)</f>
        <v>0</v>
      </c>
      <c r="AF276" s="19">
        <f ca="1">IF(AND(AA276=1,S276&gt;=1,AJ276=1,AR278=1),1,0)</f>
        <v>0</v>
      </c>
      <c r="AG276" s="19">
        <f ca="1">IF(AF276=1,S276,0)</f>
        <v>0</v>
      </c>
      <c r="AH276" s="19">
        <f>IF(OR(EXACT(H276,"JCR-Q1"),EXACT(H276,"JCR-Q2")),(1),(0))</f>
        <v>0</v>
      </c>
      <c r="AI276" s="19">
        <f>IF(OR(EXACT(H276,"JCR-Q1"),EXACT(H276,"JCR-Q2"),EXACT(H276,"JCR-Q3")),(1),(0))</f>
        <v>0</v>
      </c>
      <c r="AJ276" s="19">
        <f>IF(OR(EXACT(H276,"JCR-Q1"),EXACT(H276,"JCR-Q2"),EXACT(H276,"JCR-Q3"),EXACT(H276,"JCR-Q4")),(1),(0))</f>
        <v>0</v>
      </c>
      <c r="AK276" s="19">
        <f>IF(OR(EXACT(H276,"JCR-Q1"),EXACT(H276,"JCR-Q2"),EXACT(H276,"JCR-Q3"),EXACT(H276,"JCR-Q4"),EXACT(H276,"WOS")),(1),(0))</f>
        <v>0</v>
      </c>
      <c r="AL276" s="19">
        <f>IF(OR(EXACT(H276,"JCR-Q1"),EXACT(H276,"JCR-Q2"),EXACT(H276,"JCR-Q3"),EXACT(H276,"JCR-Q4"),EXACT(H276,"WOS"),EXACT(H276,"Scopus")),(1),(0))</f>
        <v>0</v>
      </c>
      <c r="AM276" s="19">
        <f>IF(OR(EXACT(H276,'Data Base'!$B$21),EXACT(H276,'Data Base'!$B$22)),(1),(0))</f>
        <v>0</v>
      </c>
    </row>
    <row r="277" spans="1:83" ht="20.25" customHeight="1">
      <c r="A277" s="1416" t="s">
        <v>29</v>
      </c>
      <c r="B277" s="1417"/>
      <c r="C277" s="1417"/>
      <c r="D277" s="1418"/>
      <c r="E277" s="514" t="s">
        <v>1001</v>
      </c>
      <c r="F277" s="515"/>
      <c r="G277" s="516" t="s">
        <v>801</v>
      </c>
      <c r="H277" s="517"/>
      <c r="I277" s="516" t="s">
        <v>1002</v>
      </c>
      <c r="J277" s="518"/>
      <c r="K277" s="516" t="s">
        <v>1003</v>
      </c>
      <c r="L277" s="519"/>
      <c r="M277" s="516" t="s">
        <v>1004</v>
      </c>
      <c r="N277" s="520"/>
      <c r="O277" s="1266" t="s">
        <v>55</v>
      </c>
      <c r="P277" s="1419"/>
      <c r="Q277" s="1419"/>
      <c r="R277" s="1419"/>
      <c r="S277" s="1419"/>
      <c r="T277" s="1419"/>
      <c r="U277" s="1415"/>
      <c r="AN277" s="19">
        <f>IF(AND(AA276=1,EXACT(J277,"نفر اول")),(1),(0))</f>
        <v>0</v>
      </c>
      <c r="AO277" s="19">
        <f>IF(AN277=1,R276,0)</f>
        <v>0</v>
      </c>
      <c r="AP277" s="19">
        <f>IF(AND(AA276=1,EXACT(J277,"همكار")),(1),(0))</f>
        <v>0</v>
      </c>
      <c r="AQ277" s="19">
        <f>IF(AP277=1,R276,0)</f>
        <v>0</v>
      </c>
      <c r="AV277" s="19">
        <f>IF((AH276=1),R276,0)</f>
        <v>0</v>
      </c>
      <c r="AW277" s="19">
        <f>IF(AND(EXACT(AN277,"1"),EXACT(AH276,"1")),(1),(0))</f>
        <v>0</v>
      </c>
      <c r="AX277" s="19">
        <f>IF((AW277=1),AV277,0)</f>
        <v>0</v>
      </c>
      <c r="BB277" s="19">
        <f>IF((AI276=1),R276,0)</f>
        <v>0</v>
      </c>
      <c r="BC277" s="19">
        <f>IF(AND(EXACT(AI276,"1"),EXACT(AN277,"1")),(1),(0))</f>
        <v>0</v>
      </c>
      <c r="BD277" s="19">
        <f>IF((BC277=1),BB277,0)</f>
        <v>0</v>
      </c>
      <c r="BH277" s="19">
        <f>IF((AJ276=1),R276,0)</f>
        <v>0</v>
      </c>
      <c r="BI277" s="19">
        <f>IF(AND(EXACT(AJ276,"1"),EXACT(AN277,"1")),(1),(0))</f>
        <v>0</v>
      </c>
      <c r="BJ277" s="19">
        <f>IF((BI277=1),BH277,0)</f>
        <v>0</v>
      </c>
      <c r="BN277" s="19">
        <f>IF((AK276=1),R276,0)</f>
        <v>0</v>
      </c>
      <c r="BO277" s="19">
        <f>IF(AND(EXACT(AK276,"1"),EXACT(AN277,"1")),(1),(0))</f>
        <v>0</v>
      </c>
      <c r="BP277" s="19">
        <f>IF((BO277=1),BN277,0)</f>
        <v>0</v>
      </c>
      <c r="BT277" s="19">
        <f>IF((AL276=1),R276,0)</f>
        <v>0</v>
      </c>
      <c r="BU277" s="19">
        <f>IF(AND(EXACT(AN277,"1"),EXACT(AL276,"1")),(1),(0))</f>
        <v>0</v>
      </c>
      <c r="BV277" s="19">
        <f>IF((BU277=1),BT277,0)</f>
        <v>0</v>
      </c>
      <c r="BZ277" s="19">
        <f>IF((AM276=1),R276,0)</f>
        <v>0</v>
      </c>
      <c r="CA277" s="19">
        <f>IF(AND(EXACT(AM276,"1"),EXACT(AN277,"1")),(1),(0))</f>
        <v>0</v>
      </c>
      <c r="CB277" s="19">
        <f>IF((CA277=1),BZ277,0)</f>
        <v>0</v>
      </c>
    </row>
    <row r="278" spans="1:83" ht="20.25">
      <c r="A278" s="1420" t="s">
        <v>30</v>
      </c>
      <c r="B278" s="1421"/>
      <c r="C278" s="1421"/>
      <c r="D278" s="1422"/>
      <c r="E278" s="536" t="s">
        <v>1001</v>
      </c>
      <c r="F278" s="537"/>
      <c r="G278" s="538" t="s">
        <v>801</v>
      </c>
      <c r="H278" s="539"/>
      <c r="I278" s="538" t="s">
        <v>1002</v>
      </c>
      <c r="J278" s="525"/>
      <c r="K278" s="538" t="s">
        <v>1003</v>
      </c>
      <c r="L278" s="540"/>
      <c r="M278" s="538" t="s">
        <v>1004</v>
      </c>
      <c r="N278" s="541"/>
      <c r="O278" s="1266"/>
      <c r="P278" s="1423"/>
      <c r="Q278" s="1423"/>
      <c r="R278" s="1423"/>
      <c r="S278" s="1423"/>
      <c r="T278" s="1423"/>
      <c r="U278" s="1415"/>
      <c r="AR278" s="19">
        <f>IF(AND(AA276=1,EXACT(J278,"نفر اول")),(1),(0))</f>
        <v>0</v>
      </c>
      <c r="AS278" s="19">
        <f>IF(AR278=1,S276,0)</f>
        <v>0</v>
      </c>
      <c r="AT278" s="19">
        <f>IF(AND(AA276=1,EXACT(J278,"همكار")),(1),(0))</f>
        <v>0</v>
      </c>
      <c r="AU278" s="19">
        <f>IF(AT278=1,S276,0)</f>
        <v>0</v>
      </c>
      <c r="AY278" s="19">
        <f>IF((AH276=1),S276,0)</f>
        <v>0</v>
      </c>
      <c r="AZ278" s="19">
        <f>IF(AND(EXACT(AR278,"1"),EXACT(AH276,"1")),(1),(0))</f>
        <v>0</v>
      </c>
      <c r="BA278" s="19">
        <f>IF((AZ278=1),AY278,0)</f>
        <v>0</v>
      </c>
      <c r="BE278" s="19">
        <f>IF((AI276=1),S276,0)</f>
        <v>0</v>
      </c>
      <c r="BF278" s="19">
        <f>IF(AND(EXACT(AI276,"1"),EXACT(AR278,"1")),(1),(0))</f>
        <v>0</v>
      </c>
      <c r="BG278" s="19">
        <f>IF((BF278=1),BE278,0)</f>
        <v>0</v>
      </c>
      <c r="BK278" s="19">
        <f>IF((AJ276=1),S276,0)</f>
        <v>0</v>
      </c>
      <c r="BL278" s="19">
        <f>IF(AND(EXACT(AJ276,"1"),EXACT(AR278,"1")),(1),(0))</f>
        <v>0</v>
      </c>
      <c r="BM278" s="19">
        <f>IF((BL278=1),BK278,0)</f>
        <v>0</v>
      </c>
      <c r="BQ278" s="19">
        <f>IF((AJ276=1),S276,0)</f>
        <v>0</v>
      </c>
      <c r="BR278" s="19">
        <f>IF(AND(EXACT(AJ276,"1"),EXACT(AR278,"1")),(1),(0))</f>
        <v>0</v>
      </c>
      <c r="BS278" s="19">
        <f>IF((BL278=1),BK278,0)</f>
        <v>0</v>
      </c>
      <c r="BW278" s="19">
        <f>IF((AL276=1),S276,0)</f>
        <v>0</v>
      </c>
      <c r="BX278" s="19">
        <f>IF(AND(EXACT(AL276,"1"),EXACT(AR278,"1")),(1),(0))</f>
        <v>0</v>
      </c>
      <c r="BY278" s="19">
        <f>IF((BX278=1),BW278,0)</f>
        <v>0</v>
      </c>
      <c r="CC278" s="19">
        <f>IF((AM276=1),R276,0)</f>
        <v>0</v>
      </c>
      <c r="CD278" s="19">
        <f>IF(AND(EXACT(AM276,"1"),EXACT(AR278,"1")),(1),(0))</f>
        <v>0</v>
      </c>
      <c r="CE278" s="19">
        <f>IF((CD278=1),CC278,0)</f>
        <v>0</v>
      </c>
    </row>
    <row r="279" spans="1:83" ht="20.25">
      <c r="A279" s="12">
        <f>IF(AA279=0,0,IF(AA276=0,Z279,SUM(A276,AA279)))</f>
        <v>0</v>
      </c>
      <c r="B279" s="1157"/>
      <c r="C279" s="1157"/>
      <c r="D279" s="1157"/>
      <c r="E279" s="1182"/>
      <c r="F279" s="1424"/>
      <c r="G279" s="1424"/>
      <c r="H279" s="527"/>
      <c r="I279" s="528"/>
      <c r="J279" s="529"/>
      <c r="K279" s="530"/>
      <c r="L279" s="531"/>
      <c r="M279" s="532"/>
      <c r="N279" s="533"/>
      <c r="O279" s="532"/>
      <c r="P279" s="1182"/>
      <c r="Q279" s="1182"/>
      <c r="R279" s="534">
        <f t="shared" ref="R279" ca="1" si="352">IF(OR(EXACT(H279,""),EXACT(B279,""),EXACT(F280,""),EXACT(H280,""),EXACT(J280,""),EXACT(L280,""),EXACT(N280,""),EXACT(F279,""),EXACT(J279,""),EXACT(M279,""),EXACT(N279,""),EXACT(O279,""),EXACT(P279,"")),0,IF(OR(EXACT(P280,"مقاله پر استناد"),EXACT(P280,"مقاله داغ"),EXACT(P280,"مستخرج از برنامه تحقيقاتي ملي معطوف به رفع مشكلات كشور")),(1.5*(F280*N280*(IF(EXACT(J280,"نفر اول"),INDIRECT(CONCATENATE("'Data Base'!$d",H280)),INDIRECT(CONCATENATE("'Data Base'!$e",H280))))*((100-L280)/100))),IF(EXACT(P280,"Short Article"),(0.5*(F280*N280*(IF(EXACT(J280,"نفر اول"),INDIRECT(CONCATENATE("'Data Base'!$D",H280)),INDIRECT(CONCATENATE("'Data Base'!$E",H280))))*((100-L280)/100))),IF(EXACT(P280,"چاپ شده در نشريات بسيار پر استناد Nature و Science"),(2*(F280*N280*(IF(EXACT(J280,"نفر اول"),INDIRECT(CONCATENATE("'Data Base'!$D",H280)),INDIRECT(CONCATENATE("'Data Base'!$E",H280))))*((100-L280)/100))),IF(OR(EXACT(P280,"مستخرج از طرح پژوهشي محرمانه"),EXACT(P280,"مشترك با اساتيد دانشگاه خارج از كشور")),(1.2*(F280*N280*(IF(EXACT(J280,"نفر اول"),INDIRECT(CONCATENATE("'Data Base'!$D",H280)),INDIRECT(CONCATENATE("'Data Base'!$E",H280))))*((100-L280)/100))),(F280*N280*(IF(EXACT(J280,"نفر اول"),INDIRECT(CONCATENATE("'Data Base'!$d",H280)),INDIRECT(CONCATENATE("'Data Base'!$e",H280))))*((100-L280)/100)))))))</f>
        <v>0</v>
      </c>
      <c r="S279" s="535">
        <f t="shared" ref="S279" ca="1" si="353">IF(OR(EXACT(H279,""),EXACT(B279,""),EXACT(F281,""),EXACT(H281,""),EXACT(J281,""),EXACT(L281,""),EXACT(N281,""),EXACT(F279,""),EXACT(J279,""),EXACT(M279,""),EXACT(N279,""),EXACT(O279,""),EXACT(P279,"")),0,IF(OR(EXACT(P281,"مقاله پر استناد"),EXACT(P281,"مقاله داغ"),EXACT(P281,"مستخرج از برنامه تحقيقاتي ملي معطوف به رفع مشكلات كشور")),(1.5*(F281*N281*(IF(EXACT(J281,"نفر اول"),INDIRECT(CONCATENATE("'Data Base'!$d",H281)),INDIRECT(CONCATENATE("'Data Base'!$E",H281))))*((100-L281)/100))),IF(EXACT(P281,"Short Article"),(0.5*(F281*N281*(IF(EXACT(J281,"نفر اول"),INDIRECT(CONCATENATE("'Data Base'!$D",H281)),INDIRECT(CONCATENATE("'Data Base'!$E",H281))))*((100-L281)/100))),IF(EXACT(P281,"چاپ شده در نشريات بسيار پر استناد Nature و Science"),(2*(F281*N281*(IF(EXACT(J281,"نفر اول"),INDIRECT(CONCATENATE("'Data Base'!$D",H281)),INDIRECT(CONCATENATE("'Data Base'!$E",H281))))*((100-L281)/100))),IF(OR(EXACT(P281,"مستخرج از طرح پژوهشي محرمانه"),EXACT(P281,"مشترك با اساتيد دانشگاه خارج از كشور")),(1.2*(F281*N281*(IF(EXACT(J281,"نفر اول"),INDIRECT(CONCATENATE("'Data Base'!$D",H281)),INDIRECT(CONCATENATE("'Data Base'!$E",H281))))*((100-L281)/100))),(F281*N281*(IF(EXACT(J281,"نفر اول"),INDIRECT(CONCATENATE("'Data Base'!$D",H281)),INDIRECT(CONCATENATE("'Data Base'!$E",H281))))*((100-L281)/100)))))))</f>
        <v>0</v>
      </c>
      <c r="T279" s="147"/>
      <c r="U279" s="1414"/>
      <c r="Z279" s="19">
        <f>SUM(Z276,AA279)</f>
        <v>0</v>
      </c>
      <c r="AA279" s="19">
        <f>IF(OR(OR(B279="",F279="",H279="",J279="",P279=""),AND(M279="",O279="")),0,1)</f>
        <v>0</v>
      </c>
      <c r="AB279" s="19">
        <f t="shared" ref="AB279" ca="1" si="354">IF(AND(AA279=1,S279&gt;0),1,0)</f>
        <v>0</v>
      </c>
      <c r="AC279" s="19">
        <f t="shared" ref="AC279" ca="1" si="355">IF(AND(AA279=1,S279&lt;1),1,0)</f>
        <v>0</v>
      </c>
      <c r="AD279" s="19">
        <f ca="1">IF(AND(AA279=1,S279&gt;=1,AJ279=1),1,0)</f>
        <v>0</v>
      </c>
      <c r="AE279" s="19">
        <f ca="1">IF(AD279=1,S279,0)</f>
        <v>0</v>
      </c>
      <c r="AF279" s="19">
        <f ca="1">IF(AND(AA279=1,S279&gt;=1,AJ279=1,AR281=1),1,0)</f>
        <v>0</v>
      </c>
      <c r="AG279" s="19">
        <f ca="1">IF(AF279=1,S279,0)</f>
        <v>0</v>
      </c>
      <c r="AH279" s="19">
        <f>IF(OR(EXACT(H279,"JCR-Q1"),EXACT(H279,"JCR-Q2")),(1),(0))</f>
        <v>0</v>
      </c>
      <c r="AI279" s="19">
        <f>IF(OR(EXACT(H279,"JCR-Q1"),EXACT(H279,"JCR-Q2"),EXACT(H279,"JCR-Q3")),(1),(0))</f>
        <v>0</v>
      </c>
      <c r="AJ279" s="19">
        <f>IF(OR(EXACT(H279,"JCR-Q1"),EXACT(H279,"JCR-Q2"),EXACT(H279,"JCR-Q3"),EXACT(H279,"JCR-Q4")),(1),(0))</f>
        <v>0</v>
      </c>
      <c r="AK279" s="19">
        <f>IF(OR(EXACT(H279,"JCR-Q1"),EXACT(H279,"JCR-Q2"),EXACT(H279,"JCR-Q3"),EXACT(H279,"JCR-Q4"),EXACT(H279,"WOS")),(1),(0))</f>
        <v>0</v>
      </c>
      <c r="AL279" s="19">
        <f>IF(OR(EXACT(H279,"JCR-Q1"),EXACT(H279,"JCR-Q2"),EXACT(H279,"JCR-Q3"),EXACT(H279,"JCR-Q4"),EXACT(H279,"WOS"),EXACT(H279,"Scopus")),(1),(0))</f>
        <v>0</v>
      </c>
      <c r="AM279" s="19">
        <f>IF(OR(EXACT(H279,'Data Base'!$B$21),EXACT(H279,'Data Base'!$B$22)),(1),(0))</f>
        <v>0</v>
      </c>
    </row>
    <row r="280" spans="1:83" ht="20.25" customHeight="1">
      <c r="A280" s="1416" t="s">
        <v>29</v>
      </c>
      <c r="B280" s="1417"/>
      <c r="C280" s="1417"/>
      <c r="D280" s="1418"/>
      <c r="E280" s="514" t="s">
        <v>1001</v>
      </c>
      <c r="F280" s="515"/>
      <c r="G280" s="516" t="s">
        <v>801</v>
      </c>
      <c r="H280" s="517"/>
      <c r="I280" s="516" t="s">
        <v>1002</v>
      </c>
      <c r="J280" s="518"/>
      <c r="K280" s="516" t="s">
        <v>1003</v>
      </c>
      <c r="L280" s="519"/>
      <c r="M280" s="516" t="s">
        <v>1004</v>
      </c>
      <c r="N280" s="520"/>
      <c r="O280" s="1266" t="s">
        <v>55</v>
      </c>
      <c r="P280" s="1419"/>
      <c r="Q280" s="1419"/>
      <c r="R280" s="1419"/>
      <c r="S280" s="1419"/>
      <c r="T280" s="1419"/>
      <c r="U280" s="1415"/>
      <c r="AN280" s="19">
        <f>IF(AND(AA279=1,EXACT(J280,"نفر اول")),(1),(0))</f>
        <v>0</v>
      </c>
      <c r="AO280" s="19">
        <f>IF(AN280=1,R279,0)</f>
        <v>0</v>
      </c>
      <c r="AP280" s="19">
        <f>IF(AND(AA279=1,EXACT(J280,"همكار")),(1),(0))</f>
        <v>0</v>
      </c>
      <c r="AQ280" s="19">
        <f>IF(AP280=1,R279,0)</f>
        <v>0</v>
      </c>
      <c r="AV280" s="19">
        <f>IF((AH279=1),R279,0)</f>
        <v>0</v>
      </c>
      <c r="AW280" s="19">
        <f>IF(AND(EXACT(AN280,"1"),EXACT(AH279,"1")),(1),(0))</f>
        <v>0</v>
      </c>
      <c r="AX280" s="19">
        <f>IF((AW280=1),AV280,0)</f>
        <v>0</v>
      </c>
      <c r="BB280" s="19">
        <f>IF((AI279=1),R279,0)</f>
        <v>0</v>
      </c>
      <c r="BC280" s="19">
        <f>IF(AND(EXACT(AI279,"1"),EXACT(AN280,"1")),(1),(0))</f>
        <v>0</v>
      </c>
      <c r="BD280" s="19">
        <f>IF((BC280=1),BB280,0)</f>
        <v>0</v>
      </c>
      <c r="BH280" s="19">
        <f>IF((AJ279=1),R279,0)</f>
        <v>0</v>
      </c>
      <c r="BI280" s="19">
        <f>IF(AND(EXACT(AJ279,"1"),EXACT(AN280,"1")),(1),(0))</f>
        <v>0</v>
      </c>
      <c r="BJ280" s="19">
        <f>IF((BI280=1),BH280,0)</f>
        <v>0</v>
      </c>
      <c r="BN280" s="19">
        <f>IF((AK279=1),R279,0)</f>
        <v>0</v>
      </c>
      <c r="BO280" s="19">
        <f>IF(AND(EXACT(AK279,"1"),EXACT(AN280,"1")),(1),(0))</f>
        <v>0</v>
      </c>
      <c r="BP280" s="19">
        <f>IF((BO280=1),BN280,0)</f>
        <v>0</v>
      </c>
      <c r="BT280" s="19">
        <f>IF((AL279=1),R279,0)</f>
        <v>0</v>
      </c>
      <c r="BU280" s="19">
        <f>IF(AND(EXACT(AN280,"1"),EXACT(AL279,"1")),(1),(0))</f>
        <v>0</v>
      </c>
      <c r="BV280" s="19">
        <f>IF((BU280=1),BT280,0)</f>
        <v>0</v>
      </c>
      <c r="BZ280" s="19">
        <f>IF((AM279=1),R279,0)</f>
        <v>0</v>
      </c>
      <c r="CA280" s="19">
        <f>IF(AND(EXACT(AM279,"1"),EXACT(AN280,"1")),(1),(0))</f>
        <v>0</v>
      </c>
      <c r="CB280" s="19">
        <f>IF((CA280=1),BZ280,0)</f>
        <v>0</v>
      </c>
    </row>
    <row r="281" spans="1:83" ht="20.25">
      <c r="A281" s="1420" t="s">
        <v>30</v>
      </c>
      <c r="B281" s="1421"/>
      <c r="C281" s="1421"/>
      <c r="D281" s="1422"/>
      <c r="E281" s="536" t="s">
        <v>1001</v>
      </c>
      <c r="F281" s="537"/>
      <c r="G281" s="538" t="s">
        <v>801</v>
      </c>
      <c r="H281" s="539"/>
      <c r="I281" s="538" t="s">
        <v>1002</v>
      </c>
      <c r="J281" s="525"/>
      <c r="K281" s="538" t="s">
        <v>1003</v>
      </c>
      <c r="L281" s="540"/>
      <c r="M281" s="538" t="s">
        <v>1004</v>
      </c>
      <c r="N281" s="541"/>
      <c r="O281" s="1266"/>
      <c r="P281" s="1423"/>
      <c r="Q281" s="1423"/>
      <c r="R281" s="1423"/>
      <c r="S281" s="1423"/>
      <c r="T281" s="1423"/>
      <c r="U281" s="1415"/>
      <c r="AR281" s="19">
        <f>IF(AND(AA279=1,EXACT(J281,"نفر اول")),(1),(0))</f>
        <v>0</v>
      </c>
      <c r="AS281" s="19">
        <f>IF(AR281=1,S279,0)</f>
        <v>0</v>
      </c>
      <c r="AT281" s="19">
        <f>IF(AND(AA279=1,EXACT(J281,"همكار")),(1),(0))</f>
        <v>0</v>
      </c>
      <c r="AU281" s="19">
        <f>IF(AT281=1,S279,0)</f>
        <v>0</v>
      </c>
      <c r="AY281" s="19">
        <f>IF((AH279=1),S279,0)</f>
        <v>0</v>
      </c>
      <c r="AZ281" s="19">
        <f>IF(AND(EXACT(AR281,"1"),EXACT(AH279,"1")),(1),(0))</f>
        <v>0</v>
      </c>
      <c r="BA281" s="19">
        <f>IF((AZ281=1),AY281,0)</f>
        <v>0</v>
      </c>
      <c r="BE281" s="19">
        <f>IF((AI279=1),S279,0)</f>
        <v>0</v>
      </c>
      <c r="BF281" s="19">
        <f>IF(AND(EXACT(AI279,"1"),EXACT(AR281,"1")),(1),(0))</f>
        <v>0</v>
      </c>
      <c r="BG281" s="19">
        <f>IF((BF281=1),BE281,0)</f>
        <v>0</v>
      </c>
      <c r="BK281" s="19">
        <f>IF((AJ279=1),S279,0)</f>
        <v>0</v>
      </c>
      <c r="BL281" s="19">
        <f>IF(AND(EXACT(AJ279,"1"),EXACT(AR281,"1")),(1),(0))</f>
        <v>0</v>
      </c>
      <c r="BM281" s="19">
        <f>IF((BL281=1),BK281,0)</f>
        <v>0</v>
      </c>
      <c r="BQ281" s="19">
        <f>IF((AJ279=1),S279,0)</f>
        <v>0</v>
      </c>
      <c r="BR281" s="19">
        <f>IF(AND(EXACT(AJ279,"1"),EXACT(AR281,"1")),(1),(0))</f>
        <v>0</v>
      </c>
      <c r="BS281" s="19">
        <f>IF((BL281=1),BK281,0)</f>
        <v>0</v>
      </c>
      <c r="BW281" s="19">
        <f>IF((AL279=1),S279,0)</f>
        <v>0</v>
      </c>
      <c r="BX281" s="19">
        <f>IF(AND(EXACT(AL279,"1"),EXACT(AR281,"1")),(1),(0))</f>
        <v>0</v>
      </c>
      <c r="BY281" s="19">
        <f>IF((BX281=1),BW281,0)</f>
        <v>0</v>
      </c>
      <c r="CC281" s="19">
        <f>IF((AM279=1),R279,0)</f>
        <v>0</v>
      </c>
      <c r="CD281" s="19">
        <f>IF(AND(EXACT(AM279,"1"),EXACT(AR281,"1")),(1),(0))</f>
        <v>0</v>
      </c>
      <c r="CE281" s="19">
        <f>IF((CD281=1),CC281,0)</f>
        <v>0</v>
      </c>
    </row>
    <row r="282" spans="1:83" ht="20.25">
      <c r="A282" s="12">
        <f>IF(AA282=0,0,IF(AA279=0,Z282,SUM(A279,AA282)))</f>
        <v>0</v>
      </c>
      <c r="B282" s="1157"/>
      <c r="C282" s="1157"/>
      <c r="D282" s="1157"/>
      <c r="E282" s="1182"/>
      <c r="F282" s="1424"/>
      <c r="G282" s="1424"/>
      <c r="H282" s="527"/>
      <c r="I282" s="528"/>
      <c r="J282" s="529"/>
      <c r="K282" s="530"/>
      <c r="L282" s="531"/>
      <c r="M282" s="532"/>
      <c r="N282" s="533"/>
      <c r="O282" s="532"/>
      <c r="P282" s="1182"/>
      <c r="Q282" s="1182"/>
      <c r="R282" s="534">
        <f t="shared" ref="R282" ca="1" si="356">IF(OR(EXACT(H282,""),EXACT(B282,""),EXACT(F283,""),EXACT(H283,""),EXACT(J283,""),EXACT(L283,""),EXACT(N283,""),EXACT(F282,""),EXACT(J282,""),EXACT(M282,""),EXACT(N282,""),EXACT(O282,""),EXACT(P282,"")),0,IF(OR(EXACT(P283,"مقاله پر استناد"),EXACT(P283,"مقاله داغ"),EXACT(P283,"مستخرج از برنامه تحقيقاتي ملي معطوف به رفع مشكلات كشور")),(1.5*(F283*N283*(IF(EXACT(J283,"نفر اول"),INDIRECT(CONCATENATE("'Data Base'!$d",H283)),INDIRECT(CONCATENATE("'Data Base'!$e",H283))))*((100-L283)/100))),IF(EXACT(P283,"Short Article"),(0.5*(F283*N283*(IF(EXACT(J283,"نفر اول"),INDIRECT(CONCATENATE("'Data Base'!$D",H283)),INDIRECT(CONCATENATE("'Data Base'!$E",H283))))*((100-L283)/100))),IF(EXACT(P283,"چاپ شده در نشريات بسيار پر استناد Nature و Science"),(2*(F283*N283*(IF(EXACT(J283,"نفر اول"),INDIRECT(CONCATENATE("'Data Base'!$D",H283)),INDIRECT(CONCATENATE("'Data Base'!$E",H283))))*((100-L283)/100))),IF(OR(EXACT(P283,"مستخرج از طرح پژوهشي محرمانه"),EXACT(P283,"مشترك با اساتيد دانشگاه خارج از كشور")),(1.2*(F283*N283*(IF(EXACT(J283,"نفر اول"),INDIRECT(CONCATENATE("'Data Base'!$D",H283)),INDIRECT(CONCATENATE("'Data Base'!$E",H283))))*((100-L283)/100))),(F283*N283*(IF(EXACT(J283,"نفر اول"),INDIRECT(CONCATENATE("'Data Base'!$d",H283)),INDIRECT(CONCATENATE("'Data Base'!$e",H283))))*((100-L283)/100)))))))</f>
        <v>0</v>
      </c>
      <c r="S282" s="535">
        <f t="shared" ref="S282" ca="1" si="357">IF(OR(EXACT(H282,""),EXACT(B282,""),EXACT(F284,""),EXACT(H284,""),EXACT(J284,""),EXACT(L284,""),EXACT(N284,""),EXACT(F282,""),EXACT(J282,""),EXACT(M282,""),EXACT(N282,""),EXACT(O282,""),EXACT(P282,"")),0,IF(OR(EXACT(P284,"مقاله پر استناد"),EXACT(P284,"مقاله داغ"),EXACT(P284,"مستخرج از برنامه تحقيقاتي ملي معطوف به رفع مشكلات كشور")),(1.5*(F284*N284*(IF(EXACT(J284,"نفر اول"),INDIRECT(CONCATENATE("'Data Base'!$d",H284)),INDIRECT(CONCATENATE("'Data Base'!$E",H284))))*((100-L284)/100))),IF(EXACT(P284,"Short Article"),(0.5*(F284*N284*(IF(EXACT(J284,"نفر اول"),INDIRECT(CONCATENATE("'Data Base'!$D",H284)),INDIRECT(CONCATENATE("'Data Base'!$E",H284))))*((100-L284)/100))),IF(EXACT(P284,"چاپ شده در نشريات بسيار پر استناد Nature و Science"),(2*(F284*N284*(IF(EXACT(J284,"نفر اول"),INDIRECT(CONCATENATE("'Data Base'!$D",H284)),INDIRECT(CONCATENATE("'Data Base'!$E",H284))))*((100-L284)/100))),IF(OR(EXACT(P284,"مستخرج از طرح پژوهشي محرمانه"),EXACT(P284,"مشترك با اساتيد دانشگاه خارج از كشور")),(1.2*(F284*N284*(IF(EXACT(J284,"نفر اول"),INDIRECT(CONCATENATE("'Data Base'!$D",H284)),INDIRECT(CONCATENATE("'Data Base'!$E",H284))))*((100-L284)/100))),(F284*N284*(IF(EXACT(J284,"نفر اول"),INDIRECT(CONCATENATE("'Data Base'!$D",H284)),INDIRECT(CONCATENATE("'Data Base'!$E",H284))))*((100-L284)/100)))))))</f>
        <v>0</v>
      </c>
      <c r="T282" s="147"/>
      <c r="U282" s="1414"/>
      <c r="Z282" s="19">
        <f>SUM(Z279,AA282)</f>
        <v>0</v>
      </c>
      <c r="AA282" s="19">
        <f>IF(OR(OR(B282="",F282="",H282="",J282="",P282=""),AND(M282="",O282="")),0,1)</f>
        <v>0</v>
      </c>
      <c r="AB282" s="19">
        <f t="shared" ref="AB282" ca="1" si="358">IF(AND(AA282=1,S282&gt;0),1,0)</f>
        <v>0</v>
      </c>
      <c r="AC282" s="19">
        <f t="shared" ref="AC282" ca="1" si="359">IF(AND(AA282=1,S282&lt;1),1,0)</f>
        <v>0</v>
      </c>
      <c r="AD282" s="19">
        <f ca="1">IF(AND(AA282=1,S282&gt;=1,AJ282=1),1,0)</f>
        <v>0</v>
      </c>
      <c r="AE282" s="19">
        <f ca="1">IF(AD282=1,S282,0)</f>
        <v>0</v>
      </c>
      <c r="AF282" s="19">
        <f ca="1">IF(AND(AA282=1,S282&gt;=1,AJ282=1,AR284=1),1,0)</f>
        <v>0</v>
      </c>
      <c r="AG282" s="19">
        <f ca="1">IF(AF282=1,S282,0)</f>
        <v>0</v>
      </c>
      <c r="AH282" s="19">
        <f>IF(OR(EXACT(H282,"JCR-Q1"),EXACT(H282,"JCR-Q2")),(1),(0))</f>
        <v>0</v>
      </c>
      <c r="AI282" s="19">
        <f>IF(OR(EXACT(H282,"JCR-Q1"),EXACT(H282,"JCR-Q2"),EXACT(H282,"JCR-Q3")),(1),(0))</f>
        <v>0</v>
      </c>
      <c r="AJ282" s="19">
        <f>IF(OR(EXACT(H282,"JCR-Q1"),EXACT(H282,"JCR-Q2"),EXACT(H282,"JCR-Q3"),EXACT(H282,"JCR-Q4")),(1),(0))</f>
        <v>0</v>
      </c>
      <c r="AK282" s="19">
        <f>IF(OR(EXACT(H282,"JCR-Q1"),EXACT(H282,"JCR-Q2"),EXACT(H282,"JCR-Q3"),EXACT(H282,"JCR-Q4"),EXACT(H282,"WOS")),(1),(0))</f>
        <v>0</v>
      </c>
      <c r="AL282" s="19">
        <f>IF(OR(EXACT(H282,"JCR-Q1"),EXACT(H282,"JCR-Q2"),EXACT(H282,"JCR-Q3"),EXACT(H282,"JCR-Q4"),EXACT(H282,"WOS"),EXACT(H282,"Scopus")),(1),(0))</f>
        <v>0</v>
      </c>
      <c r="AM282" s="19">
        <f>IF(OR(EXACT(H282,'Data Base'!$B$21),EXACT(H282,'Data Base'!$B$22)),(1),(0))</f>
        <v>0</v>
      </c>
    </row>
    <row r="283" spans="1:83" ht="20.25" customHeight="1">
      <c r="A283" s="1416" t="s">
        <v>29</v>
      </c>
      <c r="B283" s="1417"/>
      <c r="C283" s="1417"/>
      <c r="D283" s="1418"/>
      <c r="E283" s="514" t="s">
        <v>1001</v>
      </c>
      <c r="F283" s="515"/>
      <c r="G283" s="516" t="s">
        <v>801</v>
      </c>
      <c r="H283" s="517"/>
      <c r="I283" s="516" t="s">
        <v>1002</v>
      </c>
      <c r="J283" s="518"/>
      <c r="K283" s="516" t="s">
        <v>1003</v>
      </c>
      <c r="L283" s="519"/>
      <c r="M283" s="516" t="s">
        <v>1004</v>
      </c>
      <c r="N283" s="520"/>
      <c r="O283" s="1266" t="s">
        <v>55</v>
      </c>
      <c r="P283" s="1419"/>
      <c r="Q283" s="1419"/>
      <c r="R283" s="1419"/>
      <c r="S283" s="1419"/>
      <c r="T283" s="1419"/>
      <c r="U283" s="1415"/>
      <c r="AN283" s="19">
        <f>IF(AND(AA282=1,EXACT(J283,"نفر اول")),(1),(0))</f>
        <v>0</v>
      </c>
      <c r="AO283" s="19">
        <f>IF(AN283=1,R282,0)</f>
        <v>0</v>
      </c>
      <c r="AP283" s="19">
        <f>IF(AND(AA282=1,EXACT(J283,"همكار")),(1),(0))</f>
        <v>0</v>
      </c>
      <c r="AQ283" s="19">
        <f>IF(AP283=1,R282,0)</f>
        <v>0</v>
      </c>
      <c r="AV283" s="19">
        <f>IF((AH282=1),R282,0)</f>
        <v>0</v>
      </c>
      <c r="AW283" s="19">
        <f>IF(AND(EXACT(AN283,"1"),EXACT(AH282,"1")),(1),(0))</f>
        <v>0</v>
      </c>
      <c r="AX283" s="19">
        <f>IF((AW283=1),AV283,0)</f>
        <v>0</v>
      </c>
      <c r="BB283" s="19">
        <f>IF((AI282=1),R282,0)</f>
        <v>0</v>
      </c>
      <c r="BC283" s="19">
        <f>IF(AND(EXACT(AI282,"1"),EXACT(AN283,"1")),(1),(0))</f>
        <v>0</v>
      </c>
      <c r="BD283" s="19">
        <f>IF((BC283=1),BB283,0)</f>
        <v>0</v>
      </c>
      <c r="BH283" s="19">
        <f>IF((AJ282=1),R282,0)</f>
        <v>0</v>
      </c>
      <c r="BI283" s="19">
        <f>IF(AND(EXACT(AJ282,"1"),EXACT(AN283,"1")),(1),(0))</f>
        <v>0</v>
      </c>
      <c r="BJ283" s="19">
        <f>IF((BI283=1),BH283,0)</f>
        <v>0</v>
      </c>
      <c r="BN283" s="19">
        <f>IF((AK282=1),R282,0)</f>
        <v>0</v>
      </c>
      <c r="BO283" s="19">
        <f>IF(AND(EXACT(AK282,"1"),EXACT(AN283,"1")),(1),(0))</f>
        <v>0</v>
      </c>
      <c r="BP283" s="19">
        <f>IF((BO283=1),BN283,0)</f>
        <v>0</v>
      </c>
      <c r="BT283" s="19">
        <f>IF((AL282=1),R282,0)</f>
        <v>0</v>
      </c>
      <c r="BU283" s="19">
        <f>IF(AND(EXACT(AN283,"1"),EXACT(AL282,"1")),(1),(0))</f>
        <v>0</v>
      </c>
      <c r="BV283" s="19">
        <f>IF((BU283=1),BT283,0)</f>
        <v>0</v>
      </c>
      <c r="BZ283" s="19">
        <f>IF((AM282=1),R282,0)</f>
        <v>0</v>
      </c>
      <c r="CA283" s="19">
        <f>IF(AND(EXACT(AM282,"1"),EXACT(AN283,"1")),(1),(0))</f>
        <v>0</v>
      </c>
      <c r="CB283" s="19">
        <f>IF((CA283=1),BZ283,0)</f>
        <v>0</v>
      </c>
    </row>
    <row r="284" spans="1:83" ht="20.25">
      <c r="A284" s="1420" t="s">
        <v>30</v>
      </c>
      <c r="B284" s="1421"/>
      <c r="C284" s="1421"/>
      <c r="D284" s="1422"/>
      <c r="E284" s="536" t="s">
        <v>1001</v>
      </c>
      <c r="F284" s="537"/>
      <c r="G284" s="538" t="s">
        <v>801</v>
      </c>
      <c r="H284" s="539"/>
      <c r="I284" s="538" t="s">
        <v>1002</v>
      </c>
      <c r="J284" s="525"/>
      <c r="K284" s="538" t="s">
        <v>1003</v>
      </c>
      <c r="L284" s="540"/>
      <c r="M284" s="538" t="s">
        <v>1004</v>
      </c>
      <c r="N284" s="541"/>
      <c r="O284" s="1266"/>
      <c r="P284" s="1423"/>
      <c r="Q284" s="1423"/>
      <c r="R284" s="1423"/>
      <c r="S284" s="1423"/>
      <c r="T284" s="1423"/>
      <c r="U284" s="1415"/>
      <c r="AR284" s="19">
        <f>IF(AND(AA282=1,EXACT(J284,"نفر اول")),(1),(0))</f>
        <v>0</v>
      </c>
      <c r="AS284" s="19">
        <f>IF(AR284=1,S282,0)</f>
        <v>0</v>
      </c>
      <c r="AT284" s="19">
        <f>IF(AND(AA282=1,EXACT(J284,"همكار")),(1),(0))</f>
        <v>0</v>
      </c>
      <c r="AU284" s="19">
        <f>IF(AT284=1,S282,0)</f>
        <v>0</v>
      </c>
      <c r="AY284" s="19">
        <f>IF((AH282=1),S282,0)</f>
        <v>0</v>
      </c>
      <c r="AZ284" s="19">
        <f>IF(AND(EXACT(AR284,"1"),EXACT(AH282,"1")),(1),(0))</f>
        <v>0</v>
      </c>
      <c r="BA284" s="19">
        <f>IF((AZ284=1),AY284,0)</f>
        <v>0</v>
      </c>
      <c r="BE284" s="19">
        <f>IF((AI282=1),S282,0)</f>
        <v>0</v>
      </c>
      <c r="BF284" s="19">
        <f>IF(AND(EXACT(AI282,"1"),EXACT(AR284,"1")),(1),(0))</f>
        <v>0</v>
      </c>
      <c r="BG284" s="19">
        <f>IF((BF284=1),BE284,0)</f>
        <v>0</v>
      </c>
      <c r="BK284" s="19">
        <f>IF((AJ282=1),S282,0)</f>
        <v>0</v>
      </c>
      <c r="BL284" s="19">
        <f>IF(AND(EXACT(AJ282,"1"),EXACT(AR284,"1")),(1),(0))</f>
        <v>0</v>
      </c>
      <c r="BM284" s="19">
        <f>IF((BL284=1),BK284,0)</f>
        <v>0</v>
      </c>
      <c r="BQ284" s="19">
        <f>IF((AJ282=1),S282,0)</f>
        <v>0</v>
      </c>
      <c r="BR284" s="19">
        <f>IF(AND(EXACT(AJ282,"1"),EXACT(AR284,"1")),(1),(0))</f>
        <v>0</v>
      </c>
      <c r="BS284" s="19">
        <f>IF((BL284=1),BK284,0)</f>
        <v>0</v>
      </c>
      <c r="BW284" s="19">
        <f>IF((AL282=1),S282,0)</f>
        <v>0</v>
      </c>
      <c r="BX284" s="19">
        <f>IF(AND(EXACT(AL282,"1"),EXACT(AR284,"1")),(1),(0))</f>
        <v>0</v>
      </c>
      <c r="BY284" s="19">
        <f>IF((BX284=1),BW284,0)</f>
        <v>0</v>
      </c>
      <c r="CC284" s="19">
        <f>IF((AM282=1),R282,0)</f>
        <v>0</v>
      </c>
      <c r="CD284" s="19">
        <f>IF(AND(EXACT(AM282,"1"),EXACT(AR284,"1")),(1),(0))</f>
        <v>0</v>
      </c>
      <c r="CE284" s="19">
        <f>IF((CD284=1),CC284,0)</f>
        <v>0</v>
      </c>
    </row>
    <row r="285" spans="1:83" ht="20.25">
      <c r="A285" s="12">
        <f>IF(AA285=0,0,IF(AA282=0,Z285,SUM(A282,AA285)))</f>
        <v>0</v>
      </c>
      <c r="B285" s="1157"/>
      <c r="C285" s="1157"/>
      <c r="D285" s="1157"/>
      <c r="E285" s="1182"/>
      <c r="F285" s="1424"/>
      <c r="G285" s="1424"/>
      <c r="H285" s="527"/>
      <c r="I285" s="528"/>
      <c r="J285" s="529"/>
      <c r="K285" s="530"/>
      <c r="L285" s="531"/>
      <c r="M285" s="532"/>
      <c r="N285" s="533"/>
      <c r="O285" s="532"/>
      <c r="P285" s="1182"/>
      <c r="Q285" s="1182"/>
      <c r="R285" s="534">
        <f t="shared" ref="R285" ca="1" si="360">IF(OR(EXACT(H285,""),EXACT(B285,""),EXACT(F286,""),EXACT(H286,""),EXACT(J286,""),EXACT(L286,""),EXACT(N286,""),EXACT(F285,""),EXACT(J285,""),EXACT(M285,""),EXACT(N285,""),EXACT(O285,""),EXACT(P285,"")),0,IF(OR(EXACT(P286,"مقاله پر استناد"),EXACT(P286,"مقاله داغ"),EXACT(P286,"مستخرج از برنامه تحقيقاتي ملي معطوف به رفع مشكلات كشور")),(1.5*(F286*N286*(IF(EXACT(J286,"نفر اول"),INDIRECT(CONCATENATE("'Data Base'!$d",H286)),INDIRECT(CONCATENATE("'Data Base'!$e",H286))))*((100-L286)/100))),IF(EXACT(P286,"Short Article"),(0.5*(F286*N286*(IF(EXACT(J286,"نفر اول"),INDIRECT(CONCATENATE("'Data Base'!$D",H286)),INDIRECT(CONCATENATE("'Data Base'!$E",H286))))*((100-L286)/100))),IF(EXACT(P286,"چاپ شده در نشريات بسيار پر استناد Nature و Science"),(2*(F286*N286*(IF(EXACT(J286,"نفر اول"),INDIRECT(CONCATENATE("'Data Base'!$D",H286)),INDIRECT(CONCATENATE("'Data Base'!$E",H286))))*((100-L286)/100))),IF(OR(EXACT(P286,"مستخرج از طرح پژوهشي محرمانه"),EXACT(P286,"مشترك با اساتيد دانشگاه خارج از كشور")),(1.2*(F286*N286*(IF(EXACT(J286,"نفر اول"),INDIRECT(CONCATENATE("'Data Base'!$D",H286)),INDIRECT(CONCATENATE("'Data Base'!$E",H286))))*((100-L286)/100))),(F286*N286*(IF(EXACT(J286,"نفر اول"),INDIRECT(CONCATENATE("'Data Base'!$d",H286)),INDIRECT(CONCATENATE("'Data Base'!$e",H286))))*((100-L286)/100)))))))</f>
        <v>0</v>
      </c>
      <c r="S285" s="535">
        <f t="shared" ref="S285" ca="1" si="361">IF(OR(EXACT(H285,""),EXACT(B285,""),EXACT(F287,""),EXACT(H287,""),EXACT(J287,""),EXACT(L287,""),EXACT(N287,""),EXACT(F285,""),EXACT(J285,""),EXACT(M285,""),EXACT(N285,""),EXACT(O285,""),EXACT(P285,"")),0,IF(OR(EXACT(P287,"مقاله پر استناد"),EXACT(P287,"مقاله داغ"),EXACT(P287,"مستخرج از برنامه تحقيقاتي ملي معطوف به رفع مشكلات كشور")),(1.5*(F287*N287*(IF(EXACT(J287,"نفر اول"),INDIRECT(CONCATENATE("'Data Base'!$d",H287)),INDIRECT(CONCATENATE("'Data Base'!$E",H287))))*((100-L287)/100))),IF(EXACT(P287,"Short Article"),(0.5*(F287*N287*(IF(EXACT(J287,"نفر اول"),INDIRECT(CONCATENATE("'Data Base'!$D",H287)),INDIRECT(CONCATENATE("'Data Base'!$E",H287))))*((100-L287)/100))),IF(EXACT(P287,"چاپ شده در نشريات بسيار پر استناد Nature و Science"),(2*(F287*N287*(IF(EXACT(J287,"نفر اول"),INDIRECT(CONCATENATE("'Data Base'!$D",H287)),INDIRECT(CONCATENATE("'Data Base'!$E",H287))))*((100-L287)/100))),IF(OR(EXACT(P287,"مستخرج از طرح پژوهشي محرمانه"),EXACT(P287,"مشترك با اساتيد دانشگاه خارج از كشور")),(1.2*(F287*N287*(IF(EXACT(J287,"نفر اول"),INDIRECT(CONCATENATE("'Data Base'!$D",H287)),INDIRECT(CONCATENATE("'Data Base'!$E",H287))))*((100-L287)/100))),(F287*N287*(IF(EXACT(J287,"نفر اول"),INDIRECT(CONCATENATE("'Data Base'!$D",H287)),INDIRECT(CONCATENATE("'Data Base'!$E",H287))))*((100-L287)/100)))))))</f>
        <v>0</v>
      </c>
      <c r="T285" s="147"/>
      <c r="U285" s="1414"/>
      <c r="Z285" s="19">
        <f>SUM(Z282,AA285)</f>
        <v>0</v>
      </c>
      <c r="AA285" s="19">
        <f>IF(OR(OR(B285="",F285="",H285="",J285="",P285=""),AND(M285="",O285="")),0,1)</f>
        <v>0</v>
      </c>
      <c r="AB285" s="19">
        <f t="shared" ref="AB285" ca="1" si="362">IF(AND(AA285=1,S285&gt;0),1,0)</f>
        <v>0</v>
      </c>
      <c r="AC285" s="19">
        <f t="shared" ref="AC285" ca="1" si="363">IF(AND(AA285=1,S285&lt;1),1,0)</f>
        <v>0</v>
      </c>
      <c r="AD285" s="19">
        <f ca="1">IF(AND(AA285=1,S285&gt;=1,AJ285=1),1,0)</f>
        <v>0</v>
      </c>
      <c r="AE285" s="19">
        <f ca="1">IF(AD285=1,S285,0)</f>
        <v>0</v>
      </c>
      <c r="AF285" s="19">
        <f ca="1">IF(AND(AA285=1,S285&gt;=1,AJ285=1,AR287=1),1,0)</f>
        <v>0</v>
      </c>
      <c r="AG285" s="19">
        <f ca="1">IF(AF285=1,S285,0)</f>
        <v>0</v>
      </c>
      <c r="AH285" s="19">
        <f>IF(OR(EXACT(H285,"JCR-Q1"),EXACT(H285,"JCR-Q2")),(1),(0))</f>
        <v>0</v>
      </c>
      <c r="AI285" s="19">
        <f>IF(OR(EXACT(H285,"JCR-Q1"),EXACT(H285,"JCR-Q2"),EXACT(H285,"JCR-Q3")),(1),(0))</f>
        <v>0</v>
      </c>
      <c r="AJ285" s="19">
        <f>IF(OR(EXACT(H285,"JCR-Q1"),EXACT(H285,"JCR-Q2"),EXACT(H285,"JCR-Q3"),EXACT(H285,"JCR-Q4")),(1),(0))</f>
        <v>0</v>
      </c>
      <c r="AK285" s="19">
        <f>IF(OR(EXACT(H285,"JCR-Q1"),EXACT(H285,"JCR-Q2"),EXACT(H285,"JCR-Q3"),EXACT(H285,"JCR-Q4"),EXACT(H285,"WOS")),(1),(0))</f>
        <v>0</v>
      </c>
      <c r="AL285" s="19">
        <f>IF(OR(EXACT(H285,"JCR-Q1"),EXACT(H285,"JCR-Q2"),EXACT(H285,"JCR-Q3"),EXACT(H285,"JCR-Q4"),EXACT(H285,"WOS"),EXACT(H285,"Scopus")),(1),(0))</f>
        <v>0</v>
      </c>
      <c r="AM285" s="19">
        <f>IF(OR(EXACT(H285,'Data Base'!$B$21),EXACT(H285,'Data Base'!$B$22)),(1),(0))</f>
        <v>0</v>
      </c>
    </row>
    <row r="286" spans="1:83" ht="20.25" customHeight="1">
      <c r="A286" s="1416" t="s">
        <v>29</v>
      </c>
      <c r="B286" s="1417"/>
      <c r="C286" s="1417"/>
      <c r="D286" s="1418"/>
      <c r="E286" s="514" t="s">
        <v>1001</v>
      </c>
      <c r="F286" s="515"/>
      <c r="G286" s="516" t="s">
        <v>801</v>
      </c>
      <c r="H286" s="517"/>
      <c r="I286" s="516" t="s">
        <v>1002</v>
      </c>
      <c r="J286" s="518"/>
      <c r="K286" s="516" t="s">
        <v>1003</v>
      </c>
      <c r="L286" s="519"/>
      <c r="M286" s="516" t="s">
        <v>1004</v>
      </c>
      <c r="N286" s="520"/>
      <c r="O286" s="1266" t="s">
        <v>55</v>
      </c>
      <c r="P286" s="1419"/>
      <c r="Q286" s="1419"/>
      <c r="R286" s="1419"/>
      <c r="S286" s="1419"/>
      <c r="T286" s="1419"/>
      <c r="U286" s="1415"/>
      <c r="AN286" s="19">
        <f>IF(AND(AA285=1,EXACT(J286,"نفر اول")),(1),(0))</f>
        <v>0</v>
      </c>
      <c r="AO286" s="19">
        <f>IF(AN286=1,R285,0)</f>
        <v>0</v>
      </c>
      <c r="AP286" s="19">
        <f>IF(AND(AA285=1,EXACT(J286,"همكار")),(1),(0))</f>
        <v>0</v>
      </c>
      <c r="AQ286" s="19">
        <f>IF(AP286=1,R285,0)</f>
        <v>0</v>
      </c>
      <c r="AV286" s="19">
        <f>IF((AH285=1),R285,0)</f>
        <v>0</v>
      </c>
      <c r="AW286" s="19">
        <f>IF(AND(EXACT(AN286,"1"),EXACT(AH285,"1")),(1),(0))</f>
        <v>0</v>
      </c>
      <c r="AX286" s="19">
        <f>IF((AW286=1),AV286,0)</f>
        <v>0</v>
      </c>
      <c r="BB286" s="19">
        <f>IF((AI285=1),R285,0)</f>
        <v>0</v>
      </c>
      <c r="BC286" s="19">
        <f>IF(AND(EXACT(AI285,"1"),EXACT(AN286,"1")),(1),(0))</f>
        <v>0</v>
      </c>
      <c r="BD286" s="19">
        <f>IF((BC286=1),BB286,0)</f>
        <v>0</v>
      </c>
      <c r="BH286" s="19">
        <f>IF((AJ285=1),R285,0)</f>
        <v>0</v>
      </c>
      <c r="BI286" s="19">
        <f>IF(AND(EXACT(AJ285,"1"),EXACT(AN286,"1")),(1),(0))</f>
        <v>0</v>
      </c>
      <c r="BJ286" s="19">
        <f>IF((BI286=1),BH286,0)</f>
        <v>0</v>
      </c>
      <c r="BN286" s="19">
        <f>IF((AK285=1),R285,0)</f>
        <v>0</v>
      </c>
      <c r="BO286" s="19">
        <f>IF(AND(EXACT(AK285,"1"),EXACT(AN286,"1")),(1),(0))</f>
        <v>0</v>
      </c>
      <c r="BP286" s="19">
        <f>IF((BO286=1),BN286,0)</f>
        <v>0</v>
      </c>
      <c r="BT286" s="19">
        <f>IF((AL285=1),R285,0)</f>
        <v>0</v>
      </c>
      <c r="BU286" s="19">
        <f>IF(AND(EXACT(AN286,"1"),EXACT(AL285,"1")),(1),(0))</f>
        <v>0</v>
      </c>
      <c r="BV286" s="19">
        <f>IF((BU286=1),BT286,0)</f>
        <v>0</v>
      </c>
      <c r="BZ286" s="19">
        <f>IF((AM285=1),R285,0)</f>
        <v>0</v>
      </c>
      <c r="CA286" s="19">
        <f>IF(AND(EXACT(AM285,"1"),EXACT(AN286,"1")),(1),(0))</f>
        <v>0</v>
      </c>
      <c r="CB286" s="19">
        <f>IF((CA286=1),BZ286,0)</f>
        <v>0</v>
      </c>
    </row>
    <row r="287" spans="1:83" ht="20.25">
      <c r="A287" s="1420" t="s">
        <v>30</v>
      </c>
      <c r="B287" s="1421"/>
      <c r="C287" s="1421"/>
      <c r="D287" s="1422"/>
      <c r="E287" s="536" t="s">
        <v>1001</v>
      </c>
      <c r="F287" s="537"/>
      <c r="G287" s="538" t="s">
        <v>801</v>
      </c>
      <c r="H287" s="539"/>
      <c r="I287" s="538" t="s">
        <v>1002</v>
      </c>
      <c r="J287" s="525"/>
      <c r="K287" s="538" t="s">
        <v>1003</v>
      </c>
      <c r="L287" s="540"/>
      <c r="M287" s="538" t="s">
        <v>1004</v>
      </c>
      <c r="N287" s="541"/>
      <c r="O287" s="1266"/>
      <c r="P287" s="1423"/>
      <c r="Q287" s="1423"/>
      <c r="R287" s="1423"/>
      <c r="S287" s="1423"/>
      <c r="T287" s="1423"/>
      <c r="U287" s="1415"/>
      <c r="AR287" s="19">
        <f>IF(AND(AA285=1,EXACT(J287,"نفر اول")),(1),(0))</f>
        <v>0</v>
      </c>
      <c r="AS287" s="19">
        <f>IF(AR287=1,S285,0)</f>
        <v>0</v>
      </c>
      <c r="AT287" s="19">
        <f>IF(AND(AA285=1,EXACT(J287,"همكار")),(1),(0))</f>
        <v>0</v>
      </c>
      <c r="AU287" s="19">
        <f>IF(AT287=1,S285,0)</f>
        <v>0</v>
      </c>
      <c r="AY287" s="19">
        <f>IF((AH285=1),S285,0)</f>
        <v>0</v>
      </c>
      <c r="AZ287" s="19">
        <f>IF(AND(EXACT(AR287,"1"),EXACT(AH285,"1")),(1),(0))</f>
        <v>0</v>
      </c>
      <c r="BA287" s="19">
        <f>IF((AZ287=1),AY287,0)</f>
        <v>0</v>
      </c>
      <c r="BE287" s="19">
        <f>IF((AI285=1),S285,0)</f>
        <v>0</v>
      </c>
      <c r="BF287" s="19">
        <f>IF(AND(EXACT(AI285,"1"),EXACT(AR287,"1")),(1),(0))</f>
        <v>0</v>
      </c>
      <c r="BG287" s="19">
        <f>IF((BF287=1),BE287,0)</f>
        <v>0</v>
      </c>
      <c r="BK287" s="19">
        <f>IF((AJ285=1),S285,0)</f>
        <v>0</v>
      </c>
      <c r="BL287" s="19">
        <f>IF(AND(EXACT(AJ285,"1"),EXACT(AR287,"1")),(1),(0))</f>
        <v>0</v>
      </c>
      <c r="BM287" s="19">
        <f>IF((BL287=1),BK287,0)</f>
        <v>0</v>
      </c>
      <c r="BQ287" s="19">
        <f>IF((AJ285=1),S285,0)</f>
        <v>0</v>
      </c>
      <c r="BR287" s="19">
        <f>IF(AND(EXACT(AJ285,"1"),EXACT(AR287,"1")),(1),(0))</f>
        <v>0</v>
      </c>
      <c r="BS287" s="19">
        <f>IF((BL287=1),BK287,0)</f>
        <v>0</v>
      </c>
      <c r="BW287" s="19">
        <f>IF((AL285=1),S285,0)</f>
        <v>0</v>
      </c>
      <c r="BX287" s="19">
        <f>IF(AND(EXACT(AL285,"1"),EXACT(AR287,"1")),(1),(0))</f>
        <v>0</v>
      </c>
      <c r="BY287" s="19">
        <f>IF((BX287=1),BW287,0)</f>
        <v>0</v>
      </c>
      <c r="CC287" s="19">
        <f>IF((AM285=1),R285,0)</f>
        <v>0</v>
      </c>
      <c r="CD287" s="19">
        <f>IF(AND(EXACT(AM285,"1"),EXACT(AR287,"1")),(1),(0))</f>
        <v>0</v>
      </c>
      <c r="CE287" s="19">
        <f>IF((CD287=1),CC287,0)</f>
        <v>0</v>
      </c>
    </row>
    <row r="288" spans="1:83" ht="20.25">
      <c r="A288" s="12">
        <f>IF(AA288=0,0,IF(AA285=0,Z288,SUM(A285,AA288)))</f>
        <v>0</v>
      </c>
      <c r="B288" s="1157"/>
      <c r="C288" s="1157"/>
      <c r="D288" s="1157"/>
      <c r="E288" s="1182"/>
      <c r="F288" s="1424"/>
      <c r="G288" s="1424"/>
      <c r="H288" s="527"/>
      <c r="I288" s="528"/>
      <c r="J288" s="529"/>
      <c r="K288" s="530"/>
      <c r="L288" s="531"/>
      <c r="M288" s="532"/>
      <c r="N288" s="533"/>
      <c r="O288" s="532"/>
      <c r="P288" s="1182"/>
      <c r="Q288" s="1182"/>
      <c r="R288" s="534">
        <f t="shared" ref="R288" ca="1" si="364">IF(OR(EXACT(H288,""),EXACT(B288,""),EXACT(F289,""),EXACT(H289,""),EXACT(J289,""),EXACT(L289,""),EXACT(N289,""),EXACT(F288,""),EXACT(J288,""),EXACT(M288,""),EXACT(N288,""),EXACT(O288,""),EXACT(P288,"")),0,IF(OR(EXACT(P289,"مقاله پر استناد"),EXACT(P289,"مقاله داغ"),EXACT(P289,"مستخرج از برنامه تحقيقاتي ملي معطوف به رفع مشكلات كشور")),(1.5*(F289*N289*(IF(EXACT(J289,"نفر اول"),INDIRECT(CONCATENATE("'Data Base'!$d",H289)),INDIRECT(CONCATENATE("'Data Base'!$e",H289))))*((100-L289)/100))),IF(EXACT(P289,"Short Article"),(0.5*(F289*N289*(IF(EXACT(J289,"نفر اول"),INDIRECT(CONCATENATE("'Data Base'!$D",H289)),INDIRECT(CONCATENATE("'Data Base'!$E",H289))))*((100-L289)/100))),IF(EXACT(P289,"چاپ شده در نشريات بسيار پر استناد Nature و Science"),(2*(F289*N289*(IF(EXACT(J289,"نفر اول"),INDIRECT(CONCATENATE("'Data Base'!$D",H289)),INDIRECT(CONCATENATE("'Data Base'!$E",H289))))*((100-L289)/100))),IF(OR(EXACT(P289,"مستخرج از طرح پژوهشي محرمانه"),EXACT(P289,"مشترك با اساتيد دانشگاه خارج از كشور")),(1.2*(F289*N289*(IF(EXACT(J289,"نفر اول"),INDIRECT(CONCATENATE("'Data Base'!$D",H289)),INDIRECT(CONCATENATE("'Data Base'!$E",H289))))*((100-L289)/100))),(F289*N289*(IF(EXACT(J289,"نفر اول"),INDIRECT(CONCATENATE("'Data Base'!$d",H289)),INDIRECT(CONCATENATE("'Data Base'!$e",H289))))*((100-L289)/100)))))))</f>
        <v>0</v>
      </c>
      <c r="S288" s="535">
        <f t="shared" ref="S288" ca="1" si="365">IF(OR(EXACT(H288,""),EXACT(B288,""),EXACT(F290,""),EXACT(H290,""),EXACT(J290,""),EXACT(L290,""),EXACT(N290,""),EXACT(F288,""),EXACT(J288,""),EXACT(M288,""),EXACT(N288,""),EXACT(O288,""),EXACT(P288,"")),0,IF(OR(EXACT(P290,"مقاله پر استناد"),EXACT(P290,"مقاله داغ"),EXACT(P290,"مستخرج از برنامه تحقيقاتي ملي معطوف به رفع مشكلات كشور")),(1.5*(F290*N290*(IF(EXACT(J290,"نفر اول"),INDIRECT(CONCATENATE("'Data Base'!$d",H290)),INDIRECT(CONCATENATE("'Data Base'!$E",H290))))*((100-L290)/100))),IF(EXACT(P290,"Short Article"),(0.5*(F290*N290*(IF(EXACT(J290,"نفر اول"),INDIRECT(CONCATENATE("'Data Base'!$D",H290)),INDIRECT(CONCATENATE("'Data Base'!$E",H290))))*((100-L290)/100))),IF(EXACT(P290,"چاپ شده در نشريات بسيار پر استناد Nature و Science"),(2*(F290*N290*(IF(EXACT(J290,"نفر اول"),INDIRECT(CONCATENATE("'Data Base'!$D",H290)),INDIRECT(CONCATENATE("'Data Base'!$E",H290))))*((100-L290)/100))),IF(OR(EXACT(P290,"مستخرج از طرح پژوهشي محرمانه"),EXACT(P290,"مشترك با اساتيد دانشگاه خارج از كشور")),(1.2*(F290*N290*(IF(EXACT(J290,"نفر اول"),INDIRECT(CONCATENATE("'Data Base'!$D",H290)),INDIRECT(CONCATENATE("'Data Base'!$E",H290))))*((100-L290)/100))),(F290*N290*(IF(EXACT(J290,"نفر اول"),INDIRECT(CONCATENATE("'Data Base'!$D",H290)),INDIRECT(CONCATENATE("'Data Base'!$E",H290))))*((100-L290)/100)))))))</f>
        <v>0</v>
      </c>
      <c r="T288" s="147"/>
      <c r="U288" s="1414"/>
      <c r="Z288" s="19">
        <f>SUM(Z285,AA288)</f>
        <v>0</v>
      </c>
      <c r="AA288" s="19">
        <f>IF(OR(OR(B288="",F288="",H288="",J288="",P288=""),AND(M288="",O288="")),0,1)</f>
        <v>0</v>
      </c>
      <c r="AB288" s="19">
        <f t="shared" ref="AB288" ca="1" si="366">IF(AND(AA288=1,S288&gt;0),1,0)</f>
        <v>0</v>
      </c>
      <c r="AC288" s="19">
        <f t="shared" ref="AC288" ca="1" si="367">IF(AND(AA288=1,S288&lt;1),1,0)</f>
        <v>0</v>
      </c>
      <c r="AD288" s="19">
        <f ca="1">IF(AND(AA288=1,S288&gt;=1,AJ288=1),1,0)</f>
        <v>0</v>
      </c>
      <c r="AE288" s="19">
        <f ca="1">IF(AD288=1,S288,0)</f>
        <v>0</v>
      </c>
      <c r="AF288" s="19">
        <f ca="1">IF(AND(AA288=1,S288&gt;=1,AJ288=1,AR290=1),1,0)</f>
        <v>0</v>
      </c>
      <c r="AG288" s="19">
        <f ca="1">IF(AF288=1,S288,0)</f>
        <v>0</v>
      </c>
      <c r="AH288" s="19">
        <f>IF(OR(EXACT(H288,"JCR-Q1"),EXACT(H288,"JCR-Q2")),(1),(0))</f>
        <v>0</v>
      </c>
      <c r="AI288" s="19">
        <f>IF(OR(EXACT(H288,"JCR-Q1"),EXACT(H288,"JCR-Q2"),EXACT(H288,"JCR-Q3")),(1),(0))</f>
        <v>0</v>
      </c>
      <c r="AJ288" s="19">
        <f>IF(OR(EXACT(H288,"JCR-Q1"),EXACT(H288,"JCR-Q2"),EXACT(H288,"JCR-Q3"),EXACT(H288,"JCR-Q4")),(1),(0))</f>
        <v>0</v>
      </c>
      <c r="AK288" s="19">
        <f>IF(OR(EXACT(H288,"JCR-Q1"),EXACT(H288,"JCR-Q2"),EXACT(H288,"JCR-Q3"),EXACT(H288,"JCR-Q4"),EXACT(H288,"WOS")),(1),(0))</f>
        <v>0</v>
      </c>
      <c r="AL288" s="19">
        <f>IF(OR(EXACT(H288,"JCR-Q1"),EXACT(H288,"JCR-Q2"),EXACT(H288,"JCR-Q3"),EXACT(H288,"JCR-Q4"),EXACT(H288,"WOS"),EXACT(H288,"Scopus")),(1),(0))</f>
        <v>0</v>
      </c>
      <c r="AM288" s="19">
        <f>IF(OR(EXACT(H288,'Data Base'!$B$21),EXACT(H288,'Data Base'!$B$22)),(1),(0))</f>
        <v>0</v>
      </c>
    </row>
    <row r="289" spans="1:83" ht="20.25" customHeight="1">
      <c r="A289" s="1416" t="s">
        <v>29</v>
      </c>
      <c r="B289" s="1417"/>
      <c r="C289" s="1417"/>
      <c r="D289" s="1418"/>
      <c r="E289" s="514" t="s">
        <v>1001</v>
      </c>
      <c r="F289" s="515"/>
      <c r="G289" s="516" t="s">
        <v>801</v>
      </c>
      <c r="H289" s="517"/>
      <c r="I289" s="516" t="s">
        <v>1002</v>
      </c>
      <c r="J289" s="518"/>
      <c r="K289" s="516" t="s">
        <v>1003</v>
      </c>
      <c r="L289" s="519"/>
      <c r="M289" s="516" t="s">
        <v>1004</v>
      </c>
      <c r="N289" s="520"/>
      <c r="O289" s="1266" t="s">
        <v>55</v>
      </c>
      <c r="P289" s="1419"/>
      <c r="Q289" s="1419"/>
      <c r="R289" s="1419"/>
      <c r="S289" s="1419"/>
      <c r="T289" s="1419"/>
      <c r="U289" s="1415"/>
      <c r="AN289" s="19">
        <f>IF(AND(AA288=1,EXACT(J289,"نفر اول")),(1),(0))</f>
        <v>0</v>
      </c>
      <c r="AO289" s="19">
        <f>IF(AN289=1,R288,0)</f>
        <v>0</v>
      </c>
      <c r="AP289" s="19">
        <f>IF(AND(AA288=1,EXACT(J289,"همكار")),(1),(0))</f>
        <v>0</v>
      </c>
      <c r="AQ289" s="19">
        <f>IF(AP289=1,R288,0)</f>
        <v>0</v>
      </c>
      <c r="AV289" s="19">
        <f>IF((AH288=1),R288,0)</f>
        <v>0</v>
      </c>
      <c r="AW289" s="19">
        <f>IF(AND(EXACT(AN289,"1"),EXACT(AH288,"1")),(1),(0))</f>
        <v>0</v>
      </c>
      <c r="AX289" s="19">
        <f>IF((AW289=1),AV289,0)</f>
        <v>0</v>
      </c>
      <c r="BB289" s="19">
        <f>IF((AI288=1),R288,0)</f>
        <v>0</v>
      </c>
      <c r="BC289" s="19">
        <f>IF(AND(EXACT(AI288,"1"),EXACT(AN289,"1")),(1),(0))</f>
        <v>0</v>
      </c>
      <c r="BD289" s="19">
        <f>IF((BC289=1),BB289,0)</f>
        <v>0</v>
      </c>
      <c r="BH289" s="19">
        <f>IF((AJ288=1),R288,0)</f>
        <v>0</v>
      </c>
      <c r="BI289" s="19">
        <f>IF(AND(EXACT(AJ288,"1"),EXACT(AN289,"1")),(1),(0))</f>
        <v>0</v>
      </c>
      <c r="BJ289" s="19">
        <f>IF((BI289=1),BH289,0)</f>
        <v>0</v>
      </c>
      <c r="BN289" s="19">
        <f>IF((AK288=1),R288,0)</f>
        <v>0</v>
      </c>
      <c r="BO289" s="19">
        <f>IF(AND(EXACT(AK288,"1"),EXACT(AN289,"1")),(1),(0))</f>
        <v>0</v>
      </c>
      <c r="BP289" s="19">
        <f>IF((BO289=1),BN289,0)</f>
        <v>0</v>
      </c>
      <c r="BT289" s="19">
        <f>IF((AL288=1),R288,0)</f>
        <v>0</v>
      </c>
      <c r="BU289" s="19">
        <f>IF(AND(EXACT(AN289,"1"),EXACT(AL288,"1")),(1),(0))</f>
        <v>0</v>
      </c>
      <c r="BV289" s="19">
        <f>IF((BU289=1),BT289,0)</f>
        <v>0</v>
      </c>
      <c r="BZ289" s="19">
        <f>IF((AM288=1),R288,0)</f>
        <v>0</v>
      </c>
      <c r="CA289" s="19">
        <f>IF(AND(EXACT(AM288,"1"),EXACT(AN289,"1")),(1),(0))</f>
        <v>0</v>
      </c>
      <c r="CB289" s="19">
        <f>IF((CA289=1),BZ289,0)</f>
        <v>0</v>
      </c>
    </row>
    <row r="290" spans="1:83" ht="20.25">
      <c r="A290" s="1420" t="s">
        <v>30</v>
      </c>
      <c r="B290" s="1421"/>
      <c r="C290" s="1421"/>
      <c r="D290" s="1422"/>
      <c r="E290" s="536" t="s">
        <v>1001</v>
      </c>
      <c r="F290" s="537"/>
      <c r="G290" s="538" t="s">
        <v>801</v>
      </c>
      <c r="H290" s="539"/>
      <c r="I290" s="538" t="s">
        <v>1002</v>
      </c>
      <c r="J290" s="525"/>
      <c r="K290" s="538" t="s">
        <v>1003</v>
      </c>
      <c r="L290" s="540"/>
      <c r="M290" s="538" t="s">
        <v>1004</v>
      </c>
      <c r="N290" s="541"/>
      <c r="O290" s="1266"/>
      <c r="P290" s="1423"/>
      <c r="Q290" s="1423"/>
      <c r="R290" s="1423"/>
      <c r="S290" s="1423"/>
      <c r="T290" s="1423"/>
      <c r="U290" s="1415"/>
      <c r="AR290" s="19">
        <f>IF(AND(AA288=1,EXACT(J290,"نفر اول")),(1),(0))</f>
        <v>0</v>
      </c>
      <c r="AS290" s="19">
        <f>IF(AR290=1,S288,0)</f>
        <v>0</v>
      </c>
      <c r="AT290" s="19">
        <f>IF(AND(AA288=1,EXACT(J290,"همكار")),(1),(0))</f>
        <v>0</v>
      </c>
      <c r="AU290" s="19">
        <f>IF(AT290=1,S288,0)</f>
        <v>0</v>
      </c>
      <c r="AY290" s="19">
        <f>IF((AH288=1),S288,0)</f>
        <v>0</v>
      </c>
      <c r="AZ290" s="19">
        <f>IF(AND(EXACT(AR290,"1"),EXACT(AH288,"1")),(1),(0))</f>
        <v>0</v>
      </c>
      <c r="BA290" s="19">
        <f>IF((AZ290=1),AY290,0)</f>
        <v>0</v>
      </c>
      <c r="BE290" s="19">
        <f>IF((AI288=1),S288,0)</f>
        <v>0</v>
      </c>
      <c r="BF290" s="19">
        <f>IF(AND(EXACT(AI288,"1"),EXACT(AR290,"1")),(1),(0))</f>
        <v>0</v>
      </c>
      <c r="BG290" s="19">
        <f>IF((BF290=1),BE290,0)</f>
        <v>0</v>
      </c>
      <c r="BK290" s="19">
        <f>IF((AJ288=1),S288,0)</f>
        <v>0</v>
      </c>
      <c r="BL290" s="19">
        <f>IF(AND(EXACT(AJ288,"1"),EXACT(AR290,"1")),(1),(0))</f>
        <v>0</v>
      </c>
      <c r="BM290" s="19">
        <f>IF((BL290=1),BK290,0)</f>
        <v>0</v>
      </c>
      <c r="BQ290" s="19">
        <f>IF((AJ288=1),S288,0)</f>
        <v>0</v>
      </c>
      <c r="BR290" s="19">
        <f>IF(AND(EXACT(AJ288,"1"),EXACT(AR290,"1")),(1),(0))</f>
        <v>0</v>
      </c>
      <c r="BS290" s="19">
        <f>IF((BL290=1),BK290,0)</f>
        <v>0</v>
      </c>
      <c r="BW290" s="19">
        <f>IF((AL288=1),S288,0)</f>
        <v>0</v>
      </c>
      <c r="BX290" s="19">
        <f>IF(AND(EXACT(AL288,"1"),EXACT(AR290,"1")),(1),(0))</f>
        <v>0</v>
      </c>
      <c r="BY290" s="19">
        <f>IF((BX290=1),BW290,0)</f>
        <v>0</v>
      </c>
      <c r="CC290" s="19">
        <f>IF((AM288=1),R288,0)</f>
        <v>0</v>
      </c>
      <c r="CD290" s="19">
        <f>IF(AND(EXACT(AM288,"1"),EXACT(AR290,"1")),(1),(0))</f>
        <v>0</v>
      </c>
      <c r="CE290" s="19">
        <f>IF((CD290=1),CC290,0)</f>
        <v>0</v>
      </c>
    </row>
    <row r="291" spans="1:83" ht="20.25">
      <c r="A291" s="12">
        <f>IF(AA291=0,0,IF(AA288=0,Z291,SUM(A288,AA291)))</f>
        <v>0</v>
      </c>
      <c r="B291" s="1157"/>
      <c r="C291" s="1157"/>
      <c r="D291" s="1157"/>
      <c r="E291" s="1182"/>
      <c r="F291" s="1424"/>
      <c r="G291" s="1424"/>
      <c r="H291" s="527"/>
      <c r="I291" s="528"/>
      <c r="J291" s="529"/>
      <c r="K291" s="530"/>
      <c r="L291" s="531"/>
      <c r="M291" s="532"/>
      <c r="N291" s="533"/>
      <c r="O291" s="532"/>
      <c r="P291" s="1182"/>
      <c r="Q291" s="1182"/>
      <c r="R291" s="534">
        <f t="shared" ref="R291" ca="1" si="368">IF(OR(EXACT(H291,""),EXACT(B291,""),EXACT(F292,""),EXACT(H292,""),EXACT(J292,""),EXACT(L292,""),EXACT(N292,""),EXACT(F291,""),EXACT(J291,""),EXACT(M291,""),EXACT(N291,""),EXACT(O291,""),EXACT(P291,"")),0,IF(OR(EXACT(P292,"مقاله پر استناد"),EXACT(P292,"مقاله داغ"),EXACT(P292,"مستخرج از برنامه تحقيقاتي ملي معطوف به رفع مشكلات كشور")),(1.5*(F292*N292*(IF(EXACT(J292,"نفر اول"),INDIRECT(CONCATENATE("'Data Base'!$d",H292)),INDIRECT(CONCATENATE("'Data Base'!$e",H292))))*((100-L292)/100))),IF(EXACT(P292,"Short Article"),(0.5*(F292*N292*(IF(EXACT(J292,"نفر اول"),INDIRECT(CONCATENATE("'Data Base'!$D",H292)),INDIRECT(CONCATENATE("'Data Base'!$E",H292))))*((100-L292)/100))),IF(EXACT(P292,"چاپ شده در نشريات بسيار پر استناد Nature و Science"),(2*(F292*N292*(IF(EXACT(J292,"نفر اول"),INDIRECT(CONCATENATE("'Data Base'!$D",H292)),INDIRECT(CONCATENATE("'Data Base'!$E",H292))))*((100-L292)/100))),IF(OR(EXACT(P292,"مستخرج از طرح پژوهشي محرمانه"),EXACT(P292,"مشترك با اساتيد دانشگاه خارج از كشور")),(1.2*(F292*N292*(IF(EXACT(J292,"نفر اول"),INDIRECT(CONCATENATE("'Data Base'!$D",H292)),INDIRECT(CONCATENATE("'Data Base'!$E",H292))))*((100-L292)/100))),(F292*N292*(IF(EXACT(J292,"نفر اول"),INDIRECT(CONCATENATE("'Data Base'!$d",H292)),INDIRECT(CONCATENATE("'Data Base'!$e",H292))))*((100-L292)/100)))))))</f>
        <v>0</v>
      </c>
      <c r="S291" s="535">
        <f t="shared" ref="S291" ca="1" si="369">IF(OR(EXACT(H291,""),EXACT(B291,""),EXACT(F293,""),EXACT(H293,""),EXACT(J293,""),EXACT(L293,""),EXACT(N293,""),EXACT(F291,""),EXACT(J291,""),EXACT(M291,""),EXACT(N291,""),EXACT(O291,""),EXACT(P291,"")),0,IF(OR(EXACT(P293,"مقاله پر استناد"),EXACT(P293,"مقاله داغ"),EXACT(P293,"مستخرج از برنامه تحقيقاتي ملي معطوف به رفع مشكلات كشور")),(1.5*(F293*N293*(IF(EXACT(J293,"نفر اول"),INDIRECT(CONCATENATE("'Data Base'!$d",H293)),INDIRECT(CONCATENATE("'Data Base'!$E",H293))))*((100-L293)/100))),IF(EXACT(P293,"Short Article"),(0.5*(F293*N293*(IF(EXACT(J293,"نفر اول"),INDIRECT(CONCATENATE("'Data Base'!$D",H293)),INDIRECT(CONCATENATE("'Data Base'!$E",H293))))*((100-L293)/100))),IF(EXACT(P293,"چاپ شده در نشريات بسيار پر استناد Nature و Science"),(2*(F293*N293*(IF(EXACT(J293,"نفر اول"),INDIRECT(CONCATENATE("'Data Base'!$D",H293)),INDIRECT(CONCATENATE("'Data Base'!$E",H293))))*((100-L293)/100))),IF(OR(EXACT(P293,"مستخرج از طرح پژوهشي محرمانه"),EXACT(P293,"مشترك با اساتيد دانشگاه خارج از كشور")),(1.2*(F293*N293*(IF(EXACT(J293,"نفر اول"),INDIRECT(CONCATENATE("'Data Base'!$D",H293)),INDIRECT(CONCATENATE("'Data Base'!$E",H293))))*((100-L293)/100))),(F293*N293*(IF(EXACT(J293,"نفر اول"),INDIRECT(CONCATENATE("'Data Base'!$D",H293)),INDIRECT(CONCATENATE("'Data Base'!$E",H293))))*((100-L293)/100)))))))</f>
        <v>0</v>
      </c>
      <c r="T291" s="147"/>
      <c r="U291" s="1414"/>
      <c r="Z291" s="19">
        <f>SUM(Z288,AA291)</f>
        <v>0</v>
      </c>
      <c r="AA291" s="19">
        <f>IF(OR(OR(B291="",F291="",H291="",J291="",P291=""),AND(M291="",O291="")),0,1)</f>
        <v>0</v>
      </c>
      <c r="AB291" s="19">
        <f t="shared" ref="AB291" ca="1" si="370">IF(AND(AA291=1,S291&gt;0),1,0)</f>
        <v>0</v>
      </c>
      <c r="AC291" s="19">
        <f t="shared" ref="AC291" ca="1" si="371">IF(AND(AA291=1,S291&lt;1),1,0)</f>
        <v>0</v>
      </c>
      <c r="AD291" s="19">
        <f ca="1">IF(AND(AA291=1,S291&gt;=1,AJ291=1),1,0)</f>
        <v>0</v>
      </c>
      <c r="AE291" s="19">
        <f ca="1">IF(AD291=1,S291,0)</f>
        <v>0</v>
      </c>
      <c r="AF291" s="19">
        <f ca="1">IF(AND(AA291=1,S291&gt;=1,AJ291=1,AR293=1),1,0)</f>
        <v>0</v>
      </c>
      <c r="AG291" s="19">
        <f ca="1">IF(AF291=1,S291,0)</f>
        <v>0</v>
      </c>
      <c r="AH291" s="19">
        <f>IF(OR(EXACT(H291,"JCR-Q1"),EXACT(H291,"JCR-Q2")),(1),(0))</f>
        <v>0</v>
      </c>
      <c r="AI291" s="19">
        <f>IF(OR(EXACT(H291,"JCR-Q1"),EXACT(H291,"JCR-Q2"),EXACT(H291,"JCR-Q3")),(1),(0))</f>
        <v>0</v>
      </c>
      <c r="AJ291" s="19">
        <f>IF(OR(EXACT(H291,"JCR-Q1"),EXACT(H291,"JCR-Q2"),EXACT(H291,"JCR-Q3"),EXACT(H291,"JCR-Q4")),(1),(0))</f>
        <v>0</v>
      </c>
      <c r="AK291" s="19">
        <f>IF(OR(EXACT(H291,"JCR-Q1"),EXACT(H291,"JCR-Q2"),EXACT(H291,"JCR-Q3"),EXACT(H291,"JCR-Q4"),EXACT(H291,"WOS")),(1),(0))</f>
        <v>0</v>
      </c>
      <c r="AL291" s="19">
        <f>IF(OR(EXACT(H291,"JCR-Q1"),EXACT(H291,"JCR-Q2"),EXACT(H291,"JCR-Q3"),EXACT(H291,"JCR-Q4"),EXACT(H291,"WOS"),EXACT(H291,"Scopus")),(1),(0))</f>
        <v>0</v>
      </c>
      <c r="AM291" s="19">
        <f>IF(OR(EXACT(H291,'Data Base'!$B$21),EXACT(H291,'Data Base'!$B$22)),(1),(0))</f>
        <v>0</v>
      </c>
    </row>
    <row r="292" spans="1:83" ht="20.25" customHeight="1">
      <c r="A292" s="1416" t="s">
        <v>29</v>
      </c>
      <c r="B292" s="1417"/>
      <c r="C292" s="1417"/>
      <c r="D292" s="1418"/>
      <c r="E292" s="514" t="s">
        <v>1001</v>
      </c>
      <c r="F292" s="515"/>
      <c r="G292" s="516" t="s">
        <v>801</v>
      </c>
      <c r="H292" s="517"/>
      <c r="I292" s="516" t="s">
        <v>1002</v>
      </c>
      <c r="J292" s="518"/>
      <c r="K292" s="516" t="s">
        <v>1003</v>
      </c>
      <c r="L292" s="519"/>
      <c r="M292" s="516" t="s">
        <v>1004</v>
      </c>
      <c r="N292" s="520"/>
      <c r="O292" s="1266" t="s">
        <v>55</v>
      </c>
      <c r="P292" s="1419"/>
      <c r="Q292" s="1419"/>
      <c r="R292" s="1419"/>
      <c r="S292" s="1419"/>
      <c r="T292" s="1419"/>
      <c r="U292" s="1415"/>
      <c r="AN292" s="19">
        <f>IF(AND(AA291=1,EXACT(J292,"نفر اول")),(1),(0))</f>
        <v>0</v>
      </c>
      <c r="AO292" s="19">
        <f>IF(AN292=1,R291,0)</f>
        <v>0</v>
      </c>
      <c r="AP292" s="19">
        <f>IF(AND(AA291=1,EXACT(J292,"همكار")),(1),(0))</f>
        <v>0</v>
      </c>
      <c r="AQ292" s="19">
        <f>IF(AP292=1,R291,0)</f>
        <v>0</v>
      </c>
      <c r="AV292" s="19">
        <f>IF((AH291=1),R291,0)</f>
        <v>0</v>
      </c>
      <c r="AW292" s="19">
        <f>IF(AND(EXACT(AN292,"1"),EXACT(AH291,"1")),(1),(0))</f>
        <v>0</v>
      </c>
      <c r="AX292" s="19">
        <f>IF((AW292=1),AV292,0)</f>
        <v>0</v>
      </c>
      <c r="BB292" s="19">
        <f>IF((AI291=1),R291,0)</f>
        <v>0</v>
      </c>
      <c r="BC292" s="19">
        <f>IF(AND(EXACT(AI291,"1"),EXACT(AN292,"1")),(1),(0))</f>
        <v>0</v>
      </c>
      <c r="BD292" s="19">
        <f>IF((BC292=1),BB292,0)</f>
        <v>0</v>
      </c>
      <c r="BH292" s="19">
        <f>IF((AJ291=1),R291,0)</f>
        <v>0</v>
      </c>
      <c r="BI292" s="19">
        <f>IF(AND(EXACT(AJ291,"1"),EXACT(AN292,"1")),(1),(0))</f>
        <v>0</v>
      </c>
      <c r="BJ292" s="19">
        <f>IF((BI292=1),BH292,0)</f>
        <v>0</v>
      </c>
      <c r="BN292" s="19">
        <f>IF((AK291=1),R291,0)</f>
        <v>0</v>
      </c>
      <c r="BO292" s="19">
        <f>IF(AND(EXACT(AK291,"1"),EXACT(AN292,"1")),(1),(0))</f>
        <v>0</v>
      </c>
      <c r="BP292" s="19">
        <f>IF((BO292=1),BN292,0)</f>
        <v>0</v>
      </c>
      <c r="BT292" s="19">
        <f>IF((AL291=1),R291,0)</f>
        <v>0</v>
      </c>
      <c r="BU292" s="19">
        <f>IF(AND(EXACT(AN292,"1"),EXACT(AL291,"1")),(1),(0))</f>
        <v>0</v>
      </c>
      <c r="BV292" s="19">
        <f>IF((BU292=1),BT292,0)</f>
        <v>0</v>
      </c>
      <c r="BZ292" s="19">
        <f>IF((AM291=1),R291,0)</f>
        <v>0</v>
      </c>
      <c r="CA292" s="19">
        <f>IF(AND(EXACT(AM291,"1"),EXACT(AN292,"1")),(1),(0))</f>
        <v>0</v>
      </c>
      <c r="CB292" s="19">
        <f>IF((CA292=1),BZ292,0)</f>
        <v>0</v>
      </c>
    </row>
    <row r="293" spans="1:83" ht="20.25">
      <c r="A293" s="1420" t="s">
        <v>30</v>
      </c>
      <c r="B293" s="1421"/>
      <c r="C293" s="1421"/>
      <c r="D293" s="1422"/>
      <c r="E293" s="536" t="s">
        <v>1001</v>
      </c>
      <c r="F293" s="537"/>
      <c r="G293" s="538" t="s">
        <v>801</v>
      </c>
      <c r="H293" s="539"/>
      <c r="I293" s="538" t="s">
        <v>1002</v>
      </c>
      <c r="J293" s="525"/>
      <c r="K293" s="538" t="s">
        <v>1003</v>
      </c>
      <c r="L293" s="540"/>
      <c r="M293" s="538" t="s">
        <v>1004</v>
      </c>
      <c r="N293" s="541"/>
      <c r="O293" s="1266"/>
      <c r="P293" s="1423"/>
      <c r="Q293" s="1423"/>
      <c r="R293" s="1423"/>
      <c r="S293" s="1423"/>
      <c r="T293" s="1423"/>
      <c r="U293" s="1415"/>
      <c r="AR293" s="19">
        <f>IF(AND(AA291=1,EXACT(J293,"نفر اول")),(1),(0))</f>
        <v>0</v>
      </c>
      <c r="AS293" s="19">
        <f>IF(AR293=1,S291,0)</f>
        <v>0</v>
      </c>
      <c r="AT293" s="19">
        <f>IF(AND(AA291=1,EXACT(J293,"همكار")),(1),(0))</f>
        <v>0</v>
      </c>
      <c r="AU293" s="19">
        <f>IF(AT293=1,S291,0)</f>
        <v>0</v>
      </c>
      <c r="AY293" s="19">
        <f>IF((AH291=1),S291,0)</f>
        <v>0</v>
      </c>
      <c r="AZ293" s="19">
        <f>IF(AND(EXACT(AR293,"1"),EXACT(AH291,"1")),(1),(0))</f>
        <v>0</v>
      </c>
      <c r="BA293" s="19">
        <f>IF((AZ293=1),AY293,0)</f>
        <v>0</v>
      </c>
      <c r="BE293" s="19">
        <f>IF((AI291=1),S291,0)</f>
        <v>0</v>
      </c>
      <c r="BF293" s="19">
        <f>IF(AND(EXACT(AI291,"1"),EXACT(AR293,"1")),(1),(0))</f>
        <v>0</v>
      </c>
      <c r="BG293" s="19">
        <f>IF((BF293=1),BE293,0)</f>
        <v>0</v>
      </c>
      <c r="BK293" s="19">
        <f>IF((AJ291=1),S291,0)</f>
        <v>0</v>
      </c>
      <c r="BL293" s="19">
        <f>IF(AND(EXACT(AJ291,"1"),EXACT(AR293,"1")),(1),(0))</f>
        <v>0</v>
      </c>
      <c r="BM293" s="19">
        <f>IF((BL293=1),BK293,0)</f>
        <v>0</v>
      </c>
      <c r="BQ293" s="19">
        <f>IF((AJ291=1),S291,0)</f>
        <v>0</v>
      </c>
      <c r="BR293" s="19">
        <f>IF(AND(EXACT(AJ291,"1"),EXACT(AR293,"1")),(1),(0))</f>
        <v>0</v>
      </c>
      <c r="BS293" s="19">
        <f>IF((BL293=1),BK293,0)</f>
        <v>0</v>
      </c>
      <c r="BW293" s="19">
        <f>IF((AL291=1),S291,0)</f>
        <v>0</v>
      </c>
      <c r="BX293" s="19">
        <f>IF(AND(EXACT(AL291,"1"),EXACT(AR293,"1")),(1),(0))</f>
        <v>0</v>
      </c>
      <c r="BY293" s="19">
        <f>IF((BX293=1),BW293,0)</f>
        <v>0</v>
      </c>
      <c r="CC293" s="19">
        <f>IF((AM291=1),R291,0)</f>
        <v>0</v>
      </c>
      <c r="CD293" s="19">
        <f>IF(AND(EXACT(AM291,"1"),EXACT(AR293,"1")),(1),(0))</f>
        <v>0</v>
      </c>
      <c r="CE293" s="19">
        <f>IF((CD293=1),CC293,0)</f>
        <v>0</v>
      </c>
    </row>
    <row r="294" spans="1:83" ht="20.25">
      <c r="A294" s="12">
        <f>IF(AA294=0,0,IF(AA291=0,Z294,SUM(A291,AA294)))</f>
        <v>0</v>
      </c>
      <c r="B294" s="1157"/>
      <c r="C294" s="1157"/>
      <c r="D294" s="1157"/>
      <c r="E294" s="1182"/>
      <c r="F294" s="1424"/>
      <c r="G294" s="1424"/>
      <c r="H294" s="527"/>
      <c r="I294" s="528"/>
      <c r="J294" s="529"/>
      <c r="K294" s="530"/>
      <c r="L294" s="531"/>
      <c r="M294" s="532"/>
      <c r="N294" s="533"/>
      <c r="O294" s="532"/>
      <c r="P294" s="1182"/>
      <c r="Q294" s="1182"/>
      <c r="R294" s="534">
        <f t="shared" ref="R294" ca="1" si="372">IF(OR(EXACT(H294,""),EXACT(B294,""),EXACT(F295,""),EXACT(H295,""),EXACT(J295,""),EXACT(L295,""),EXACT(N295,""),EXACT(F294,""),EXACT(J294,""),EXACT(M294,""),EXACT(N294,""),EXACT(O294,""),EXACT(P294,"")),0,IF(OR(EXACT(P295,"مقاله پر استناد"),EXACT(P295,"مقاله داغ"),EXACT(P295,"مستخرج از برنامه تحقيقاتي ملي معطوف به رفع مشكلات كشور")),(1.5*(F295*N295*(IF(EXACT(J295,"نفر اول"),INDIRECT(CONCATENATE("'Data Base'!$d",H295)),INDIRECT(CONCATENATE("'Data Base'!$e",H295))))*((100-L295)/100))),IF(EXACT(P295,"Short Article"),(0.5*(F295*N295*(IF(EXACT(J295,"نفر اول"),INDIRECT(CONCATENATE("'Data Base'!$D",H295)),INDIRECT(CONCATENATE("'Data Base'!$E",H295))))*((100-L295)/100))),IF(EXACT(P295,"چاپ شده در نشريات بسيار پر استناد Nature و Science"),(2*(F295*N295*(IF(EXACT(J295,"نفر اول"),INDIRECT(CONCATENATE("'Data Base'!$D",H295)),INDIRECT(CONCATENATE("'Data Base'!$E",H295))))*((100-L295)/100))),IF(OR(EXACT(P295,"مستخرج از طرح پژوهشي محرمانه"),EXACT(P295,"مشترك با اساتيد دانشگاه خارج از كشور")),(1.2*(F295*N295*(IF(EXACT(J295,"نفر اول"),INDIRECT(CONCATENATE("'Data Base'!$D",H295)),INDIRECT(CONCATENATE("'Data Base'!$E",H295))))*((100-L295)/100))),(F295*N295*(IF(EXACT(J295,"نفر اول"),INDIRECT(CONCATENATE("'Data Base'!$d",H295)),INDIRECT(CONCATENATE("'Data Base'!$e",H295))))*((100-L295)/100)))))))</f>
        <v>0</v>
      </c>
      <c r="S294" s="535">
        <f t="shared" ref="S294" ca="1" si="373">IF(OR(EXACT(H294,""),EXACT(B294,""),EXACT(F296,""),EXACT(H296,""),EXACT(J296,""),EXACT(L296,""),EXACT(N296,""),EXACT(F294,""),EXACT(J294,""),EXACT(M294,""),EXACT(N294,""),EXACT(O294,""),EXACT(P294,"")),0,IF(OR(EXACT(P296,"مقاله پر استناد"),EXACT(P296,"مقاله داغ"),EXACT(P296,"مستخرج از برنامه تحقيقاتي ملي معطوف به رفع مشكلات كشور")),(1.5*(F296*N296*(IF(EXACT(J296,"نفر اول"),INDIRECT(CONCATENATE("'Data Base'!$d",H296)),INDIRECT(CONCATENATE("'Data Base'!$E",H296))))*((100-L296)/100))),IF(EXACT(P296,"Short Article"),(0.5*(F296*N296*(IF(EXACT(J296,"نفر اول"),INDIRECT(CONCATENATE("'Data Base'!$D",H296)),INDIRECT(CONCATENATE("'Data Base'!$E",H296))))*((100-L296)/100))),IF(EXACT(P296,"چاپ شده در نشريات بسيار پر استناد Nature و Science"),(2*(F296*N296*(IF(EXACT(J296,"نفر اول"),INDIRECT(CONCATENATE("'Data Base'!$D",H296)),INDIRECT(CONCATENATE("'Data Base'!$E",H296))))*((100-L296)/100))),IF(OR(EXACT(P296,"مستخرج از طرح پژوهشي محرمانه"),EXACT(P296,"مشترك با اساتيد دانشگاه خارج از كشور")),(1.2*(F296*N296*(IF(EXACT(J296,"نفر اول"),INDIRECT(CONCATENATE("'Data Base'!$D",H296)),INDIRECT(CONCATENATE("'Data Base'!$E",H296))))*((100-L296)/100))),(F296*N296*(IF(EXACT(J296,"نفر اول"),INDIRECT(CONCATENATE("'Data Base'!$D",H296)),INDIRECT(CONCATENATE("'Data Base'!$E",H296))))*((100-L296)/100)))))))</f>
        <v>0</v>
      </c>
      <c r="T294" s="147"/>
      <c r="U294" s="1414"/>
      <c r="Z294" s="19">
        <f>SUM(Z291,AA294)</f>
        <v>0</v>
      </c>
      <c r="AA294" s="19">
        <f>IF(OR(OR(B294="",F294="",H294="",J294="",P294=""),AND(M294="",O294="")),0,1)</f>
        <v>0</v>
      </c>
      <c r="AB294" s="19">
        <f t="shared" ref="AB294" ca="1" si="374">IF(AND(AA294=1,S294&gt;0),1,0)</f>
        <v>0</v>
      </c>
      <c r="AC294" s="19">
        <f t="shared" ref="AC294" ca="1" si="375">IF(AND(AA294=1,S294&lt;1),1,0)</f>
        <v>0</v>
      </c>
      <c r="AD294" s="19">
        <f ca="1">IF(AND(AA294=1,S294&gt;=1,AJ294=1),1,0)</f>
        <v>0</v>
      </c>
      <c r="AE294" s="19">
        <f ca="1">IF(AD294=1,S294,0)</f>
        <v>0</v>
      </c>
      <c r="AF294" s="19">
        <f ca="1">IF(AND(AA294=1,S294&gt;=1,AJ294=1,AR296=1),1,0)</f>
        <v>0</v>
      </c>
      <c r="AG294" s="19">
        <f ca="1">IF(AF294=1,S294,0)</f>
        <v>0</v>
      </c>
      <c r="AH294" s="19">
        <f>IF(OR(EXACT(H294,"JCR-Q1"),EXACT(H294,"JCR-Q2")),(1),(0))</f>
        <v>0</v>
      </c>
      <c r="AI294" s="19">
        <f>IF(OR(EXACT(H294,"JCR-Q1"),EXACT(H294,"JCR-Q2"),EXACT(H294,"JCR-Q3")),(1),(0))</f>
        <v>0</v>
      </c>
      <c r="AJ294" s="19">
        <f>IF(OR(EXACT(H294,"JCR-Q1"),EXACT(H294,"JCR-Q2"),EXACT(H294,"JCR-Q3"),EXACT(H294,"JCR-Q4")),(1),(0))</f>
        <v>0</v>
      </c>
      <c r="AK294" s="19">
        <f>IF(OR(EXACT(H294,"JCR-Q1"),EXACT(H294,"JCR-Q2"),EXACT(H294,"JCR-Q3"),EXACT(H294,"JCR-Q4"),EXACT(H294,"WOS")),(1),(0))</f>
        <v>0</v>
      </c>
      <c r="AL294" s="19">
        <f>IF(OR(EXACT(H294,"JCR-Q1"),EXACT(H294,"JCR-Q2"),EXACT(H294,"JCR-Q3"),EXACT(H294,"JCR-Q4"),EXACT(H294,"WOS"),EXACT(H294,"Scopus")),(1),(0))</f>
        <v>0</v>
      </c>
      <c r="AM294" s="19">
        <f>IF(OR(EXACT(H294,'Data Base'!$B$21),EXACT(H294,'Data Base'!$B$22)),(1),(0))</f>
        <v>0</v>
      </c>
    </row>
    <row r="295" spans="1:83" ht="20.25" customHeight="1">
      <c r="A295" s="1416" t="s">
        <v>29</v>
      </c>
      <c r="B295" s="1417"/>
      <c r="C295" s="1417"/>
      <c r="D295" s="1418"/>
      <c r="E295" s="514" t="s">
        <v>1001</v>
      </c>
      <c r="F295" s="515"/>
      <c r="G295" s="516" t="s">
        <v>801</v>
      </c>
      <c r="H295" s="517"/>
      <c r="I295" s="516" t="s">
        <v>1002</v>
      </c>
      <c r="J295" s="518"/>
      <c r="K295" s="516" t="s">
        <v>1003</v>
      </c>
      <c r="L295" s="519"/>
      <c r="M295" s="516" t="s">
        <v>1004</v>
      </c>
      <c r="N295" s="520"/>
      <c r="O295" s="1266" t="s">
        <v>55</v>
      </c>
      <c r="P295" s="1419"/>
      <c r="Q295" s="1419"/>
      <c r="R295" s="1419"/>
      <c r="S295" s="1419"/>
      <c r="T295" s="1419"/>
      <c r="U295" s="1415"/>
      <c r="AN295" s="19">
        <f>IF(AND(AA294=1,EXACT(J295,"نفر اول")),(1),(0))</f>
        <v>0</v>
      </c>
      <c r="AO295" s="19">
        <f>IF(AN295=1,R294,0)</f>
        <v>0</v>
      </c>
      <c r="AP295" s="19">
        <f>IF(AND(AA294=1,EXACT(J295,"همكار")),(1),(0))</f>
        <v>0</v>
      </c>
      <c r="AQ295" s="19">
        <f>IF(AP295=1,R294,0)</f>
        <v>0</v>
      </c>
      <c r="AV295" s="19">
        <f>IF((AH294=1),R294,0)</f>
        <v>0</v>
      </c>
      <c r="AW295" s="19">
        <f>IF(AND(EXACT(AN295,"1"),EXACT(AH294,"1")),(1),(0))</f>
        <v>0</v>
      </c>
      <c r="AX295" s="19">
        <f>IF((AW295=1),AV295,0)</f>
        <v>0</v>
      </c>
      <c r="BB295" s="19">
        <f>IF((AI294=1),R294,0)</f>
        <v>0</v>
      </c>
      <c r="BC295" s="19">
        <f>IF(AND(EXACT(AI294,"1"),EXACT(AN295,"1")),(1),(0))</f>
        <v>0</v>
      </c>
      <c r="BD295" s="19">
        <f>IF((BC295=1),BB295,0)</f>
        <v>0</v>
      </c>
      <c r="BH295" s="19">
        <f>IF((AJ294=1),R294,0)</f>
        <v>0</v>
      </c>
      <c r="BI295" s="19">
        <f>IF(AND(EXACT(AJ294,"1"),EXACT(AN295,"1")),(1),(0))</f>
        <v>0</v>
      </c>
      <c r="BJ295" s="19">
        <f>IF((BI295=1),BH295,0)</f>
        <v>0</v>
      </c>
      <c r="BN295" s="19">
        <f>IF((AK294=1),R294,0)</f>
        <v>0</v>
      </c>
      <c r="BO295" s="19">
        <f>IF(AND(EXACT(AK294,"1"),EXACT(AN295,"1")),(1),(0))</f>
        <v>0</v>
      </c>
      <c r="BP295" s="19">
        <f>IF((BO295=1),BN295,0)</f>
        <v>0</v>
      </c>
      <c r="BT295" s="19">
        <f>IF((AL294=1),R294,0)</f>
        <v>0</v>
      </c>
      <c r="BU295" s="19">
        <f>IF(AND(EXACT(AN295,"1"),EXACT(AL294,"1")),(1),(0))</f>
        <v>0</v>
      </c>
      <c r="BV295" s="19">
        <f>IF((BU295=1),BT295,0)</f>
        <v>0</v>
      </c>
      <c r="BZ295" s="19">
        <f>IF((AM294=1),R294,0)</f>
        <v>0</v>
      </c>
      <c r="CA295" s="19">
        <f>IF(AND(EXACT(AM294,"1"),EXACT(AN295,"1")),(1),(0))</f>
        <v>0</v>
      </c>
      <c r="CB295" s="19">
        <f>IF((CA295=1),BZ295,0)</f>
        <v>0</v>
      </c>
    </row>
    <row r="296" spans="1:83" ht="20.25">
      <c r="A296" s="1420" t="s">
        <v>30</v>
      </c>
      <c r="B296" s="1421"/>
      <c r="C296" s="1421"/>
      <c r="D296" s="1422"/>
      <c r="E296" s="536" t="s">
        <v>1001</v>
      </c>
      <c r="F296" s="537"/>
      <c r="G296" s="538" t="s">
        <v>801</v>
      </c>
      <c r="H296" s="539"/>
      <c r="I296" s="538" t="s">
        <v>1002</v>
      </c>
      <c r="J296" s="525"/>
      <c r="K296" s="538" t="s">
        <v>1003</v>
      </c>
      <c r="L296" s="540"/>
      <c r="M296" s="538" t="s">
        <v>1004</v>
      </c>
      <c r="N296" s="541"/>
      <c r="O296" s="1266"/>
      <c r="P296" s="1423"/>
      <c r="Q296" s="1423"/>
      <c r="R296" s="1423"/>
      <c r="S296" s="1423"/>
      <c r="T296" s="1423"/>
      <c r="U296" s="1415"/>
      <c r="AR296" s="19">
        <f>IF(AND(AA294=1,EXACT(J296,"نفر اول")),(1),(0))</f>
        <v>0</v>
      </c>
      <c r="AS296" s="19">
        <f>IF(AR296=1,S294,0)</f>
        <v>0</v>
      </c>
      <c r="AT296" s="19">
        <f>IF(AND(AA294=1,EXACT(J296,"همكار")),(1),(0))</f>
        <v>0</v>
      </c>
      <c r="AU296" s="19">
        <f>IF(AT296=1,S294,0)</f>
        <v>0</v>
      </c>
      <c r="AY296" s="19">
        <f>IF((AH294=1),S294,0)</f>
        <v>0</v>
      </c>
      <c r="AZ296" s="19">
        <f>IF(AND(EXACT(AR296,"1"),EXACT(AH294,"1")),(1),(0))</f>
        <v>0</v>
      </c>
      <c r="BA296" s="19">
        <f>IF((AZ296=1),AY296,0)</f>
        <v>0</v>
      </c>
      <c r="BE296" s="19">
        <f>IF((AI294=1),S294,0)</f>
        <v>0</v>
      </c>
      <c r="BF296" s="19">
        <f>IF(AND(EXACT(AI294,"1"),EXACT(AR296,"1")),(1),(0))</f>
        <v>0</v>
      </c>
      <c r="BG296" s="19">
        <f>IF((BF296=1),BE296,0)</f>
        <v>0</v>
      </c>
      <c r="BK296" s="19">
        <f>IF((AJ294=1),S294,0)</f>
        <v>0</v>
      </c>
      <c r="BL296" s="19">
        <f>IF(AND(EXACT(AJ294,"1"),EXACT(AR296,"1")),(1),(0))</f>
        <v>0</v>
      </c>
      <c r="BM296" s="19">
        <f>IF((BL296=1),BK296,0)</f>
        <v>0</v>
      </c>
      <c r="BQ296" s="19">
        <f>IF((AJ294=1),S294,0)</f>
        <v>0</v>
      </c>
      <c r="BR296" s="19">
        <f>IF(AND(EXACT(AJ294,"1"),EXACT(AR296,"1")),(1),(0))</f>
        <v>0</v>
      </c>
      <c r="BS296" s="19">
        <f>IF((BL296=1),BK296,0)</f>
        <v>0</v>
      </c>
      <c r="BW296" s="19">
        <f>IF((AL294=1),S294,0)</f>
        <v>0</v>
      </c>
      <c r="BX296" s="19">
        <f>IF(AND(EXACT(AL294,"1"),EXACT(AR296,"1")),(1),(0))</f>
        <v>0</v>
      </c>
      <c r="BY296" s="19">
        <f>IF((BX296=1),BW296,0)</f>
        <v>0</v>
      </c>
      <c r="CC296" s="19">
        <f>IF((AM294=1),R294,0)</f>
        <v>0</v>
      </c>
      <c r="CD296" s="19">
        <f>IF(AND(EXACT(AM294,"1"),EXACT(AR296,"1")),(1),(0))</f>
        <v>0</v>
      </c>
      <c r="CE296" s="19">
        <f>IF((CD296=1),CC296,0)</f>
        <v>0</v>
      </c>
    </row>
    <row r="297" spans="1:83" ht="20.25">
      <c r="A297" s="12">
        <f>IF(AA297=0,0,IF(AA294=0,Z297,SUM(A294,AA297)))</f>
        <v>0</v>
      </c>
      <c r="B297" s="1157"/>
      <c r="C297" s="1157"/>
      <c r="D297" s="1157"/>
      <c r="E297" s="1182"/>
      <c r="F297" s="1424"/>
      <c r="G297" s="1424"/>
      <c r="H297" s="527"/>
      <c r="I297" s="528"/>
      <c r="J297" s="529"/>
      <c r="K297" s="530"/>
      <c r="L297" s="531"/>
      <c r="M297" s="532"/>
      <c r="N297" s="533"/>
      <c r="O297" s="532"/>
      <c r="P297" s="1182"/>
      <c r="Q297" s="1182"/>
      <c r="R297" s="534">
        <f t="shared" ref="R297" ca="1" si="376">IF(OR(EXACT(H297,""),EXACT(B297,""),EXACT(F298,""),EXACT(H298,""),EXACT(J298,""),EXACT(L298,""),EXACT(N298,""),EXACT(F297,""),EXACT(J297,""),EXACT(M297,""),EXACT(N297,""),EXACT(O297,""),EXACT(P297,"")),0,IF(OR(EXACT(P298,"مقاله پر استناد"),EXACT(P298,"مقاله داغ"),EXACT(P298,"مستخرج از برنامه تحقيقاتي ملي معطوف به رفع مشكلات كشور")),(1.5*(F298*N298*(IF(EXACT(J298,"نفر اول"),INDIRECT(CONCATENATE("'Data Base'!$d",H298)),INDIRECT(CONCATENATE("'Data Base'!$e",H298))))*((100-L298)/100))),IF(EXACT(P298,"Short Article"),(0.5*(F298*N298*(IF(EXACT(J298,"نفر اول"),INDIRECT(CONCATENATE("'Data Base'!$D",H298)),INDIRECT(CONCATENATE("'Data Base'!$E",H298))))*((100-L298)/100))),IF(EXACT(P298,"چاپ شده در نشريات بسيار پر استناد Nature و Science"),(2*(F298*N298*(IF(EXACT(J298,"نفر اول"),INDIRECT(CONCATENATE("'Data Base'!$D",H298)),INDIRECT(CONCATENATE("'Data Base'!$E",H298))))*((100-L298)/100))),IF(OR(EXACT(P298,"مستخرج از طرح پژوهشي محرمانه"),EXACT(P298,"مشترك با اساتيد دانشگاه خارج از كشور")),(1.2*(F298*N298*(IF(EXACT(J298,"نفر اول"),INDIRECT(CONCATENATE("'Data Base'!$D",H298)),INDIRECT(CONCATENATE("'Data Base'!$E",H298))))*((100-L298)/100))),(F298*N298*(IF(EXACT(J298,"نفر اول"),INDIRECT(CONCATENATE("'Data Base'!$d",H298)),INDIRECT(CONCATENATE("'Data Base'!$e",H298))))*((100-L298)/100)))))))</f>
        <v>0</v>
      </c>
      <c r="S297" s="535">
        <f t="shared" ref="S297" ca="1" si="377">IF(OR(EXACT(H297,""),EXACT(B297,""),EXACT(F299,""),EXACT(H299,""),EXACT(J299,""),EXACT(L299,""),EXACT(N299,""),EXACT(F297,""),EXACT(J297,""),EXACT(M297,""),EXACT(N297,""),EXACT(O297,""),EXACT(P297,"")),0,IF(OR(EXACT(P299,"مقاله پر استناد"),EXACT(P299,"مقاله داغ"),EXACT(P299,"مستخرج از برنامه تحقيقاتي ملي معطوف به رفع مشكلات كشور")),(1.5*(F299*N299*(IF(EXACT(J299,"نفر اول"),INDIRECT(CONCATENATE("'Data Base'!$d",H299)),INDIRECT(CONCATENATE("'Data Base'!$E",H299))))*((100-L299)/100))),IF(EXACT(P299,"Short Article"),(0.5*(F299*N299*(IF(EXACT(J299,"نفر اول"),INDIRECT(CONCATENATE("'Data Base'!$D",H299)),INDIRECT(CONCATENATE("'Data Base'!$E",H299))))*((100-L299)/100))),IF(EXACT(P299,"چاپ شده در نشريات بسيار پر استناد Nature و Science"),(2*(F299*N299*(IF(EXACT(J299,"نفر اول"),INDIRECT(CONCATENATE("'Data Base'!$D",H299)),INDIRECT(CONCATENATE("'Data Base'!$E",H299))))*((100-L299)/100))),IF(OR(EXACT(P299,"مستخرج از طرح پژوهشي محرمانه"),EXACT(P299,"مشترك با اساتيد دانشگاه خارج از كشور")),(1.2*(F299*N299*(IF(EXACT(J299,"نفر اول"),INDIRECT(CONCATENATE("'Data Base'!$D",H299)),INDIRECT(CONCATENATE("'Data Base'!$E",H299))))*((100-L299)/100))),(F299*N299*(IF(EXACT(J299,"نفر اول"),INDIRECT(CONCATENATE("'Data Base'!$D",H299)),INDIRECT(CONCATENATE("'Data Base'!$E",H299))))*((100-L299)/100)))))))</f>
        <v>0</v>
      </c>
      <c r="T297" s="147"/>
      <c r="U297" s="1414"/>
      <c r="Z297" s="19">
        <f>SUM(Z294,AA297)</f>
        <v>0</v>
      </c>
      <c r="AA297" s="19">
        <f>IF(OR(OR(B297="",F297="",H297="",J297="",P297=""),AND(M297="",O297="")),0,1)</f>
        <v>0</v>
      </c>
      <c r="AB297" s="19">
        <f t="shared" ref="AB297" ca="1" si="378">IF(AND(AA297=1,S297&gt;0),1,0)</f>
        <v>0</v>
      </c>
      <c r="AC297" s="19">
        <f t="shared" ref="AC297" ca="1" si="379">IF(AND(AA297=1,S297&lt;1),1,0)</f>
        <v>0</v>
      </c>
      <c r="AD297" s="19">
        <f ca="1">IF(AND(AA297=1,S297&gt;=1,AJ297=1),1,0)</f>
        <v>0</v>
      </c>
      <c r="AE297" s="19">
        <f ca="1">IF(AD297=1,S297,0)</f>
        <v>0</v>
      </c>
      <c r="AF297" s="19">
        <f ca="1">IF(AND(AA297=1,S297&gt;=1,AJ297=1,AR299=1),1,0)</f>
        <v>0</v>
      </c>
      <c r="AG297" s="19">
        <f ca="1">IF(AF297=1,S297,0)</f>
        <v>0</v>
      </c>
      <c r="AH297" s="19">
        <f>IF(OR(EXACT(H297,"JCR-Q1"),EXACT(H297,"JCR-Q2")),(1),(0))</f>
        <v>0</v>
      </c>
      <c r="AI297" s="19">
        <f>IF(OR(EXACT(H297,"JCR-Q1"),EXACT(H297,"JCR-Q2"),EXACT(H297,"JCR-Q3")),(1),(0))</f>
        <v>0</v>
      </c>
      <c r="AJ297" s="19">
        <f>IF(OR(EXACT(H297,"JCR-Q1"),EXACT(H297,"JCR-Q2"),EXACT(H297,"JCR-Q3"),EXACT(H297,"JCR-Q4")),(1),(0))</f>
        <v>0</v>
      </c>
      <c r="AK297" s="19">
        <f>IF(OR(EXACT(H297,"JCR-Q1"),EXACT(H297,"JCR-Q2"),EXACT(H297,"JCR-Q3"),EXACT(H297,"JCR-Q4"),EXACT(H297,"WOS")),(1),(0))</f>
        <v>0</v>
      </c>
      <c r="AL297" s="19">
        <f>IF(OR(EXACT(H297,"JCR-Q1"),EXACT(H297,"JCR-Q2"),EXACT(H297,"JCR-Q3"),EXACT(H297,"JCR-Q4"),EXACT(H297,"WOS"),EXACT(H297,"Scopus")),(1),(0))</f>
        <v>0</v>
      </c>
      <c r="AM297" s="19">
        <f>IF(OR(EXACT(H297,'Data Base'!$B$21),EXACT(H297,'Data Base'!$B$22)),(1),(0))</f>
        <v>0</v>
      </c>
    </row>
    <row r="298" spans="1:83" ht="20.25" customHeight="1">
      <c r="A298" s="1416" t="s">
        <v>29</v>
      </c>
      <c r="B298" s="1417"/>
      <c r="C298" s="1417"/>
      <c r="D298" s="1418"/>
      <c r="E298" s="514" t="s">
        <v>1001</v>
      </c>
      <c r="F298" s="515"/>
      <c r="G298" s="516" t="s">
        <v>801</v>
      </c>
      <c r="H298" s="517"/>
      <c r="I298" s="516" t="s">
        <v>1002</v>
      </c>
      <c r="J298" s="518"/>
      <c r="K298" s="516" t="s">
        <v>1003</v>
      </c>
      <c r="L298" s="519"/>
      <c r="M298" s="516" t="s">
        <v>1004</v>
      </c>
      <c r="N298" s="520"/>
      <c r="O298" s="1266" t="s">
        <v>55</v>
      </c>
      <c r="P298" s="1419"/>
      <c r="Q298" s="1419"/>
      <c r="R298" s="1419"/>
      <c r="S298" s="1419"/>
      <c r="T298" s="1419"/>
      <c r="U298" s="1415"/>
      <c r="AN298" s="19">
        <f>IF(AND(AA297=1,EXACT(J298,"نفر اول")),(1),(0))</f>
        <v>0</v>
      </c>
      <c r="AO298" s="19">
        <f>IF(AN298=1,R297,0)</f>
        <v>0</v>
      </c>
      <c r="AP298" s="19">
        <f>IF(AND(AA297=1,EXACT(J298,"همكار")),(1),(0))</f>
        <v>0</v>
      </c>
      <c r="AQ298" s="19">
        <f>IF(AP298=1,R297,0)</f>
        <v>0</v>
      </c>
      <c r="AV298" s="19">
        <f>IF((AH297=1),R297,0)</f>
        <v>0</v>
      </c>
      <c r="AW298" s="19">
        <f>IF(AND(EXACT(AN298,"1"),EXACT(AH297,"1")),(1),(0))</f>
        <v>0</v>
      </c>
      <c r="AX298" s="19">
        <f>IF((AW298=1),AV298,0)</f>
        <v>0</v>
      </c>
      <c r="BB298" s="19">
        <f>IF((AI297=1),R297,0)</f>
        <v>0</v>
      </c>
      <c r="BC298" s="19">
        <f>IF(AND(EXACT(AI297,"1"),EXACT(AN298,"1")),(1),(0))</f>
        <v>0</v>
      </c>
      <c r="BD298" s="19">
        <f>IF((BC298=1),BB298,0)</f>
        <v>0</v>
      </c>
      <c r="BH298" s="19">
        <f>IF((AJ297=1),R297,0)</f>
        <v>0</v>
      </c>
      <c r="BI298" s="19">
        <f>IF(AND(EXACT(AJ297,"1"),EXACT(AN298,"1")),(1),(0))</f>
        <v>0</v>
      </c>
      <c r="BJ298" s="19">
        <f>IF((BI298=1),BH298,0)</f>
        <v>0</v>
      </c>
      <c r="BN298" s="19">
        <f>IF((AK297=1),R297,0)</f>
        <v>0</v>
      </c>
      <c r="BO298" s="19">
        <f>IF(AND(EXACT(AK297,"1"),EXACT(AN298,"1")),(1),(0))</f>
        <v>0</v>
      </c>
      <c r="BP298" s="19">
        <f>IF((BO298=1),BN298,0)</f>
        <v>0</v>
      </c>
      <c r="BT298" s="19">
        <f>IF((AL297=1),R297,0)</f>
        <v>0</v>
      </c>
      <c r="BU298" s="19">
        <f>IF(AND(EXACT(AN298,"1"),EXACT(AL297,"1")),(1),(0))</f>
        <v>0</v>
      </c>
      <c r="BV298" s="19">
        <f>IF((BU298=1),BT298,0)</f>
        <v>0</v>
      </c>
      <c r="BZ298" s="19">
        <f>IF((AM297=1),R297,0)</f>
        <v>0</v>
      </c>
      <c r="CA298" s="19">
        <f>IF(AND(EXACT(AM297,"1"),EXACT(AN298,"1")),(1),(0))</f>
        <v>0</v>
      </c>
      <c r="CB298" s="19">
        <f>IF((CA298=1),BZ298,0)</f>
        <v>0</v>
      </c>
    </row>
    <row r="299" spans="1:83" ht="20.25">
      <c r="A299" s="1420" t="s">
        <v>30</v>
      </c>
      <c r="B299" s="1421"/>
      <c r="C299" s="1421"/>
      <c r="D299" s="1422"/>
      <c r="E299" s="536" t="s">
        <v>1001</v>
      </c>
      <c r="F299" s="537"/>
      <c r="G299" s="538" t="s">
        <v>801</v>
      </c>
      <c r="H299" s="539"/>
      <c r="I299" s="538" t="s">
        <v>1002</v>
      </c>
      <c r="J299" s="525"/>
      <c r="K299" s="538" t="s">
        <v>1003</v>
      </c>
      <c r="L299" s="540"/>
      <c r="M299" s="538" t="s">
        <v>1004</v>
      </c>
      <c r="N299" s="541"/>
      <c r="O299" s="1266"/>
      <c r="P299" s="1423"/>
      <c r="Q299" s="1423"/>
      <c r="R299" s="1423"/>
      <c r="S299" s="1423"/>
      <c r="T299" s="1423"/>
      <c r="U299" s="1415"/>
      <c r="AR299" s="19">
        <f>IF(AND(AA297=1,EXACT(J299,"نفر اول")),(1),(0))</f>
        <v>0</v>
      </c>
      <c r="AS299" s="19">
        <f>IF(AR299=1,S297,0)</f>
        <v>0</v>
      </c>
      <c r="AT299" s="19">
        <f>IF(AND(AA297=1,EXACT(J299,"همكار")),(1),(0))</f>
        <v>0</v>
      </c>
      <c r="AU299" s="19">
        <f>IF(AT299=1,S297,0)</f>
        <v>0</v>
      </c>
      <c r="AY299" s="19">
        <f>IF((AH297=1),S297,0)</f>
        <v>0</v>
      </c>
      <c r="AZ299" s="19">
        <f>IF(AND(EXACT(AR299,"1"),EXACT(AH297,"1")),(1),(0))</f>
        <v>0</v>
      </c>
      <c r="BA299" s="19">
        <f>IF((AZ299=1),AY299,0)</f>
        <v>0</v>
      </c>
      <c r="BE299" s="19">
        <f>IF((AI297=1),S297,0)</f>
        <v>0</v>
      </c>
      <c r="BF299" s="19">
        <f>IF(AND(EXACT(AI297,"1"),EXACT(AR299,"1")),(1),(0))</f>
        <v>0</v>
      </c>
      <c r="BG299" s="19">
        <f>IF((BF299=1),BE299,0)</f>
        <v>0</v>
      </c>
      <c r="BK299" s="19">
        <f>IF((AJ297=1),S297,0)</f>
        <v>0</v>
      </c>
      <c r="BL299" s="19">
        <f>IF(AND(EXACT(AJ297,"1"),EXACT(AR299,"1")),(1),(0))</f>
        <v>0</v>
      </c>
      <c r="BM299" s="19">
        <f>IF((BL299=1),BK299,0)</f>
        <v>0</v>
      </c>
      <c r="BQ299" s="19">
        <f>IF((AJ297=1),S297,0)</f>
        <v>0</v>
      </c>
      <c r="BR299" s="19">
        <f>IF(AND(EXACT(AJ297,"1"),EXACT(AR299,"1")),(1),(0))</f>
        <v>0</v>
      </c>
      <c r="BS299" s="19">
        <f>IF((BL299=1),BK299,0)</f>
        <v>0</v>
      </c>
      <c r="BW299" s="19">
        <f>IF((AL297=1),S297,0)</f>
        <v>0</v>
      </c>
      <c r="BX299" s="19">
        <f>IF(AND(EXACT(AL297,"1"),EXACT(AR299,"1")),(1),(0))</f>
        <v>0</v>
      </c>
      <c r="BY299" s="19">
        <f>IF((BX299=1),BW299,0)</f>
        <v>0</v>
      </c>
      <c r="CC299" s="19">
        <f>IF((AM297=1),R297,0)</f>
        <v>0</v>
      </c>
      <c r="CD299" s="19">
        <f>IF(AND(EXACT(AM297,"1"),EXACT(AR299,"1")),(1),(0))</f>
        <v>0</v>
      </c>
      <c r="CE299" s="19">
        <f>IF((CD299=1),CC299,0)</f>
        <v>0</v>
      </c>
    </row>
    <row r="300" spans="1:83" ht="20.25">
      <c r="A300" s="12">
        <f>IF(AA300=0,0,IF(AA297=0,Z300,SUM(A297,AA300)))</f>
        <v>0</v>
      </c>
      <c r="B300" s="1157"/>
      <c r="C300" s="1157"/>
      <c r="D300" s="1157"/>
      <c r="E300" s="1182"/>
      <c r="F300" s="1424"/>
      <c r="G300" s="1424"/>
      <c r="H300" s="527"/>
      <c r="I300" s="528"/>
      <c r="J300" s="529"/>
      <c r="K300" s="530"/>
      <c r="L300" s="531"/>
      <c r="M300" s="532"/>
      <c r="N300" s="533"/>
      <c r="O300" s="532"/>
      <c r="P300" s="1182"/>
      <c r="Q300" s="1182"/>
      <c r="R300" s="534">
        <f t="shared" ref="R300" ca="1" si="380">IF(OR(EXACT(H300,""),EXACT(B300,""),EXACT(F301,""),EXACT(H301,""),EXACT(J301,""),EXACT(L301,""),EXACT(N301,""),EXACT(F300,""),EXACT(J300,""),EXACT(M300,""),EXACT(N300,""),EXACT(O300,""),EXACT(P300,"")),0,IF(OR(EXACT(P301,"مقاله پر استناد"),EXACT(P301,"مقاله داغ"),EXACT(P301,"مستخرج از برنامه تحقيقاتي ملي معطوف به رفع مشكلات كشور")),(1.5*(F301*N301*(IF(EXACT(J301,"نفر اول"),INDIRECT(CONCATENATE("'Data Base'!$d",H301)),INDIRECT(CONCATENATE("'Data Base'!$e",H301))))*((100-L301)/100))),IF(EXACT(P301,"Short Article"),(0.5*(F301*N301*(IF(EXACT(J301,"نفر اول"),INDIRECT(CONCATENATE("'Data Base'!$D",H301)),INDIRECT(CONCATENATE("'Data Base'!$E",H301))))*((100-L301)/100))),IF(EXACT(P301,"چاپ شده در نشريات بسيار پر استناد Nature و Science"),(2*(F301*N301*(IF(EXACT(J301,"نفر اول"),INDIRECT(CONCATENATE("'Data Base'!$D",H301)),INDIRECT(CONCATENATE("'Data Base'!$E",H301))))*((100-L301)/100))),IF(OR(EXACT(P301,"مستخرج از طرح پژوهشي محرمانه"),EXACT(P301,"مشترك با اساتيد دانشگاه خارج از كشور")),(1.2*(F301*N301*(IF(EXACT(J301,"نفر اول"),INDIRECT(CONCATENATE("'Data Base'!$D",H301)),INDIRECT(CONCATENATE("'Data Base'!$E",H301))))*((100-L301)/100))),(F301*N301*(IF(EXACT(J301,"نفر اول"),INDIRECT(CONCATENATE("'Data Base'!$d",H301)),INDIRECT(CONCATENATE("'Data Base'!$e",H301))))*((100-L301)/100)))))))</f>
        <v>0</v>
      </c>
      <c r="S300" s="535">
        <f t="shared" ref="S300" ca="1" si="381">IF(OR(EXACT(H300,""),EXACT(B300,""),EXACT(F302,""),EXACT(H302,""),EXACT(J302,""),EXACT(L302,""),EXACT(N302,""),EXACT(F300,""),EXACT(J300,""),EXACT(M300,""),EXACT(N300,""),EXACT(O300,""),EXACT(P300,"")),0,IF(OR(EXACT(P302,"مقاله پر استناد"),EXACT(P302,"مقاله داغ"),EXACT(P302,"مستخرج از برنامه تحقيقاتي ملي معطوف به رفع مشكلات كشور")),(1.5*(F302*N302*(IF(EXACT(J302,"نفر اول"),INDIRECT(CONCATENATE("'Data Base'!$d",H302)),INDIRECT(CONCATENATE("'Data Base'!$E",H302))))*((100-L302)/100))),IF(EXACT(P302,"Short Article"),(0.5*(F302*N302*(IF(EXACT(J302,"نفر اول"),INDIRECT(CONCATENATE("'Data Base'!$D",H302)),INDIRECT(CONCATENATE("'Data Base'!$E",H302))))*((100-L302)/100))),IF(EXACT(P302,"چاپ شده در نشريات بسيار پر استناد Nature و Science"),(2*(F302*N302*(IF(EXACT(J302,"نفر اول"),INDIRECT(CONCATENATE("'Data Base'!$D",H302)),INDIRECT(CONCATENATE("'Data Base'!$E",H302))))*((100-L302)/100))),IF(OR(EXACT(P302,"مستخرج از طرح پژوهشي محرمانه"),EXACT(P302,"مشترك با اساتيد دانشگاه خارج از كشور")),(1.2*(F302*N302*(IF(EXACT(J302,"نفر اول"),INDIRECT(CONCATENATE("'Data Base'!$D",H302)),INDIRECT(CONCATENATE("'Data Base'!$E",H302))))*((100-L302)/100))),(F302*N302*(IF(EXACT(J302,"نفر اول"),INDIRECT(CONCATENATE("'Data Base'!$D",H302)),INDIRECT(CONCATENATE("'Data Base'!$E",H302))))*((100-L302)/100)))))))</f>
        <v>0</v>
      </c>
      <c r="T300" s="147"/>
      <c r="U300" s="1414"/>
      <c r="Z300" s="19">
        <f>SUM(Z297,AA300)</f>
        <v>0</v>
      </c>
      <c r="AA300" s="19">
        <f>IF(OR(OR(B300="",F300="",H300="",J300="",P300=""),AND(M300="",O300="")),0,1)</f>
        <v>0</v>
      </c>
      <c r="AB300" s="19">
        <f t="shared" ref="AB300" ca="1" si="382">IF(AND(AA300=1,S300&gt;0),1,0)</f>
        <v>0</v>
      </c>
      <c r="AC300" s="19">
        <f t="shared" ref="AC300" ca="1" si="383">IF(AND(AA300=1,S300&lt;1),1,0)</f>
        <v>0</v>
      </c>
      <c r="AD300" s="19">
        <f ca="1">IF(AND(AA300=1,S300&gt;=1,AJ300=1),1,0)</f>
        <v>0</v>
      </c>
      <c r="AE300" s="19">
        <f ca="1">IF(AD300=1,S300,0)</f>
        <v>0</v>
      </c>
      <c r="AF300" s="19">
        <f ca="1">IF(AND(AA300=1,S300&gt;=1,AJ300=1,AR302=1),1,0)</f>
        <v>0</v>
      </c>
      <c r="AG300" s="19">
        <f ca="1">IF(AF300=1,S300,0)</f>
        <v>0</v>
      </c>
      <c r="AH300" s="19">
        <f>IF(OR(EXACT(H300,"JCR-Q1"),EXACT(H300,"JCR-Q2")),(1),(0))</f>
        <v>0</v>
      </c>
      <c r="AI300" s="19">
        <f>IF(OR(EXACT(H300,"JCR-Q1"),EXACT(H300,"JCR-Q2"),EXACT(H300,"JCR-Q3")),(1),(0))</f>
        <v>0</v>
      </c>
      <c r="AJ300" s="19">
        <f>IF(OR(EXACT(H300,"JCR-Q1"),EXACT(H300,"JCR-Q2"),EXACT(H300,"JCR-Q3"),EXACT(H300,"JCR-Q4")),(1),(0))</f>
        <v>0</v>
      </c>
      <c r="AK300" s="19">
        <f>IF(OR(EXACT(H300,"JCR-Q1"),EXACT(H300,"JCR-Q2"),EXACT(H300,"JCR-Q3"),EXACT(H300,"JCR-Q4"),EXACT(H300,"WOS")),(1),(0))</f>
        <v>0</v>
      </c>
      <c r="AL300" s="19">
        <f>IF(OR(EXACT(H300,"JCR-Q1"),EXACT(H300,"JCR-Q2"),EXACT(H300,"JCR-Q3"),EXACT(H300,"JCR-Q4"),EXACT(H300,"WOS"),EXACT(H300,"Scopus")),(1),(0))</f>
        <v>0</v>
      </c>
      <c r="AM300" s="19">
        <f>IF(OR(EXACT(H300,'Data Base'!$B$21),EXACT(H300,'Data Base'!$B$22)),(1),(0))</f>
        <v>0</v>
      </c>
    </row>
    <row r="301" spans="1:83" ht="20.25" customHeight="1">
      <c r="A301" s="1416" t="s">
        <v>29</v>
      </c>
      <c r="B301" s="1417"/>
      <c r="C301" s="1417"/>
      <c r="D301" s="1418"/>
      <c r="E301" s="514" t="s">
        <v>1001</v>
      </c>
      <c r="F301" s="515"/>
      <c r="G301" s="516" t="s">
        <v>801</v>
      </c>
      <c r="H301" s="517"/>
      <c r="I301" s="516" t="s">
        <v>1002</v>
      </c>
      <c r="J301" s="518"/>
      <c r="K301" s="516" t="s">
        <v>1003</v>
      </c>
      <c r="L301" s="519"/>
      <c r="M301" s="516" t="s">
        <v>1004</v>
      </c>
      <c r="N301" s="520"/>
      <c r="O301" s="1266" t="s">
        <v>55</v>
      </c>
      <c r="P301" s="1419"/>
      <c r="Q301" s="1419"/>
      <c r="R301" s="1419"/>
      <c r="S301" s="1419"/>
      <c r="T301" s="1419"/>
      <c r="U301" s="1415"/>
      <c r="AN301" s="19">
        <f>IF(AND(AA300=1,EXACT(J301,"نفر اول")),(1),(0))</f>
        <v>0</v>
      </c>
      <c r="AO301" s="19">
        <f>IF(AN301=1,R300,0)</f>
        <v>0</v>
      </c>
      <c r="AP301" s="19">
        <f>IF(AND(AA300=1,EXACT(J301,"همكار")),(1),(0))</f>
        <v>0</v>
      </c>
      <c r="AQ301" s="19">
        <f>IF(AP301=1,R300,0)</f>
        <v>0</v>
      </c>
      <c r="AV301" s="19">
        <f>IF((AH300=1),R300,0)</f>
        <v>0</v>
      </c>
      <c r="AW301" s="19">
        <f>IF(AND(EXACT(AN301,"1"),EXACT(AH300,"1")),(1),(0))</f>
        <v>0</v>
      </c>
      <c r="AX301" s="19">
        <f>IF((AW301=1),AV301,0)</f>
        <v>0</v>
      </c>
      <c r="BB301" s="19">
        <f>IF((AI300=1),R300,0)</f>
        <v>0</v>
      </c>
      <c r="BC301" s="19">
        <f>IF(AND(EXACT(AI300,"1"),EXACT(AN301,"1")),(1),(0))</f>
        <v>0</v>
      </c>
      <c r="BD301" s="19">
        <f>IF((BC301=1),BB301,0)</f>
        <v>0</v>
      </c>
      <c r="BH301" s="19">
        <f>IF((AJ300=1),R300,0)</f>
        <v>0</v>
      </c>
      <c r="BI301" s="19">
        <f>IF(AND(EXACT(AJ300,"1"),EXACT(AN301,"1")),(1),(0))</f>
        <v>0</v>
      </c>
      <c r="BJ301" s="19">
        <f>IF((BI301=1),BH301,0)</f>
        <v>0</v>
      </c>
      <c r="BN301" s="19">
        <f>IF((AK300=1),R300,0)</f>
        <v>0</v>
      </c>
      <c r="BO301" s="19">
        <f>IF(AND(EXACT(AK300,"1"),EXACT(AN301,"1")),(1),(0))</f>
        <v>0</v>
      </c>
      <c r="BP301" s="19">
        <f>IF((BO301=1),BN301,0)</f>
        <v>0</v>
      </c>
      <c r="BT301" s="19">
        <f>IF((AL300=1),R300,0)</f>
        <v>0</v>
      </c>
      <c r="BU301" s="19">
        <f>IF(AND(EXACT(AN301,"1"),EXACT(AL300,"1")),(1),(0))</f>
        <v>0</v>
      </c>
      <c r="BV301" s="19">
        <f>IF((BU301=1),BT301,0)</f>
        <v>0</v>
      </c>
      <c r="BZ301" s="19">
        <f>IF((AM300=1),R300,0)</f>
        <v>0</v>
      </c>
      <c r="CA301" s="19">
        <f>IF(AND(EXACT(AM300,"1"),EXACT(AN301,"1")),(1),(0))</f>
        <v>0</v>
      </c>
      <c r="CB301" s="19">
        <f>IF((CA301=1),BZ301,0)</f>
        <v>0</v>
      </c>
    </row>
    <row r="302" spans="1:83" ht="20.25">
      <c r="A302" s="1420" t="s">
        <v>30</v>
      </c>
      <c r="B302" s="1421"/>
      <c r="C302" s="1421"/>
      <c r="D302" s="1422"/>
      <c r="E302" s="536" t="s">
        <v>1001</v>
      </c>
      <c r="F302" s="537"/>
      <c r="G302" s="538" t="s">
        <v>801</v>
      </c>
      <c r="H302" s="539"/>
      <c r="I302" s="538" t="s">
        <v>1002</v>
      </c>
      <c r="J302" s="525"/>
      <c r="K302" s="538" t="s">
        <v>1003</v>
      </c>
      <c r="L302" s="540"/>
      <c r="M302" s="538" t="s">
        <v>1004</v>
      </c>
      <c r="N302" s="541"/>
      <c r="O302" s="1266"/>
      <c r="P302" s="1423"/>
      <c r="Q302" s="1423"/>
      <c r="R302" s="1423"/>
      <c r="S302" s="1423"/>
      <c r="T302" s="1423"/>
      <c r="U302" s="1415"/>
      <c r="AR302" s="19">
        <f>IF(AND(AA300=1,EXACT(J302,"نفر اول")),(1),(0))</f>
        <v>0</v>
      </c>
      <c r="AS302" s="19">
        <f>IF(AR302=1,S300,0)</f>
        <v>0</v>
      </c>
      <c r="AT302" s="19">
        <f>IF(AND(AA300=1,EXACT(J302,"همكار")),(1),(0))</f>
        <v>0</v>
      </c>
      <c r="AU302" s="19">
        <f>IF(AT302=1,S300,0)</f>
        <v>0</v>
      </c>
      <c r="AY302" s="19">
        <f>IF((AH300=1),S300,0)</f>
        <v>0</v>
      </c>
      <c r="AZ302" s="19">
        <f>IF(AND(EXACT(AR302,"1"),EXACT(AH300,"1")),(1),(0))</f>
        <v>0</v>
      </c>
      <c r="BA302" s="19">
        <f>IF((AZ302=1),AY302,0)</f>
        <v>0</v>
      </c>
      <c r="BE302" s="19">
        <f>IF((AI300=1),S300,0)</f>
        <v>0</v>
      </c>
      <c r="BF302" s="19">
        <f>IF(AND(EXACT(AI300,"1"),EXACT(AR302,"1")),(1),(0))</f>
        <v>0</v>
      </c>
      <c r="BG302" s="19">
        <f>IF((BF302=1),BE302,0)</f>
        <v>0</v>
      </c>
      <c r="BK302" s="19">
        <f>IF((AJ300=1),S300,0)</f>
        <v>0</v>
      </c>
      <c r="BL302" s="19">
        <f>IF(AND(EXACT(AJ300,"1"),EXACT(AR302,"1")),(1),(0))</f>
        <v>0</v>
      </c>
      <c r="BM302" s="19">
        <f>IF((BL302=1),BK302,0)</f>
        <v>0</v>
      </c>
      <c r="BQ302" s="19">
        <f>IF((AJ300=1),S300,0)</f>
        <v>0</v>
      </c>
      <c r="BR302" s="19">
        <f>IF(AND(EXACT(AJ300,"1"),EXACT(AR302,"1")),(1),(0))</f>
        <v>0</v>
      </c>
      <c r="BS302" s="19">
        <f>IF((BL302=1),BK302,0)</f>
        <v>0</v>
      </c>
      <c r="BW302" s="19">
        <f>IF((AL300=1),S300,0)</f>
        <v>0</v>
      </c>
      <c r="BX302" s="19">
        <f>IF(AND(EXACT(AL300,"1"),EXACT(AR302,"1")),(1),(0))</f>
        <v>0</v>
      </c>
      <c r="BY302" s="19">
        <f>IF((BX302=1),BW302,0)</f>
        <v>0</v>
      </c>
      <c r="CC302" s="19">
        <f>IF((AM300=1),R300,0)</f>
        <v>0</v>
      </c>
      <c r="CD302" s="19">
        <f>IF(AND(EXACT(AM300,"1"),EXACT(AR302,"1")),(1),(0))</f>
        <v>0</v>
      </c>
      <c r="CE302" s="19">
        <f>IF((CD302=1),CC302,0)</f>
        <v>0</v>
      </c>
    </row>
    <row r="303" spans="1:83" ht="20.25">
      <c r="A303" s="12">
        <f>IF(AA303=0,0,IF(AA300=0,Z303,SUM(A300,AA303)))</f>
        <v>0</v>
      </c>
      <c r="B303" s="1157"/>
      <c r="C303" s="1157"/>
      <c r="D303" s="1157"/>
      <c r="E303" s="1182"/>
      <c r="F303" s="1424"/>
      <c r="G303" s="1424"/>
      <c r="H303" s="527"/>
      <c r="I303" s="528"/>
      <c r="J303" s="529"/>
      <c r="K303" s="530"/>
      <c r="L303" s="531"/>
      <c r="M303" s="532"/>
      <c r="N303" s="533"/>
      <c r="O303" s="532"/>
      <c r="P303" s="1182"/>
      <c r="Q303" s="1182"/>
      <c r="R303" s="534">
        <f t="shared" ref="R303" ca="1" si="384">IF(OR(EXACT(H303,""),EXACT(B303,""),EXACT(F304,""),EXACT(H304,""),EXACT(J304,""),EXACT(L304,""),EXACT(N304,""),EXACT(F303,""),EXACT(J303,""),EXACT(M303,""),EXACT(N303,""),EXACT(O303,""),EXACT(P303,"")),0,IF(OR(EXACT(P304,"مقاله پر استناد"),EXACT(P304,"مقاله داغ"),EXACT(P304,"مستخرج از برنامه تحقيقاتي ملي معطوف به رفع مشكلات كشور")),(1.5*(F304*N304*(IF(EXACT(J304,"نفر اول"),INDIRECT(CONCATENATE("'Data Base'!$d",H304)),INDIRECT(CONCATENATE("'Data Base'!$e",H304))))*((100-L304)/100))),IF(EXACT(P304,"Short Article"),(0.5*(F304*N304*(IF(EXACT(J304,"نفر اول"),INDIRECT(CONCATENATE("'Data Base'!$D",H304)),INDIRECT(CONCATENATE("'Data Base'!$E",H304))))*((100-L304)/100))),IF(EXACT(P304,"چاپ شده در نشريات بسيار پر استناد Nature و Science"),(2*(F304*N304*(IF(EXACT(J304,"نفر اول"),INDIRECT(CONCATENATE("'Data Base'!$D",H304)),INDIRECT(CONCATENATE("'Data Base'!$E",H304))))*((100-L304)/100))),IF(OR(EXACT(P304,"مستخرج از طرح پژوهشي محرمانه"),EXACT(P304,"مشترك با اساتيد دانشگاه خارج از كشور")),(1.2*(F304*N304*(IF(EXACT(J304,"نفر اول"),INDIRECT(CONCATENATE("'Data Base'!$D",H304)),INDIRECT(CONCATENATE("'Data Base'!$E",H304))))*((100-L304)/100))),(F304*N304*(IF(EXACT(J304,"نفر اول"),INDIRECT(CONCATENATE("'Data Base'!$d",H304)),INDIRECT(CONCATENATE("'Data Base'!$e",H304))))*((100-L304)/100)))))))</f>
        <v>0</v>
      </c>
      <c r="S303" s="535">
        <f t="shared" ref="S303" ca="1" si="385">IF(OR(EXACT(H303,""),EXACT(B303,""),EXACT(F305,""),EXACT(H305,""),EXACT(J305,""),EXACT(L305,""),EXACT(N305,""),EXACT(F303,""),EXACT(J303,""),EXACT(M303,""),EXACT(N303,""),EXACT(O303,""),EXACT(P303,"")),0,IF(OR(EXACT(P305,"مقاله پر استناد"),EXACT(P305,"مقاله داغ"),EXACT(P305,"مستخرج از برنامه تحقيقاتي ملي معطوف به رفع مشكلات كشور")),(1.5*(F305*N305*(IF(EXACT(J305,"نفر اول"),INDIRECT(CONCATENATE("'Data Base'!$d",H305)),INDIRECT(CONCATENATE("'Data Base'!$E",H305))))*((100-L305)/100))),IF(EXACT(P305,"Short Article"),(0.5*(F305*N305*(IF(EXACT(J305,"نفر اول"),INDIRECT(CONCATENATE("'Data Base'!$D",H305)),INDIRECT(CONCATENATE("'Data Base'!$E",H305))))*((100-L305)/100))),IF(EXACT(P305,"چاپ شده در نشريات بسيار پر استناد Nature و Science"),(2*(F305*N305*(IF(EXACT(J305,"نفر اول"),INDIRECT(CONCATENATE("'Data Base'!$D",H305)),INDIRECT(CONCATENATE("'Data Base'!$E",H305))))*((100-L305)/100))),IF(OR(EXACT(P305,"مستخرج از طرح پژوهشي محرمانه"),EXACT(P305,"مشترك با اساتيد دانشگاه خارج از كشور")),(1.2*(F305*N305*(IF(EXACT(J305,"نفر اول"),INDIRECT(CONCATENATE("'Data Base'!$D",H305)),INDIRECT(CONCATENATE("'Data Base'!$E",H305))))*((100-L305)/100))),(F305*N305*(IF(EXACT(J305,"نفر اول"),INDIRECT(CONCATENATE("'Data Base'!$D",H305)),INDIRECT(CONCATENATE("'Data Base'!$E",H305))))*((100-L305)/100)))))))</f>
        <v>0</v>
      </c>
      <c r="T303" s="147"/>
      <c r="U303" s="1414"/>
      <c r="Z303" s="19">
        <f>SUM(Z300,AA303)</f>
        <v>0</v>
      </c>
      <c r="AA303" s="19">
        <f>IF(OR(OR(B303="",F303="",H303="",J303="",P303=""),AND(M303="",O303="")),0,1)</f>
        <v>0</v>
      </c>
      <c r="AB303" s="19">
        <f t="shared" ref="AB303" ca="1" si="386">IF(AND(AA303=1,S303&gt;0),1,0)</f>
        <v>0</v>
      </c>
      <c r="AC303" s="19">
        <f t="shared" ref="AC303" ca="1" si="387">IF(AND(AA303=1,S303&lt;1),1,0)</f>
        <v>0</v>
      </c>
      <c r="AD303" s="19">
        <f ca="1">IF(AND(AA303=1,S303&gt;=1,AJ303=1),1,0)</f>
        <v>0</v>
      </c>
      <c r="AE303" s="19">
        <f ca="1">IF(AD303=1,S303,0)</f>
        <v>0</v>
      </c>
      <c r="AF303" s="19">
        <f ca="1">IF(AND(AA303=1,S303&gt;=1,AJ303=1,AR305=1),1,0)</f>
        <v>0</v>
      </c>
      <c r="AG303" s="19">
        <f ca="1">IF(AF303=1,S303,0)</f>
        <v>0</v>
      </c>
      <c r="AH303" s="19">
        <f>IF(OR(EXACT(H303,"JCR-Q1"),EXACT(H303,"JCR-Q2")),(1),(0))</f>
        <v>0</v>
      </c>
      <c r="AI303" s="19">
        <f>IF(OR(EXACT(H303,"JCR-Q1"),EXACT(H303,"JCR-Q2"),EXACT(H303,"JCR-Q3")),(1),(0))</f>
        <v>0</v>
      </c>
      <c r="AJ303" s="19">
        <f>IF(OR(EXACT(H303,"JCR-Q1"),EXACT(H303,"JCR-Q2"),EXACT(H303,"JCR-Q3"),EXACT(H303,"JCR-Q4")),(1),(0))</f>
        <v>0</v>
      </c>
      <c r="AK303" s="19">
        <f>IF(OR(EXACT(H303,"JCR-Q1"),EXACT(H303,"JCR-Q2"),EXACT(H303,"JCR-Q3"),EXACT(H303,"JCR-Q4"),EXACT(H303,"WOS")),(1),(0))</f>
        <v>0</v>
      </c>
      <c r="AL303" s="19">
        <f>IF(OR(EXACT(H303,"JCR-Q1"),EXACT(H303,"JCR-Q2"),EXACT(H303,"JCR-Q3"),EXACT(H303,"JCR-Q4"),EXACT(H303,"WOS"),EXACT(H303,"Scopus")),(1),(0))</f>
        <v>0</v>
      </c>
      <c r="AM303" s="19">
        <f>IF(OR(EXACT(H303,'Data Base'!$B$21),EXACT(H303,'Data Base'!$B$22)),(1),(0))</f>
        <v>0</v>
      </c>
    </row>
    <row r="304" spans="1:83" ht="20.25" customHeight="1">
      <c r="A304" s="1416" t="s">
        <v>29</v>
      </c>
      <c r="B304" s="1417"/>
      <c r="C304" s="1417"/>
      <c r="D304" s="1418"/>
      <c r="E304" s="514" t="s">
        <v>1001</v>
      </c>
      <c r="F304" s="515"/>
      <c r="G304" s="516" t="s">
        <v>801</v>
      </c>
      <c r="H304" s="517"/>
      <c r="I304" s="516" t="s">
        <v>1002</v>
      </c>
      <c r="J304" s="518"/>
      <c r="K304" s="516" t="s">
        <v>1003</v>
      </c>
      <c r="L304" s="519"/>
      <c r="M304" s="516" t="s">
        <v>1004</v>
      </c>
      <c r="N304" s="520"/>
      <c r="O304" s="1266" t="s">
        <v>55</v>
      </c>
      <c r="P304" s="1419"/>
      <c r="Q304" s="1419"/>
      <c r="R304" s="1419"/>
      <c r="S304" s="1419"/>
      <c r="T304" s="1419"/>
      <c r="U304" s="1415"/>
      <c r="AN304" s="19">
        <f>IF(AND(AA303=1,EXACT(J304,"نفر اول")),(1),(0))</f>
        <v>0</v>
      </c>
      <c r="AO304" s="19">
        <f>IF(AN304=1,R303,0)</f>
        <v>0</v>
      </c>
      <c r="AP304" s="19">
        <f>IF(AND(AA303=1,EXACT(J304,"همكار")),(1),(0))</f>
        <v>0</v>
      </c>
      <c r="AQ304" s="19">
        <f>IF(AP304=1,R303,0)</f>
        <v>0</v>
      </c>
      <c r="AV304" s="19">
        <f>IF((AH303=1),R303,0)</f>
        <v>0</v>
      </c>
      <c r="AW304" s="19">
        <f>IF(AND(EXACT(AN304,"1"),EXACT(AH303,"1")),(1),(0))</f>
        <v>0</v>
      </c>
      <c r="AX304" s="19">
        <f>IF((AW304=1),AV304,0)</f>
        <v>0</v>
      </c>
      <c r="BB304" s="19">
        <f>IF((AI303=1),R303,0)</f>
        <v>0</v>
      </c>
      <c r="BC304" s="19">
        <f>IF(AND(EXACT(AI303,"1"),EXACT(AN304,"1")),(1),(0))</f>
        <v>0</v>
      </c>
      <c r="BD304" s="19">
        <f>IF((BC304=1),BB304,0)</f>
        <v>0</v>
      </c>
      <c r="BH304" s="19">
        <f>IF((AJ303=1),R303,0)</f>
        <v>0</v>
      </c>
      <c r="BI304" s="19">
        <f>IF(AND(EXACT(AJ303,"1"),EXACT(AN304,"1")),(1),(0))</f>
        <v>0</v>
      </c>
      <c r="BJ304" s="19">
        <f>IF((BI304=1),BH304,0)</f>
        <v>0</v>
      </c>
      <c r="BN304" s="19">
        <f>IF((AK303=1),R303,0)</f>
        <v>0</v>
      </c>
      <c r="BO304" s="19">
        <f>IF(AND(EXACT(AK303,"1"),EXACT(AN304,"1")),(1),(0))</f>
        <v>0</v>
      </c>
      <c r="BP304" s="19">
        <f>IF((BO304=1),BN304,0)</f>
        <v>0</v>
      </c>
      <c r="BT304" s="19">
        <f>IF((AL303=1),R303,0)</f>
        <v>0</v>
      </c>
      <c r="BU304" s="19">
        <f>IF(AND(EXACT(AN304,"1"),EXACT(AL303,"1")),(1),(0))</f>
        <v>0</v>
      </c>
      <c r="BV304" s="19">
        <f>IF((BU304=1),BT304,0)</f>
        <v>0</v>
      </c>
      <c r="BZ304" s="19">
        <f>IF((AM303=1),R303,0)</f>
        <v>0</v>
      </c>
      <c r="CA304" s="19">
        <f>IF(AND(EXACT(AM303,"1"),EXACT(AN304,"1")),(1),(0))</f>
        <v>0</v>
      </c>
      <c r="CB304" s="19">
        <f>IF((CA304=1),BZ304,0)</f>
        <v>0</v>
      </c>
    </row>
    <row r="305" spans="1:83" ht="21" thickBot="1">
      <c r="A305" s="1420" t="s">
        <v>30</v>
      </c>
      <c r="B305" s="1421"/>
      <c r="C305" s="1421"/>
      <c r="D305" s="1422"/>
      <c r="E305" s="536" t="s">
        <v>1001</v>
      </c>
      <c r="F305" s="537"/>
      <c r="G305" s="538" t="s">
        <v>801</v>
      </c>
      <c r="H305" s="539"/>
      <c r="I305" s="538" t="s">
        <v>1002</v>
      </c>
      <c r="J305" s="525"/>
      <c r="K305" s="538" t="s">
        <v>1003</v>
      </c>
      <c r="L305" s="540"/>
      <c r="M305" s="538" t="s">
        <v>1004</v>
      </c>
      <c r="N305" s="541"/>
      <c r="O305" s="1266"/>
      <c r="P305" s="1423"/>
      <c r="Q305" s="1423"/>
      <c r="R305" s="1423"/>
      <c r="S305" s="1423"/>
      <c r="T305" s="1423"/>
      <c r="U305" s="1415"/>
      <c r="AR305" s="19">
        <f>IF(AND(AA303=1,EXACT(J305,"نفر اول")),(1),(0))</f>
        <v>0</v>
      </c>
      <c r="AS305" s="19">
        <f>IF(AR305=1,S303,0)</f>
        <v>0</v>
      </c>
      <c r="AT305" s="19">
        <f>IF(AND(AA303=1,EXACT(J305,"همكار")),(1),(0))</f>
        <v>0</v>
      </c>
      <c r="AU305" s="19">
        <f>IF(AT305=1,S303,0)</f>
        <v>0</v>
      </c>
      <c r="AY305" s="19">
        <f>IF((AH303=1),S303,0)</f>
        <v>0</v>
      </c>
      <c r="AZ305" s="19">
        <f>IF(AND(EXACT(AR305,"1"),EXACT(AH303,"1")),(1),(0))</f>
        <v>0</v>
      </c>
      <c r="BA305" s="19">
        <f>IF((AZ305=1),AY305,0)</f>
        <v>0</v>
      </c>
      <c r="BE305" s="19">
        <f>IF((AI303=1),S303,0)</f>
        <v>0</v>
      </c>
      <c r="BF305" s="19">
        <f>IF(AND(EXACT(AI303,"1"),EXACT(AR305,"1")),(1),(0))</f>
        <v>0</v>
      </c>
      <c r="BG305" s="19">
        <f>IF((BF305=1),BE305,0)</f>
        <v>0</v>
      </c>
      <c r="BK305" s="19">
        <f>IF((AJ303=1),S303,0)</f>
        <v>0</v>
      </c>
      <c r="BL305" s="19">
        <f>IF(AND(EXACT(AJ303,"1"),EXACT(AR305,"1")),(1),(0))</f>
        <v>0</v>
      </c>
      <c r="BM305" s="19">
        <f>IF((BL305=1),BK305,0)</f>
        <v>0</v>
      </c>
      <c r="BQ305" s="19">
        <f>IF((AJ303=1),S303,0)</f>
        <v>0</v>
      </c>
      <c r="BR305" s="19">
        <f>IF(AND(EXACT(AJ303,"1"),EXACT(AR305,"1")),(1),(0))</f>
        <v>0</v>
      </c>
      <c r="BS305" s="19">
        <f>IF((BL305=1),BK305,0)</f>
        <v>0</v>
      </c>
      <c r="BW305" s="19">
        <f>IF((AL303=1),S303,0)</f>
        <v>0</v>
      </c>
      <c r="BX305" s="19">
        <f>IF(AND(EXACT(AL303,"1"),EXACT(AR305,"1")),(1),(0))</f>
        <v>0</v>
      </c>
      <c r="BY305" s="19">
        <f>IF((BX305=1),BW305,0)</f>
        <v>0</v>
      </c>
      <c r="CC305" s="19">
        <f>IF((AM303=1),R303,0)</f>
        <v>0</v>
      </c>
      <c r="CD305" s="19">
        <f>IF(AND(EXACT(AM303,"1"),EXACT(AR305,"1")),(1),(0))</f>
        <v>0</v>
      </c>
      <c r="CE305" s="19">
        <f>IF((CD305=1),CC305,0)</f>
        <v>0</v>
      </c>
    </row>
    <row r="306" spans="1:83" ht="19.5" customHeight="1">
      <c r="A306" s="1427" t="str">
        <f>IF(AND(EXACT('فرم الف'!E10,'Data Base'!O34),BH306&lt;10),'Data Base'!K22,IF(AND(EXACT('فرم الف'!E10,'Data Base'!O35),BH306&lt;15),'Data Base'!K22,""))</f>
        <v/>
      </c>
      <c r="B306" s="1428"/>
      <c r="C306" s="1428"/>
      <c r="D306" s="1428"/>
      <c r="E306" s="1428"/>
      <c r="F306" s="1428"/>
      <c r="G306" s="1428"/>
      <c r="H306" s="1428"/>
      <c r="I306" s="1428"/>
      <c r="J306" s="1428"/>
      <c r="K306" s="1429" t="str">
        <f ca="1">IF(AND(EXACT('فرم الف'!E10,'Data Base'!O34),R306&lt;25),'Data Base'!K18,IF(AND(EXACT('فرم الف'!E10,'Data Base'!O35),R306&lt;40),'Data Base'!K18,'Data Base'!K17))</f>
        <v>جمع كل</v>
      </c>
      <c r="L306" s="1429"/>
      <c r="M306" s="1429"/>
      <c r="N306" s="1429"/>
      <c r="O306" s="1429"/>
      <c r="P306" s="1429"/>
      <c r="Q306" s="1429"/>
      <c r="R306" s="1442">
        <f ca="1">SUM(R6,R9,R12,R15,R18,R21,R24,R27,R30,R33,R36,R39,R42,R45,R48,R51,R54,R57,R60,R63,R66,R69,R72,R75,R78,R81,R84,R87,R90,R93,R96,R99,R102,R105,R108,R111,R114,R117,R120,R123,R126,R129,R132,R135,R138,R141,R144,R147,R150,R153,R156,R159,R162,R165,R168,R171,R174,R177,R180,R183,R186,R189,R192,R195,R198,R201,R204,R207,R210,R213,R216,R219,R222,R225,R228,R231,R234,R237,R240,R243,R246,R249,R252,R255,R258,R261,R264,R267,R270,R273,R276,R279,R282,R285,R288,R291,R294,R297,R300,R303)</f>
        <v>0</v>
      </c>
      <c r="S306" s="1444">
        <f ca="1">SUM(S6,S9,S12,S15,S18,S21,S24,S27,S30,S33,S36,S39,S42,S45,S48,S51,S54,S57,S60,S63,S66,S69,S72,S75,S78,S81,S84,S87,S90,S93,S96,S99,S102,S105,S108,S111,S114,S117,S120,S123,S126,S129,S132,S135,S138,S141,S144,S147,S150,S153,S156,S159,S162,S165,S168,S171,S174,S177,S180,S183,S186,S189,S192,S195,S198,S201,S204,S207,S210,S213,S216,S219,S222,S225,S228,S231,S234,S237,S240,S243,S246,S249,S252,S255,S258,S261,S264,S267,S270,S273,S276,S279,S282,S285,S288,S291,S294,S297,S300,S303)</f>
        <v>0</v>
      </c>
      <c r="T306" s="1446"/>
      <c r="U306" s="1448"/>
      <c r="AA306" s="19">
        <f>SUM(AA6:AA303)</f>
        <v>0</v>
      </c>
      <c r="AB306" s="19">
        <f ca="1">SUM(AB6:AB303)</f>
        <v>0</v>
      </c>
      <c r="AC306" s="19">
        <f ca="1">SUM(AC6:AC303)</f>
        <v>0</v>
      </c>
      <c r="AD306" s="19">
        <f t="shared" ref="AD306:CE306" ca="1" si="388">SUM(AD6:AD303)</f>
        <v>0</v>
      </c>
      <c r="AE306" s="19">
        <f t="shared" ca="1" si="388"/>
        <v>0</v>
      </c>
      <c r="AF306" s="19">
        <f t="shared" ca="1" si="388"/>
        <v>0</v>
      </c>
      <c r="AG306" s="19">
        <f t="shared" ca="1" si="388"/>
        <v>0</v>
      </c>
      <c r="AH306" s="19">
        <f t="shared" si="388"/>
        <v>0</v>
      </c>
      <c r="AI306" s="19">
        <f t="shared" si="388"/>
        <v>0</v>
      </c>
      <c r="AJ306" s="19">
        <f t="shared" si="388"/>
        <v>0</v>
      </c>
      <c r="AK306" s="19">
        <f t="shared" si="388"/>
        <v>0</v>
      </c>
      <c r="AL306" s="19">
        <f t="shared" si="388"/>
        <v>0</v>
      </c>
      <c r="AM306" s="19">
        <f t="shared" si="388"/>
        <v>0</v>
      </c>
      <c r="AN306" s="19">
        <f t="shared" si="388"/>
        <v>0</v>
      </c>
      <c r="AO306" s="19">
        <f t="shared" si="388"/>
        <v>0</v>
      </c>
      <c r="AP306" s="19">
        <f t="shared" si="388"/>
        <v>0</v>
      </c>
      <c r="AQ306" s="19">
        <f t="shared" si="388"/>
        <v>0</v>
      </c>
      <c r="AR306" s="19">
        <f t="shared" si="388"/>
        <v>0</v>
      </c>
      <c r="AS306" s="19">
        <f t="shared" si="388"/>
        <v>0</v>
      </c>
      <c r="AT306" s="19">
        <f t="shared" si="388"/>
        <v>0</v>
      </c>
      <c r="AU306" s="19">
        <f t="shared" si="388"/>
        <v>0</v>
      </c>
      <c r="AV306" s="19">
        <f t="shared" si="388"/>
        <v>0</v>
      </c>
      <c r="AW306" s="19">
        <f t="shared" si="388"/>
        <v>0</v>
      </c>
      <c r="AX306" s="19">
        <f t="shared" si="388"/>
        <v>0</v>
      </c>
      <c r="AY306" s="19">
        <f t="shared" si="388"/>
        <v>0</v>
      </c>
      <c r="AZ306" s="19">
        <f t="shared" si="388"/>
        <v>0</v>
      </c>
      <c r="BA306" s="19">
        <f t="shared" si="388"/>
        <v>0</v>
      </c>
      <c r="BB306" s="19">
        <f t="shared" si="388"/>
        <v>0</v>
      </c>
      <c r="BC306" s="19">
        <f t="shared" si="388"/>
        <v>0</v>
      </c>
      <c r="BD306" s="19">
        <f t="shared" si="388"/>
        <v>0</v>
      </c>
      <c r="BE306" s="19">
        <f t="shared" si="388"/>
        <v>0</v>
      </c>
      <c r="BF306" s="19">
        <f t="shared" si="388"/>
        <v>0</v>
      </c>
      <c r="BG306" s="19">
        <f t="shared" si="388"/>
        <v>0</v>
      </c>
      <c r="BH306" s="19">
        <f t="shared" si="388"/>
        <v>0</v>
      </c>
      <c r="BI306" s="19">
        <f t="shared" si="388"/>
        <v>0</v>
      </c>
      <c r="BJ306" s="19">
        <f t="shared" si="388"/>
        <v>0</v>
      </c>
      <c r="BK306" s="19">
        <f t="shared" si="388"/>
        <v>0</v>
      </c>
      <c r="BL306" s="19">
        <f t="shared" si="388"/>
        <v>0</v>
      </c>
      <c r="BM306" s="19">
        <f t="shared" si="388"/>
        <v>0</v>
      </c>
      <c r="BN306" s="19">
        <f t="shared" si="388"/>
        <v>0</v>
      </c>
      <c r="BO306" s="19">
        <f t="shared" si="388"/>
        <v>0</v>
      </c>
      <c r="BP306" s="19">
        <f t="shared" si="388"/>
        <v>0</v>
      </c>
      <c r="BQ306" s="19">
        <f t="shared" si="388"/>
        <v>0</v>
      </c>
      <c r="BR306" s="19">
        <f t="shared" si="388"/>
        <v>0</v>
      </c>
      <c r="BS306" s="19">
        <f t="shared" si="388"/>
        <v>0</v>
      </c>
      <c r="BT306" s="19">
        <f t="shared" si="388"/>
        <v>0</v>
      </c>
      <c r="BU306" s="19">
        <f t="shared" si="388"/>
        <v>0</v>
      </c>
      <c r="BV306" s="19">
        <f t="shared" si="388"/>
        <v>0</v>
      </c>
      <c r="BW306" s="19">
        <f t="shared" si="388"/>
        <v>0</v>
      </c>
      <c r="BX306" s="19">
        <f t="shared" si="388"/>
        <v>0</v>
      </c>
      <c r="BY306" s="19">
        <f t="shared" si="388"/>
        <v>0</v>
      </c>
      <c r="BZ306" s="19">
        <f t="shared" si="388"/>
        <v>0</v>
      </c>
      <c r="CA306" s="19">
        <f t="shared" si="388"/>
        <v>0</v>
      </c>
      <c r="CB306" s="19">
        <f t="shared" si="388"/>
        <v>0</v>
      </c>
      <c r="CC306" s="19">
        <f t="shared" si="388"/>
        <v>0</v>
      </c>
      <c r="CD306" s="19">
        <f t="shared" si="388"/>
        <v>0</v>
      </c>
      <c r="CE306" s="19">
        <f t="shared" si="388"/>
        <v>0</v>
      </c>
    </row>
    <row r="307" spans="1:83" ht="19.5" customHeight="1" thickBot="1">
      <c r="A307" s="1413" t="str">
        <f>IF(AND(EXACT('فرم الف'!E10,'Data Base'!O34),BJ306&lt;8),'Data Base'!K24,IF(AND(EXACT('فرم الف'!E10,'Data Base'!O35),BJ306&lt;12),'Data Base'!K24,""))</f>
        <v/>
      </c>
      <c r="B307" s="1411"/>
      <c r="C307" s="1411"/>
      <c r="D307" s="1411"/>
      <c r="E307" s="1411"/>
      <c r="F307" s="1411"/>
      <c r="G307" s="1411"/>
      <c r="H307" s="1411"/>
      <c r="I307" s="1411"/>
      <c r="J307" s="1411" t="str">
        <f>IF(AND(EXACT('فرم الف'!E10,'Data Base'!O34),AO306&lt;20),'Data Base'!K25,IF(AND(EXACT('فرم الف'!E10,'Data Base'!O35),AO306&lt;32),'Data Base'!K25,""))</f>
        <v/>
      </c>
      <c r="K307" s="1411"/>
      <c r="L307" s="1411"/>
      <c r="M307" s="1411"/>
      <c r="N307" s="1411"/>
      <c r="O307" s="1411"/>
      <c r="P307" s="1411"/>
      <c r="Q307" s="1412"/>
      <c r="R307" s="1443"/>
      <c r="S307" s="1445"/>
      <c r="T307" s="1447"/>
      <c r="U307" s="1449"/>
    </row>
    <row r="308" spans="1:83" ht="23.25" thickBot="1">
      <c r="A308" s="1439" t="s">
        <v>671</v>
      </c>
      <c r="B308" s="1438"/>
      <c r="C308" s="1438"/>
      <c r="D308" s="459">
        <f>AA306</f>
        <v>0</v>
      </c>
      <c r="E308" s="1438" t="s">
        <v>670</v>
      </c>
      <c r="F308" s="1438"/>
      <c r="G308" s="1438"/>
      <c r="H308" s="463">
        <f>AN306</f>
        <v>0</v>
      </c>
      <c r="I308" s="1438" t="s">
        <v>673</v>
      </c>
      <c r="J308" s="1438"/>
      <c r="K308" s="1438"/>
      <c r="L308" s="1438"/>
      <c r="M308" s="1438"/>
      <c r="N308" s="1438"/>
      <c r="O308" s="1438"/>
      <c r="P308" s="1438"/>
      <c r="Q308" s="1438"/>
      <c r="R308" s="464" t="e">
        <f ca="1">(AO306*100)/R306</f>
        <v>#DIV/0!</v>
      </c>
      <c r="S308" s="1440" t="s">
        <v>672</v>
      </c>
      <c r="T308" s="1440"/>
      <c r="U308" s="1441"/>
      <c r="W308" s="19" t="e">
        <f ca="1">(AS306*100)/S306</f>
        <v>#DIV/0!</v>
      </c>
    </row>
    <row r="309" spans="1:83" ht="34.5" customHeight="1">
      <c r="A309" s="1435" t="s">
        <v>31</v>
      </c>
      <c r="B309" s="1436"/>
      <c r="C309" s="1436"/>
      <c r="D309" s="1436"/>
      <c r="E309" s="1436"/>
      <c r="F309" s="1436"/>
      <c r="G309" s="1436"/>
      <c r="H309" s="1430" t="s">
        <v>32</v>
      </c>
      <c r="I309" s="1430"/>
      <c r="J309" s="1430"/>
      <c r="K309" s="1431">
        <f>Q2</f>
        <v>0</v>
      </c>
      <c r="L309" s="1432"/>
      <c r="M309" s="1432"/>
      <c r="N309" s="1432"/>
      <c r="O309" s="1430" t="s">
        <v>33</v>
      </c>
      <c r="P309" s="1430"/>
      <c r="Q309" s="1433">
        <f>C2</f>
        <v>0</v>
      </c>
      <c r="R309" s="1433"/>
      <c r="S309" s="1433"/>
      <c r="T309" s="1433"/>
      <c r="U309" s="1434"/>
    </row>
    <row r="310" spans="1:83" ht="34.5" customHeight="1" thickBot="1">
      <c r="A310" s="1437">
        <f>'فرم الف'!A27</f>
        <v>0</v>
      </c>
      <c r="B310" s="1425"/>
      <c r="C310" s="1425"/>
      <c r="D310" s="1425"/>
      <c r="E310" s="1425"/>
      <c r="F310" s="1425"/>
      <c r="G310" s="1425"/>
      <c r="H310" s="1425">
        <f>'فرم الف'!E27</f>
        <v>0</v>
      </c>
      <c r="I310" s="1425"/>
      <c r="J310" s="1425"/>
      <c r="K310" s="1425"/>
      <c r="L310" s="1425"/>
      <c r="M310" s="1425"/>
      <c r="N310" s="1425"/>
      <c r="O310" s="1425" t="str">
        <f>'فرم الف'!J27</f>
        <v/>
      </c>
      <c r="P310" s="1425"/>
      <c r="Q310" s="1425"/>
      <c r="R310" s="1425"/>
      <c r="S310" s="1425"/>
      <c r="T310" s="1425"/>
      <c r="U310" s="1426"/>
    </row>
  </sheetData>
  <sheetProtection algorithmName="SHA-512" hashValue="dqke/blgy96TeLKemrulouWFpKmSgCprHVpJhKFPUbCDmaCUVP8lKZvsV7lmicmn/hq6s6fxctpbgEShpamvkw==" saltValue="1NbhygY/H2wYyA3M7Huo7Q==" spinCount="100000" sheet="1" objects="1" scenarios="1" formatCells="0" formatRows="0" selectLockedCells="1"/>
  <mergeCells count="944">
    <mergeCell ref="A1:B2"/>
    <mergeCell ref="R4:T4"/>
    <mergeCell ref="J4:J5"/>
    <mergeCell ref="K4:K5"/>
    <mergeCell ref="M4:N4"/>
    <mergeCell ref="O4:O5"/>
    <mergeCell ref="A4:A5"/>
    <mergeCell ref="B4:E5"/>
    <mergeCell ref="H4:H5"/>
    <mergeCell ref="I4:I5"/>
    <mergeCell ref="L4:L5"/>
    <mergeCell ref="Q1:U1"/>
    <mergeCell ref="Q2:U2"/>
    <mergeCell ref="P4:Q5"/>
    <mergeCell ref="M1:P1"/>
    <mergeCell ref="M2:P2"/>
    <mergeCell ref="H1:L1"/>
    <mergeCell ref="H2:L2"/>
    <mergeCell ref="C1:G1"/>
    <mergeCell ref="C2:G2"/>
    <mergeCell ref="A3:R3"/>
    <mergeCell ref="S3:U3"/>
    <mergeCell ref="B15:E15"/>
    <mergeCell ref="B12:E12"/>
    <mergeCell ref="F15:G15"/>
    <mergeCell ref="P15:Q15"/>
    <mergeCell ref="U15:U17"/>
    <mergeCell ref="A16:D16"/>
    <mergeCell ref="O16:O17"/>
    <mergeCell ref="P16:T16"/>
    <mergeCell ref="A17:D17"/>
    <mergeCell ref="P17:T17"/>
    <mergeCell ref="P6:Q6"/>
    <mergeCell ref="U4:U5"/>
    <mergeCell ref="F4:G5"/>
    <mergeCell ref="F6:G6"/>
    <mergeCell ref="A7:D7"/>
    <mergeCell ref="A8:D8"/>
    <mergeCell ref="O7:O8"/>
    <mergeCell ref="P7:T7"/>
    <mergeCell ref="P8:T8"/>
    <mergeCell ref="U6:U8"/>
    <mergeCell ref="B6:E6"/>
    <mergeCell ref="B18:E18"/>
    <mergeCell ref="F18:G18"/>
    <mergeCell ref="P18:Q18"/>
    <mergeCell ref="U18:U20"/>
    <mergeCell ref="A19:D19"/>
    <mergeCell ref="O19:O20"/>
    <mergeCell ref="P19:T19"/>
    <mergeCell ref="A20:D20"/>
    <mergeCell ref="P20:T20"/>
    <mergeCell ref="B27:E27"/>
    <mergeCell ref="B24:E24"/>
    <mergeCell ref="F27:G27"/>
    <mergeCell ref="P27:Q27"/>
    <mergeCell ref="U27:U29"/>
    <mergeCell ref="A28:D28"/>
    <mergeCell ref="O28:O29"/>
    <mergeCell ref="P28:T28"/>
    <mergeCell ref="A29:D29"/>
    <mergeCell ref="P29:T29"/>
    <mergeCell ref="B30:E30"/>
    <mergeCell ref="F30:G30"/>
    <mergeCell ref="P30:Q30"/>
    <mergeCell ref="U30:U32"/>
    <mergeCell ref="A31:D31"/>
    <mergeCell ref="O31:O32"/>
    <mergeCell ref="P31:T31"/>
    <mergeCell ref="A32:D32"/>
    <mergeCell ref="P32:T32"/>
    <mergeCell ref="B39:E39"/>
    <mergeCell ref="B36:E36"/>
    <mergeCell ref="F39:G39"/>
    <mergeCell ref="P39:Q39"/>
    <mergeCell ref="U39:U41"/>
    <mergeCell ref="A40:D40"/>
    <mergeCell ref="O40:O41"/>
    <mergeCell ref="P40:T40"/>
    <mergeCell ref="A41:D41"/>
    <mergeCell ref="P41:T41"/>
    <mergeCell ref="B42:E42"/>
    <mergeCell ref="F42:G42"/>
    <mergeCell ref="P42:Q42"/>
    <mergeCell ref="U42:U44"/>
    <mergeCell ref="A43:D43"/>
    <mergeCell ref="O43:O44"/>
    <mergeCell ref="P43:T43"/>
    <mergeCell ref="A44:D44"/>
    <mergeCell ref="P44:T44"/>
    <mergeCell ref="B51:E51"/>
    <mergeCell ref="B48:E48"/>
    <mergeCell ref="F51:G51"/>
    <mergeCell ref="P51:Q51"/>
    <mergeCell ref="U51:U53"/>
    <mergeCell ref="A52:D52"/>
    <mergeCell ref="O52:O53"/>
    <mergeCell ref="P52:T52"/>
    <mergeCell ref="A53:D53"/>
    <mergeCell ref="P53:T53"/>
    <mergeCell ref="B54:E54"/>
    <mergeCell ref="F54:G54"/>
    <mergeCell ref="P54:Q54"/>
    <mergeCell ref="U54:U56"/>
    <mergeCell ref="A55:D55"/>
    <mergeCell ref="O55:O56"/>
    <mergeCell ref="P55:T55"/>
    <mergeCell ref="A56:D56"/>
    <mergeCell ref="P56:T56"/>
    <mergeCell ref="B63:E63"/>
    <mergeCell ref="B60:E60"/>
    <mergeCell ref="F63:G63"/>
    <mergeCell ref="P63:Q63"/>
    <mergeCell ref="U63:U65"/>
    <mergeCell ref="A64:D64"/>
    <mergeCell ref="O64:O65"/>
    <mergeCell ref="P64:T64"/>
    <mergeCell ref="A65:D65"/>
    <mergeCell ref="P65:T65"/>
    <mergeCell ref="B66:E66"/>
    <mergeCell ref="F66:G66"/>
    <mergeCell ref="P66:Q66"/>
    <mergeCell ref="U66:U68"/>
    <mergeCell ref="A67:D67"/>
    <mergeCell ref="O67:O68"/>
    <mergeCell ref="P67:T67"/>
    <mergeCell ref="A68:D68"/>
    <mergeCell ref="P68:T68"/>
    <mergeCell ref="B75:E75"/>
    <mergeCell ref="B72:E72"/>
    <mergeCell ref="F75:G75"/>
    <mergeCell ref="P75:Q75"/>
    <mergeCell ref="U75:U77"/>
    <mergeCell ref="A76:D76"/>
    <mergeCell ref="O76:O77"/>
    <mergeCell ref="P76:T76"/>
    <mergeCell ref="A77:D77"/>
    <mergeCell ref="P77:T77"/>
    <mergeCell ref="B78:E78"/>
    <mergeCell ref="F78:G78"/>
    <mergeCell ref="P78:Q78"/>
    <mergeCell ref="U78:U80"/>
    <mergeCell ref="A79:D79"/>
    <mergeCell ref="O79:O80"/>
    <mergeCell ref="P79:T79"/>
    <mergeCell ref="A80:D80"/>
    <mergeCell ref="P80:T80"/>
    <mergeCell ref="B87:E87"/>
    <mergeCell ref="B84:E84"/>
    <mergeCell ref="F87:G87"/>
    <mergeCell ref="P87:Q87"/>
    <mergeCell ref="U87:U89"/>
    <mergeCell ref="A88:D88"/>
    <mergeCell ref="O88:O89"/>
    <mergeCell ref="P88:T88"/>
    <mergeCell ref="A89:D89"/>
    <mergeCell ref="P89:T89"/>
    <mergeCell ref="B90:E90"/>
    <mergeCell ref="F90:G90"/>
    <mergeCell ref="P90:Q90"/>
    <mergeCell ref="U90:U92"/>
    <mergeCell ref="A91:D91"/>
    <mergeCell ref="O91:O92"/>
    <mergeCell ref="P91:T91"/>
    <mergeCell ref="A92:D92"/>
    <mergeCell ref="P92:T92"/>
    <mergeCell ref="B99:E99"/>
    <mergeCell ref="B96:E96"/>
    <mergeCell ref="F99:G99"/>
    <mergeCell ref="P99:Q99"/>
    <mergeCell ref="U99:U101"/>
    <mergeCell ref="A100:D100"/>
    <mergeCell ref="O100:O101"/>
    <mergeCell ref="P100:T100"/>
    <mergeCell ref="A101:D101"/>
    <mergeCell ref="P101:T101"/>
    <mergeCell ref="B102:E102"/>
    <mergeCell ref="F102:G102"/>
    <mergeCell ref="P102:Q102"/>
    <mergeCell ref="U102:U104"/>
    <mergeCell ref="A103:D103"/>
    <mergeCell ref="O103:O104"/>
    <mergeCell ref="P103:T103"/>
    <mergeCell ref="A104:D104"/>
    <mergeCell ref="P104:T104"/>
    <mergeCell ref="B111:E111"/>
    <mergeCell ref="B108:E108"/>
    <mergeCell ref="F111:G111"/>
    <mergeCell ref="P111:Q111"/>
    <mergeCell ref="U111:U113"/>
    <mergeCell ref="A112:D112"/>
    <mergeCell ref="O112:O113"/>
    <mergeCell ref="P112:T112"/>
    <mergeCell ref="A113:D113"/>
    <mergeCell ref="P113:T113"/>
    <mergeCell ref="B114:E114"/>
    <mergeCell ref="F114:G114"/>
    <mergeCell ref="P114:Q114"/>
    <mergeCell ref="U114:U116"/>
    <mergeCell ref="A115:D115"/>
    <mergeCell ref="O115:O116"/>
    <mergeCell ref="P115:T115"/>
    <mergeCell ref="A116:D116"/>
    <mergeCell ref="P116:T116"/>
    <mergeCell ref="B123:E123"/>
    <mergeCell ref="B120:E120"/>
    <mergeCell ref="F123:G123"/>
    <mergeCell ref="P123:Q123"/>
    <mergeCell ref="U123:U125"/>
    <mergeCell ref="A124:D124"/>
    <mergeCell ref="O124:O125"/>
    <mergeCell ref="P124:T124"/>
    <mergeCell ref="A125:D125"/>
    <mergeCell ref="P125:T125"/>
    <mergeCell ref="B126:E126"/>
    <mergeCell ref="F126:G126"/>
    <mergeCell ref="P126:Q126"/>
    <mergeCell ref="U126:U128"/>
    <mergeCell ref="A127:D127"/>
    <mergeCell ref="O127:O128"/>
    <mergeCell ref="P127:T127"/>
    <mergeCell ref="A128:D128"/>
    <mergeCell ref="P128:T128"/>
    <mergeCell ref="B135:E135"/>
    <mergeCell ref="B132:E132"/>
    <mergeCell ref="F135:G135"/>
    <mergeCell ref="P135:Q135"/>
    <mergeCell ref="U135:U137"/>
    <mergeCell ref="A136:D136"/>
    <mergeCell ref="O136:O137"/>
    <mergeCell ref="P136:T136"/>
    <mergeCell ref="A137:D137"/>
    <mergeCell ref="P137:T137"/>
    <mergeCell ref="B138:E138"/>
    <mergeCell ref="F138:G138"/>
    <mergeCell ref="P138:Q138"/>
    <mergeCell ref="U138:U140"/>
    <mergeCell ref="A139:D139"/>
    <mergeCell ref="O139:O140"/>
    <mergeCell ref="P139:T139"/>
    <mergeCell ref="A140:D140"/>
    <mergeCell ref="P140:T140"/>
    <mergeCell ref="B147:E147"/>
    <mergeCell ref="B144:E144"/>
    <mergeCell ref="F147:G147"/>
    <mergeCell ref="P147:Q147"/>
    <mergeCell ref="U147:U149"/>
    <mergeCell ref="A148:D148"/>
    <mergeCell ref="O148:O149"/>
    <mergeCell ref="P148:T148"/>
    <mergeCell ref="A149:D149"/>
    <mergeCell ref="P149:T149"/>
    <mergeCell ref="B150:E150"/>
    <mergeCell ref="F150:G150"/>
    <mergeCell ref="P150:Q150"/>
    <mergeCell ref="U150:U152"/>
    <mergeCell ref="A151:D151"/>
    <mergeCell ref="O151:O152"/>
    <mergeCell ref="P151:T151"/>
    <mergeCell ref="A152:D152"/>
    <mergeCell ref="P152:T152"/>
    <mergeCell ref="B159:E159"/>
    <mergeCell ref="B156:E156"/>
    <mergeCell ref="F159:G159"/>
    <mergeCell ref="P159:Q159"/>
    <mergeCell ref="U159:U161"/>
    <mergeCell ref="A160:D160"/>
    <mergeCell ref="O160:O161"/>
    <mergeCell ref="P160:T160"/>
    <mergeCell ref="A161:D161"/>
    <mergeCell ref="P161:T161"/>
    <mergeCell ref="B162:E162"/>
    <mergeCell ref="F162:G162"/>
    <mergeCell ref="P162:Q162"/>
    <mergeCell ref="U162:U164"/>
    <mergeCell ref="A163:D163"/>
    <mergeCell ref="O163:O164"/>
    <mergeCell ref="P163:T163"/>
    <mergeCell ref="A164:D164"/>
    <mergeCell ref="P164:T164"/>
    <mergeCell ref="B171:E171"/>
    <mergeCell ref="B168:E168"/>
    <mergeCell ref="F171:G171"/>
    <mergeCell ref="P171:Q171"/>
    <mergeCell ref="U171:U173"/>
    <mergeCell ref="A172:D172"/>
    <mergeCell ref="O172:O173"/>
    <mergeCell ref="P172:T172"/>
    <mergeCell ref="A173:D173"/>
    <mergeCell ref="P173:T173"/>
    <mergeCell ref="B174:E174"/>
    <mergeCell ref="F174:G174"/>
    <mergeCell ref="P174:Q174"/>
    <mergeCell ref="U174:U176"/>
    <mergeCell ref="A175:D175"/>
    <mergeCell ref="O175:O176"/>
    <mergeCell ref="P175:T175"/>
    <mergeCell ref="A176:D176"/>
    <mergeCell ref="P176:T176"/>
    <mergeCell ref="B183:E183"/>
    <mergeCell ref="B180:E180"/>
    <mergeCell ref="F183:G183"/>
    <mergeCell ref="P183:Q183"/>
    <mergeCell ref="U183:U185"/>
    <mergeCell ref="A184:D184"/>
    <mergeCell ref="O184:O185"/>
    <mergeCell ref="P184:T184"/>
    <mergeCell ref="A185:D185"/>
    <mergeCell ref="P185:T185"/>
    <mergeCell ref="B186:E186"/>
    <mergeCell ref="F186:G186"/>
    <mergeCell ref="P186:Q186"/>
    <mergeCell ref="U186:U188"/>
    <mergeCell ref="A187:D187"/>
    <mergeCell ref="O187:O188"/>
    <mergeCell ref="P187:T187"/>
    <mergeCell ref="A188:D188"/>
    <mergeCell ref="P188:T188"/>
    <mergeCell ref="B195:E195"/>
    <mergeCell ref="B192:E192"/>
    <mergeCell ref="F195:G195"/>
    <mergeCell ref="P195:Q195"/>
    <mergeCell ref="U195:U197"/>
    <mergeCell ref="A196:D196"/>
    <mergeCell ref="O196:O197"/>
    <mergeCell ref="P196:T196"/>
    <mergeCell ref="A197:D197"/>
    <mergeCell ref="P197:T197"/>
    <mergeCell ref="B198:E198"/>
    <mergeCell ref="F198:G198"/>
    <mergeCell ref="P198:Q198"/>
    <mergeCell ref="U198:U200"/>
    <mergeCell ref="A199:D199"/>
    <mergeCell ref="O199:O200"/>
    <mergeCell ref="P199:T199"/>
    <mergeCell ref="A200:D200"/>
    <mergeCell ref="P200:T200"/>
    <mergeCell ref="B207:E207"/>
    <mergeCell ref="B204:E204"/>
    <mergeCell ref="F207:G207"/>
    <mergeCell ref="P207:Q207"/>
    <mergeCell ref="U207:U209"/>
    <mergeCell ref="A208:D208"/>
    <mergeCell ref="O208:O209"/>
    <mergeCell ref="P208:T208"/>
    <mergeCell ref="A209:D209"/>
    <mergeCell ref="P209:T209"/>
    <mergeCell ref="B210:E210"/>
    <mergeCell ref="F210:G210"/>
    <mergeCell ref="P210:Q210"/>
    <mergeCell ref="U210:U212"/>
    <mergeCell ref="A211:D211"/>
    <mergeCell ref="O211:O212"/>
    <mergeCell ref="P211:T211"/>
    <mergeCell ref="A212:D212"/>
    <mergeCell ref="P212:T212"/>
    <mergeCell ref="B219:E219"/>
    <mergeCell ref="B216:E216"/>
    <mergeCell ref="F219:G219"/>
    <mergeCell ref="P219:Q219"/>
    <mergeCell ref="U219:U221"/>
    <mergeCell ref="A220:D220"/>
    <mergeCell ref="O220:O221"/>
    <mergeCell ref="P220:T220"/>
    <mergeCell ref="A221:D221"/>
    <mergeCell ref="P221:T221"/>
    <mergeCell ref="B222:E222"/>
    <mergeCell ref="F222:G222"/>
    <mergeCell ref="P222:Q222"/>
    <mergeCell ref="U222:U224"/>
    <mergeCell ref="A223:D223"/>
    <mergeCell ref="O223:O224"/>
    <mergeCell ref="P223:T223"/>
    <mergeCell ref="A224:D224"/>
    <mergeCell ref="P224:T224"/>
    <mergeCell ref="B231:E231"/>
    <mergeCell ref="B228:E228"/>
    <mergeCell ref="F231:G231"/>
    <mergeCell ref="P231:Q231"/>
    <mergeCell ref="U231:U233"/>
    <mergeCell ref="A232:D232"/>
    <mergeCell ref="O232:O233"/>
    <mergeCell ref="P232:T232"/>
    <mergeCell ref="A233:D233"/>
    <mergeCell ref="P233:T233"/>
    <mergeCell ref="B234:E234"/>
    <mergeCell ref="F234:G234"/>
    <mergeCell ref="P234:Q234"/>
    <mergeCell ref="U234:U236"/>
    <mergeCell ref="A235:D235"/>
    <mergeCell ref="O235:O236"/>
    <mergeCell ref="P235:T235"/>
    <mergeCell ref="A236:D236"/>
    <mergeCell ref="P236:T236"/>
    <mergeCell ref="B243:E243"/>
    <mergeCell ref="B240:E240"/>
    <mergeCell ref="F243:G243"/>
    <mergeCell ref="P243:Q243"/>
    <mergeCell ref="U243:U245"/>
    <mergeCell ref="A244:D244"/>
    <mergeCell ref="O244:O245"/>
    <mergeCell ref="P244:T244"/>
    <mergeCell ref="A245:D245"/>
    <mergeCell ref="P245:T245"/>
    <mergeCell ref="B246:E246"/>
    <mergeCell ref="F246:G246"/>
    <mergeCell ref="P246:Q246"/>
    <mergeCell ref="U246:U248"/>
    <mergeCell ref="A247:D247"/>
    <mergeCell ref="O247:O248"/>
    <mergeCell ref="P247:T247"/>
    <mergeCell ref="A248:D248"/>
    <mergeCell ref="P248:T248"/>
    <mergeCell ref="B255:E255"/>
    <mergeCell ref="B252:E252"/>
    <mergeCell ref="F255:G255"/>
    <mergeCell ref="P255:Q255"/>
    <mergeCell ref="U255:U257"/>
    <mergeCell ref="A256:D256"/>
    <mergeCell ref="O256:O257"/>
    <mergeCell ref="P256:T256"/>
    <mergeCell ref="A257:D257"/>
    <mergeCell ref="P257:T257"/>
    <mergeCell ref="B258:E258"/>
    <mergeCell ref="F258:G258"/>
    <mergeCell ref="P258:Q258"/>
    <mergeCell ref="U258:U260"/>
    <mergeCell ref="A259:D259"/>
    <mergeCell ref="O259:O260"/>
    <mergeCell ref="P259:T259"/>
    <mergeCell ref="A260:D260"/>
    <mergeCell ref="P260:T260"/>
    <mergeCell ref="B267:E267"/>
    <mergeCell ref="B264:E264"/>
    <mergeCell ref="F267:G267"/>
    <mergeCell ref="P267:Q267"/>
    <mergeCell ref="U267:U269"/>
    <mergeCell ref="A268:D268"/>
    <mergeCell ref="O268:O269"/>
    <mergeCell ref="P268:T268"/>
    <mergeCell ref="A269:D269"/>
    <mergeCell ref="P269:T269"/>
    <mergeCell ref="B270:E270"/>
    <mergeCell ref="F270:G270"/>
    <mergeCell ref="P270:Q270"/>
    <mergeCell ref="U270:U272"/>
    <mergeCell ref="A271:D271"/>
    <mergeCell ref="O271:O272"/>
    <mergeCell ref="P271:T271"/>
    <mergeCell ref="A272:D272"/>
    <mergeCell ref="P272:T272"/>
    <mergeCell ref="B279:E279"/>
    <mergeCell ref="B276:E276"/>
    <mergeCell ref="F279:G279"/>
    <mergeCell ref="P279:Q279"/>
    <mergeCell ref="U279:U281"/>
    <mergeCell ref="A280:D280"/>
    <mergeCell ref="O280:O281"/>
    <mergeCell ref="P280:T280"/>
    <mergeCell ref="A281:D281"/>
    <mergeCell ref="P281:T281"/>
    <mergeCell ref="B285:E285"/>
    <mergeCell ref="B282:E282"/>
    <mergeCell ref="F282:G282"/>
    <mergeCell ref="P282:Q282"/>
    <mergeCell ref="U282:U284"/>
    <mergeCell ref="A283:D283"/>
    <mergeCell ref="O283:O284"/>
    <mergeCell ref="P283:T283"/>
    <mergeCell ref="A284:D284"/>
    <mergeCell ref="P284:T284"/>
    <mergeCell ref="F285:G285"/>
    <mergeCell ref="P285:Q285"/>
    <mergeCell ref="U285:U287"/>
    <mergeCell ref="A286:D286"/>
    <mergeCell ref="O286:O287"/>
    <mergeCell ref="P286:T286"/>
    <mergeCell ref="A287:D287"/>
    <mergeCell ref="P287:T287"/>
    <mergeCell ref="H310:N310"/>
    <mergeCell ref="O310:U310"/>
    <mergeCell ref="A306:J306"/>
    <mergeCell ref="K306:Q306"/>
    <mergeCell ref="H309:J309"/>
    <mergeCell ref="K309:N309"/>
    <mergeCell ref="O309:P309"/>
    <mergeCell ref="Q309:U309"/>
    <mergeCell ref="A305:D305"/>
    <mergeCell ref="P305:T305"/>
    <mergeCell ref="U303:U305"/>
    <mergeCell ref="B303:E303"/>
    <mergeCell ref="F303:G303"/>
    <mergeCell ref="P303:Q303"/>
    <mergeCell ref="A309:G309"/>
    <mergeCell ref="A310:G310"/>
    <mergeCell ref="E308:G308"/>
    <mergeCell ref="A308:C308"/>
    <mergeCell ref="I308:Q308"/>
    <mergeCell ref="S308:U308"/>
    <mergeCell ref="R306:R307"/>
    <mergeCell ref="S306:S307"/>
    <mergeCell ref="T306:T307"/>
    <mergeCell ref="U306:U307"/>
    <mergeCell ref="B294:E294"/>
    <mergeCell ref="F294:G294"/>
    <mergeCell ref="P294:Q294"/>
    <mergeCell ref="U294:U296"/>
    <mergeCell ref="A295:D295"/>
    <mergeCell ref="O295:O296"/>
    <mergeCell ref="P295:T295"/>
    <mergeCell ref="A296:D296"/>
    <mergeCell ref="P296:T296"/>
    <mergeCell ref="F9:G9"/>
    <mergeCell ref="P9:Q9"/>
    <mergeCell ref="U9:U11"/>
    <mergeCell ref="A10:D10"/>
    <mergeCell ref="O10:O11"/>
    <mergeCell ref="P10:T10"/>
    <mergeCell ref="A11:D11"/>
    <mergeCell ref="P11:T11"/>
    <mergeCell ref="F12:G12"/>
    <mergeCell ref="P12:Q12"/>
    <mergeCell ref="U12:U14"/>
    <mergeCell ref="A13:D13"/>
    <mergeCell ref="O13:O14"/>
    <mergeCell ref="P13:T13"/>
    <mergeCell ref="A14:D14"/>
    <mergeCell ref="P14:T14"/>
    <mergeCell ref="B9:E9"/>
    <mergeCell ref="U21:U23"/>
    <mergeCell ref="A22:D22"/>
    <mergeCell ref="O22:O23"/>
    <mergeCell ref="P22:T22"/>
    <mergeCell ref="A23:D23"/>
    <mergeCell ref="P23:T23"/>
    <mergeCell ref="F24:G24"/>
    <mergeCell ref="P24:Q24"/>
    <mergeCell ref="U24:U26"/>
    <mergeCell ref="A25:D25"/>
    <mergeCell ref="O25:O26"/>
    <mergeCell ref="P25:T25"/>
    <mergeCell ref="A26:D26"/>
    <mergeCell ref="P26:T26"/>
    <mergeCell ref="B21:E21"/>
    <mergeCell ref="F21:G21"/>
    <mergeCell ref="P21:Q21"/>
    <mergeCell ref="U33:U35"/>
    <mergeCell ref="A34:D34"/>
    <mergeCell ref="O34:O35"/>
    <mergeCell ref="P34:T34"/>
    <mergeCell ref="A35:D35"/>
    <mergeCell ref="P35:T35"/>
    <mergeCell ref="F36:G36"/>
    <mergeCell ref="P36:Q36"/>
    <mergeCell ref="U36:U38"/>
    <mergeCell ref="A37:D37"/>
    <mergeCell ref="O37:O38"/>
    <mergeCell ref="P37:T37"/>
    <mergeCell ref="A38:D38"/>
    <mergeCell ref="P38:T38"/>
    <mergeCell ref="B33:E33"/>
    <mergeCell ref="F33:G33"/>
    <mergeCell ref="P33:Q33"/>
    <mergeCell ref="U45:U47"/>
    <mergeCell ref="A46:D46"/>
    <mergeCell ref="O46:O47"/>
    <mergeCell ref="P46:T46"/>
    <mergeCell ref="A47:D47"/>
    <mergeCell ref="P47:T47"/>
    <mergeCell ref="F48:G48"/>
    <mergeCell ref="P48:Q48"/>
    <mergeCell ref="U48:U50"/>
    <mergeCell ref="A49:D49"/>
    <mergeCell ref="O49:O50"/>
    <mergeCell ref="P49:T49"/>
    <mergeCell ref="A50:D50"/>
    <mergeCell ref="P50:T50"/>
    <mergeCell ref="B45:E45"/>
    <mergeCell ref="F45:G45"/>
    <mergeCell ref="P45:Q45"/>
    <mergeCell ref="U57:U59"/>
    <mergeCell ref="A58:D58"/>
    <mergeCell ref="O58:O59"/>
    <mergeCell ref="P58:T58"/>
    <mergeCell ref="A59:D59"/>
    <mergeCell ref="P59:T59"/>
    <mergeCell ref="F60:G60"/>
    <mergeCell ref="P60:Q60"/>
    <mergeCell ref="U60:U62"/>
    <mergeCell ref="A61:D61"/>
    <mergeCell ref="O61:O62"/>
    <mergeCell ref="P61:T61"/>
    <mergeCell ref="A62:D62"/>
    <mergeCell ref="P62:T62"/>
    <mergeCell ref="B57:E57"/>
    <mergeCell ref="F57:G57"/>
    <mergeCell ref="P57:Q57"/>
    <mergeCell ref="U69:U71"/>
    <mergeCell ref="A70:D70"/>
    <mergeCell ref="O70:O71"/>
    <mergeCell ref="P70:T70"/>
    <mergeCell ref="A71:D71"/>
    <mergeCell ref="P71:T71"/>
    <mergeCell ref="F72:G72"/>
    <mergeCell ref="P72:Q72"/>
    <mergeCell ref="U72:U74"/>
    <mergeCell ref="A73:D73"/>
    <mergeCell ref="O73:O74"/>
    <mergeCell ref="P73:T73"/>
    <mergeCell ref="A74:D74"/>
    <mergeCell ref="P74:T74"/>
    <mergeCell ref="B69:E69"/>
    <mergeCell ref="F69:G69"/>
    <mergeCell ref="P69:Q69"/>
    <mergeCell ref="U81:U83"/>
    <mergeCell ref="A82:D82"/>
    <mergeCell ref="O82:O83"/>
    <mergeCell ref="P82:T82"/>
    <mergeCell ref="A83:D83"/>
    <mergeCell ref="P83:T83"/>
    <mergeCell ref="F84:G84"/>
    <mergeCell ref="P84:Q84"/>
    <mergeCell ref="U84:U86"/>
    <mergeCell ref="A85:D85"/>
    <mergeCell ref="O85:O86"/>
    <mergeCell ref="P85:T85"/>
    <mergeCell ref="A86:D86"/>
    <mergeCell ref="P86:T86"/>
    <mergeCell ref="B81:E81"/>
    <mergeCell ref="F81:G81"/>
    <mergeCell ref="P81:Q81"/>
    <mergeCell ref="U93:U95"/>
    <mergeCell ref="A94:D94"/>
    <mergeCell ref="O94:O95"/>
    <mergeCell ref="P94:T94"/>
    <mergeCell ref="A95:D95"/>
    <mergeCell ref="P95:T95"/>
    <mergeCell ref="F96:G96"/>
    <mergeCell ref="P96:Q96"/>
    <mergeCell ref="U96:U98"/>
    <mergeCell ref="A97:D97"/>
    <mergeCell ref="O97:O98"/>
    <mergeCell ref="P97:T97"/>
    <mergeCell ref="A98:D98"/>
    <mergeCell ref="P98:T98"/>
    <mergeCell ref="B93:E93"/>
    <mergeCell ref="F93:G93"/>
    <mergeCell ref="P93:Q93"/>
    <mergeCell ref="U105:U107"/>
    <mergeCell ref="A106:D106"/>
    <mergeCell ref="O106:O107"/>
    <mergeCell ref="P106:T106"/>
    <mergeCell ref="A107:D107"/>
    <mergeCell ref="P107:T107"/>
    <mergeCell ref="F108:G108"/>
    <mergeCell ref="P108:Q108"/>
    <mergeCell ref="U108:U110"/>
    <mergeCell ref="A109:D109"/>
    <mergeCell ref="O109:O110"/>
    <mergeCell ref="P109:T109"/>
    <mergeCell ref="A110:D110"/>
    <mergeCell ref="P110:T110"/>
    <mergeCell ref="B105:E105"/>
    <mergeCell ref="F105:G105"/>
    <mergeCell ref="P105:Q105"/>
    <mergeCell ref="U117:U119"/>
    <mergeCell ref="A118:D118"/>
    <mergeCell ref="O118:O119"/>
    <mergeCell ref="P118:T118"/>
    <mergeCell ref="A119:D119"/>
    <mergeCell ref="P119:T119"/>
    <mergeCell ref="F120:G120"/>
    <mergeCell ref="P120:Q120"/>
    <mergeCell ref="U120:U122"/>
    <mergeCell ref="A121:D121"/>
    <mergeCell ref="O121:O122"/>
    <mergeCell ref="P121:T121"/>
    <mergeCell ref="A122:D122"/>
    <mergeCell ref="P122:T122"/>
    <mergeCell ref="B117:E117"/>
    <mergeCell ref="F117:G117"/>
    <mergeCell ref="P117:Q117"/>
    <mergeCell ref="U129:U131"/>
    <mergeCell ref="A130:D130"/>
    <mergeCell ref="O130:O131"/>
    <mergeCell ref="P130:T130"/>
    <mergeCell ref="A131:D131"/>
    <mergeCell ref="P131:T131"/>
    <mergeCell ref="F132:G132"/>
    <mergeCell ref="P132:Q132"/>
    <mergeCell ref="U132:U134"/>
    <mergeCell ref="A133:D133"/>
    <mergeCell ref="O133:O134"/>
    <mergeCell ref="P133:T133"/>
    <mergeCell ref="A134:D134"/>
    <mergeCell ref="P134:T134"/>
    <mergeCell ref="B129:E129"/>
    <mergeCell ref="F129:G129"/>
    <mergeCell ref="P129:Q129"/>
    <mergeCell ref="U141:U143"/>
    <mergeCell ref="A142:D142"/>
    <mergeCell ref="O142:O143"/>
    <mergeCell ref="P142:T142"/>
    <mergeCell ref="A143:D143"/>
    <mergeCell ref="P143:T143"/>
    <mergeCell ref="F144:G144"/>
    <mergeCell ref="P144:Q144"/>
    <mergeCell ref="U144:U146"/>
    <mergeCell ref="A145:D145"/>
    <mergeCell ref="O145:O146"/>
    <mergeCell ref="P145:T145"/>
    <mergeCell ref="A146:D146"/>
    <mergeCell ref="P146:T146"/>
    <mergeCell ref="B141:E141"/>
    <mergeCell ref="F141:G141"/>
    <mergeCell ref="P141:Q141"/>
    <mergeCell ref="U153:U155"/>
    <mergeCell ref="A154:D154"/>
    <mergeCell ref="O154:O155"/>
    <mergeCell ref="P154:T154"/>
    <mergeCell ref="A155:D155"/>
    <mergeCell ref="P155:T155"/>
    <mergeCell ref="F156:G156"/>
    <mergeCell ref="P156:Q156"/>
    <mergeCell ref="U156:U158"/>
    <mergeCell ref="A157:D157"/>
    <mergeCell ref="O157:O158"/>
    <mergeCell ref="P157:T157"/>
    <mergeCell ref="A158:D158"/>
    <mergeCell ref="P158:T158"/>
    <mergeCell ref="B153:E153"/>
    <mergeCell ref="F153:G153"/>
    <mergeCell ref="P153:Q153"/>
    <mergeCell ref="U165:U167"/>
    <mergeCell ref="A166:D166"/>
    <mergeCell ref="O166:O167"/>
    <mergeCell ref="P166:T166"/>
    <mergeCell ref="A167:D167"/>
    <mergeCell ref="P167:T167"/>
    <mergeCell ref="F168:G168"/>
    <mergeCell ref="P168:Q168"/>
    <mergeCell ref="U168:U170"/>
    <mergeCell ref="A169:D169"/>
    <mergeCell ref="O169:O170"/>
    <mergeCell ref="P169:T169"/>
    <mergeCell ref="A170:D170"/>
    <mergeCell ref="P170:T170"/>
    <mergeCell ref="B165:E165"/>
    <mergeCell ref="F165:G165"/>
    <mergeCell ref="P165:Q165"/>
    <mergeCell ref="U177:U179"/>
    <mergeCell ref="A178:D178"/>
    <mergeCell ref="O178:O179"/>
    <mergeCell ref="P178:T178"/>
    <mergeCell ref="A179:D179"/>
    <mergeCell ref="P179:T179"/>
    <mergeCell ref="F180:G180"/>
    <mergeCell ref="P180:Q180"/>
    <mergeCell ref="U180:U182"/>
    <mergeCell ref="A181:D181"/>
    <mergeCell ref="O181:O182"/>
    <mergeCell ref="P181:T181"/>
    <mergeCell ref="A182:D182"/>
    <mergeCell ref="P182:T182"/>
    <mergeCell ref="B177:E177"/>
    <mergeCell ref="F177:G177"/>
    <mergeCell ref="P177:Q177"/>
    <mergeCell ref="U189:U191"/>
    <mergeCell ref="A190:D190"/>
    <mergeCell ref="O190:O191"/>
    <mergeCell ref="P190:T190"/>
    <mergeCell ref="A191:D191"/>
    <mergeCell ref="P191:T191"/>
    <mergeCell ref="F192:G192"/>
    <mergeCell ref="P192:Q192"/>
    <mergeCell ref="U192:U194"/>
    <mergeCell ref="A193:D193"/>
    <mergeCell ref="O193:O194"/>
    <mergeCell ref="P193:T193"/>
    <mergeCell ref="A194:D194"/>
    <mergeCell ref="P194:T194"/>
    <mergeCell ref="B189:E189"/>
    <mergeCell ref="F189:G189"/>
    <mergeCell ref="P189:Q189"/>
    <mergeCell ref="U201:U203"/>
    <mergeCell ref="A202:D202"/>
    <mergeCell ref="O202:O203"/>
    <mergeCell ref="P202:T202"/>
    <mergeCell ref="A203:D203"/>
    <mergeCell ref="P203:T203"/>
    <mergeCell ref="F204:G204"/>
    <mergeCell ref="P204:Q204"/>
    <mergeCell ref="U204:U206"/>
    <mergeCell ref="A205:D205"/>
    <mergeCell ref="O205:O206"/>
    <mergeCell ref="P205:T205"/>
    <mergeCell ref="A206:D206"/>
    <mergeCell ref="P206:T206"/>
    <mergeCell ref="B201:E201"/>
    <mergeCell ref="F201:G201"/>
    <mergeCell ref="P201:Q201"/>
    <mergeCell ref="U213:U215"/>
    <mergeCell ref="A214:D214"/>
    <mergeCell ref="O214:O215"/>
    <mergeCell ref="P214:T214"/>
    <mergeCell ref="A215:D215"/>
    <mergeCell ref="P215:T215"/>
    <mergeCell ref="F216:G216"/>
    <mergeCell ref="P216:Q216"/>
    <mergeCell ref="U216:U218"/>
    <mergeCell ref="A217:D217"/>
    <mergeCell ref="O217:O218"/>
    <mergeCell ref="P217:T217"/>
    <mergeCell ref="A218:D218"/>
    <mergeCell ref="P218:T218"/>
    <mergeCell ref="B213:E213"/>
    <mergeCell ref="F213:G213"/>
    <mergeCell ref="P213:Q213"/>
    <mergeCell ref="U225:U227"/>
    <mergeCell ref="A226:D226"/>
    <mergeCell ref="O226:O227"/>
    <mergeCell ref="P226:T226"/>
    <mergeCell ref="A227:D227"/>
    <mergeCell ref="P227:T227"/>
    <mergeCell ref="F228:G228"/>
    <mergeCell ref="P228:Q228"/>
    <mergeCell ref="U228:U230"/>
    <mergeCell ref="A229:D229"/>
    <mergeCell ref="O229:O230"/>
    <mergeCell ref="P229:T229"/>
    <mergeCell ref="A230:D230"/>
    <mergeCell ref="P230:T230"/>
    <mergeCell ref="B225:E225"/>
    <mergeCell ref="F225:G225"/>
    <mergeCell ref="P225:Q225"/>
    <mergeCell ref="U237:U239"/>
    <mergeCell ref="A238:D238"/>
    <mergeCell ref="O238:O239"/>
    <mergeCell ref="P238:T238"/>
    <mergeCell ref="A239:D239"/>
    <mergeCell ref="P239:T239"/>
    <mergeCell ref="F240:G240"/>
    <mergeCell ref="P240:Q240"/>
    <mergeCell ref="U240:U242"/>
    <mergeCell ref="A241:D241"/>
    <mergeCell ref="O241:O242"/>
    <mergeCell ref="P241:T241"/>
    <mergeCell ref="A242:D242"/>
    <mergeCell ref="P242:T242"/>
    <mergeCell ref="B237:E237"/>
    <mergeCell ref="F237:G237"/>
    <mergeCell ref="P237:Q237"/>
    <mergeCell ref="U249:U251"/>
    <mergeCell ref="A250:D250"/>
    <mergeCell ref="O250:O251"/>
    <mergeCell ref="P250:T250"/>
    <mergeCell ref="A251:D251"/>
    <mergeCell ref="P251:T251"/>
    <mergeCell ref="F252:G252"/>
    <mergeCell ref="P252:Q252"/>
    <mergeCell ref="U252:U254"/>
    <mergeCell ref="A253:D253"/>
    <mergeCell ref="O253:O254"/>
    <mergeCell ref="P253:T253"/>
    <mergeCell ref="A254:D254"/>
    <mergeCell ref="P254:T254"/>
    <mergeCell ref="B249:E249"/>
    <mergeCell ref="F249:G249"/>
    <mergeCell ref="P249:Q249"/>
    <mergeCell ref="U261:U263"/>
    <mergeCell ref="A262:D262"/>
    <mergeCell ref="O262:O263"/>
    <mergeCell ref="P262:T262"/>
    <mergeCell ref="A263:D263"/>
    <mergeCell ref="P263:T263"/>
    <mergeCell ref="F264:G264"/>
    <mergeCell ref="P264:Q264"/>
    <mergeCell ref="U264:U266"/>
    <mergeCell ref="A265:D265"/>
    <mergeCell ref="O265:O266"/>
    <mergeCell ref="P265:T265"/>
    <mergeCell ref="A266:D266"/>
    <mergeCell ref="P266:T266"/>
    <mergeCell ref="B261:E261"/>
    <mergeCell ref="F261:G261"/>
    <mergeCell ref="P261:Q261"/>
    <mergeCell ref="U273:U275"/>
    <mergeCell ref="A274:D274"/>
    <mergeCell ref="O274:O275"/>
    <mergeCell ref="P274:T274"/>
    <mergeCell ref="A275:D275"/>
    <mergeCell ref="P275:T275"/>
    <mergeCell ref="F276:G276"/>
    <mergeCell ref="P276:Q276"/>
    <mergeCell ref="U276:U278"/>
    <mergeCell ref="A277:D277"/>
    <mergeCell ref="O277:O278"/>
    <mergeCell ref="P277:T277"/>
    <mergeCell ref="A278:D278"/>
    <mergeCell ref="P278:T278"/>
    <mergeCell ref="B273:E273"/>
    <mergeCell ref="F273:G273"/>
    <mergeCell ref="P273:Q273"/>
    <mergeCell ref="U288:U290"/>
    <mergeCell ref="A289:D289"/>
    <mergeCell ref="O289:O290"/>
    <mergeCell ref="P289:T289"/>
    <mergeCell ref="A290:D290"/>
    <mergeCell ref="P290:T290"/>
    <mergeCell ref="P291:Q291"/>
    <mergeCell ref="U291:U293"/>
    <mergeCell ref="A292:D292"/>
    <mergeCell ref="O292:O293"/>
    <mergeCell ref="P292:T292"/>
    <mergeCell ref="A293:D293"/>
    <mergeCell ref="P293:T293"/>
    <mergeCell ref="B291:E291"/>
    <mergeCell ref="B288:E288"/>
    <mergeCell ref="F291:G291"/>
    <mergeCell ref="F288:G288"/>
    <mergeCell ref="P288:Q288"/>
    <mergeCell ref="J307:Q307"/>
    <mergeCell ref="A307:I307"/>
    <mergeCell ref="U297:U299"/>
    <mergeCell ref="A298:D298"/>
    <mergeCell ref="O298:O299"/>
    <mergeCell ref="P298:T298"/>
    <mergeCell ref="A299:D299"/>
    <mergeCell ref="P299:T299"/>
    <mergeCell ref="F300:G300"/>
    <mergeCell ref="P300:Q300"/>
    <mergeCell ref="U300:U302"/>
    <mergeCell ref="A301:D301"/>
    <mergeCell ref="B300:E300"/>
    <mergeCell ref="B297:E297"/>
    <mergeCell ref="F297:G297"/>
    <mergeCell ref="P297:Q297"/>
    <mergeCell ref="O301:O302"/>
    <mergeCell ref="P301:T301"/>
    <mergeCell ref="A302:D302"/>
    <mergeCell ref="P302:T302"/>
    <mergeCell ref="A304:D304"/>
    <mergeCell ref="O304:O305"/>
    <mergeCell ref="P304:T304"/>
  </mergeCells>
  <conditionalFormatting sqref="A308 D308 H308:I308">
    <cfRule type="containsText" dxfId="183" priority="299" operator="containsText" text="متقاضی حداقل امتیاز لازم از این بند را کسب نکرده است!">
      <formula>NOT(ISERROR(SEARCH("متقاضی حداقل امتیاز لازم از این بند را کسب نکرده است!",A308)))</formula>
    </cfRule>
  </conditionalFormatting>
  <conditionalFormatting sqref="P7">
    <cfRule type="containsText" dxfId="182" priority="232" operator="containsText" text="مستخرج از برنامه تحقيقاتي معطوف به رفع مشكلات كشور">
      <formula>NOT(ISERROR(SEARCH("مستخرج از برنامه تحقيقاتي معطوف به رفع مشكلات كشور",P7)))</formula>
    </cfRule>
    <cfRule type="containsText" dxfId="181" priority="233" operator="containsText" text="مشترك با اساتيد دانشگاه خارج از كشور">
      <formula>NOT(ISERROR(SEARCH("مشترك با اساتيد دانشگاه خارج از كشور",P7)))</formula>
    </cfRule>
    <cfRule type="containsText" dxfId="180" priority="234" operator="containsText" text="مستخرج از طرح پژوهشي محرمانه">
      <formula>NOT(ISERROR(SEARCH("مستخرج از طرح پژوهشي محرمانه",P7)))</formula>
    </cfRule>
    <cfRule type="containsText" dxfId="179" priority="235" operator="containsText" text="Short Article">
      <formula>NOT(ISERROR(SEARCH("Short Article",P7)))</formula>
    </cfRule>
    <cfRule type="containsText" dxfId="178" priority="236" operator="containsText" text="چاپ شده در نشریه بسیار پر استناد">
      <formula>NOT(ISERROR(SEARCH("چاپ شده در نشریه بسیار پر استناد",P7)))</formula>
    </cfRule>
    <cfRule type="containsText" dxfId="177" priority="237" operator="containsText" text="مقاله داغ">
      <formula>NOT(ISERROR(SEARCH("مقاله داغ",P7)))</formula>
    </cfRule>
    <cfRule type="containsText" dxfId="176" priority="238" operator="containsText" text="مقاله پر استناد">
      <formula>NOT(ISERROR(SEARCH("مقاله پر استناد",P7)))</formula>
    </cfRule>
  </conditionalFormatting>
  <conditionalFormatting sqref="B6:Q6">
    <cfRule type="containsBlanks" dxfId="175" priority="300">
      <formula>LEN(TRIM(B6))=0</formula>
    </cfRule>
  </conditionalFormatting>
  <conditionalFormatting sqref="P7:T7">
    <cfRule type="containsText" dxfId="174" priority="142" operator="containsText" text="چاپ شده در نشريات بسيار پر استناد Nature و Science">
      <formula>NOT(ISERROR(SEARCH("چاپ شده در نشريات بسيار پر استناد Nature و Science",P7)))</formula>
    </cfRule>
    <cfRule type="containsText" dxfId="173" priority="151" operator="containsText" text="مستخرج از برنامه تحقيقاتي ملي معطوف به رفع مشكلات كشور">
      <formula>NOT(ISERROR(SEARCH("مستخرج از برنامه تحقيقاتي ملي معطوف به رفع مشكلات كشور",P7)))</formula>
    </cfRule>
  </conditionalFormatting>
  <conditionalFormatting sqref="P8">
    <cfRule type="containsText" dxfId="172" priority="135" operator="containsText" text="مستخرج از برنامه تحقيقاتي معطوف به رفع مشكلات كشور">
      <formula>NOT(ISERROR(SEARCH("مستخرج از برنامه تحقيقاتي معطوف به رفع مشكلات كشور",P8)))</formula>
    </cfRule>
    <cfRule type="containsText" dxfId="171" priority="136" operator="containsText" text="مشترك با اساتيد دانشگاه خارج از كشور">
      <formula>NOT(ISERROR(SEARCH("مشترك با اساتيد دانشگاه خارج از كشور",P8)))</formula>
    </cfRule>
    <cfRule type="containsText" dxfId="170" priority="137" operator="containsText" text="مستخرج از طرح پژوهشي محرمانه">
      <formula>NOT(ISERROR(SEARCH("مستخرج از طرح پژوهشي محرمانه",P8)))</formula>
    </cfRule>
    <cfRule type="containsText" dxfId="169" priority="138" operator="containsText" text="Short Article">
      <formula>NOT(ISERROR(SEARCH("Short Article",P8)))</formula>
    </cfRule>
    <cfRule type="containsText" dxfId="168" priority="139" operator="containsText" text="چاپ شده در نشریه بسیار پر استناد">
      <formula>NOT(ISERROR(SEARCH("چاپ شده در نشریه بسیار پر استناد",P8)))</formula>
    </cfRule>
    <cfRule type="containsText" dxfId="167" priority="140" operator="containsText" text="مقاله داغ">
      <formula>NOT(ISERROR(SEARCH("مقاله داغ",P8)))</formula>
    </cfRule>
    <cfRule type="containsText" dxfId="166" priority="141" operator="containsText" text="مقاله پر استناد">
      <formula>NOT(ISERROR(SEARCH("مقاله پر استناد",P8)))</formula>
    </cfRule>
  </conditionalFormatting>
  <conditionalFormatting sqref="P8:T8">
    <cfRule type="containsText" dxfId="165" priority="133" operator="containsText" text="چاپ شده در نشريات بسيار پر استناد Nature و Science">
      <formula>NOT(ISERROR(SEARCH("چاپ شده در نشريات بسيار پر استناد Nature و Science",P8)))</formula>
    </cfRule>
    <cfRule type="containsText" dxfId="164" priority="134" operator="containsText" text="مستخرج از برنامه تحقيقاتي ملي معطوف به رفع مشكلات كشور">
      <formula>NOT(ISERROR(SEARCH("مستخرج از برنامه تحقيقاتي ملي معطوف به رفع مشكلات كشور",P8)))</formula>
    </cfRule>
  </conditionalFormatting>
  <conditionalFormatting sqref="R308">
    <cfRule type="containsErrors" dxfId="163" priority="302">
      <formula>ISERROR(R308)</formula>
    </cfRule>
  </conditionalFormatting>
  <conditionalFormatting sqref="A6">
    <cfRule type="cellIs" dxfId="162" priority="42" operator="equal">
      <formula>0</formula>
    </cfRule>
  </conditionalFormatting>
  <conditionalFormatting sqref="P10">
    <cfRule type="containsText" dxfId="161" priority="33" operator="containsText" text="مستخرج از برنامه تحقيقاتي معطوف به رفع مشكلات كشور">
      <formula>NOT(ISERROR(SEARCH("مستخرج از برنامه تحقيقاتي معطوف به رفع مشكلات كشور",P10)))</formula>
    </cfRule>
    <cfRule type="containsText" dxfId="160" priority="34" operator="containsText" text="مشترك با اساتيد دانشگاه خارج از كشور">
      <formula>NOT(ISERROR(SEARCH("مشترك با اساتيد دانشگاه خارج از كشور",P10)))</formula>
    </cfRule>
    <cfRule type="containsText" dxfId="159" priority="35" operator="containsText" text="مستخرج از طرح پژوهشي محرمانه">
      <formula>NOT(ISERROR(SEARCH("مستخرج از طرح پژوهشي محرمانه",P10)))</formula>
    </cfRule>
    <cfRule type="containsText" dxfId="158" priority="36" operator="containsText" text="Short Article">
      <formula>NOT(ISERROR(SEARCH("Short Article",P10)))</formula>
    </cfRule>
    <cfRule type="containsText" dxfId="157" priority="37" operator="containsText" text="چاپ شده در نشریه بسیار پر استناد">
      <formula>NOT(ISERROR(SEARCH("چاپ شده در نشریه بسیار پر استناد",P10)))</formula>
    </cfRule>
    <cfRule type="containsText" dxfId="156" priority="38" operator="containsText" text="مقاله داغ">
      <formula>NOT(ISERROR(SEARCH("مقاله داغ",P10)))</formula>
    </cfRule>
    <cfRule type="containsText" dxfId="155" priority="39" operator="containsText" text="مقاله پر استناد">
      <formula>NOT(ISERROR(SEARCH("مقاله پر استناد",P10)))</formula>
    </cfRule>
  </conditionalFormatting>
  <conditionalFormatting sqref="B9:Q9">
    <cfRule type="containsBlanks" dxfId="154" priority="40">
      <formula>LEN(TRIM(B9))=0</formula>
    </cfRule>
  </conditionalFormatting>
  <conditionalFormatting sqref="P10:T10">
    <cfRule type="containsText" dxfId="153" priority="31" operator="containsText" text="چاپ شده در نشريات بسيار پر استناد Nature و Science">
      <formula>NOT(ISERROR(SEARCH("چاپ شده در نشريات بسيار پر استناد Nature و Science",P10)))</formula>
    </cfRule>
    <cfRule type="containsText" dxfId="152" priority="32" operator="containsText" text="مستخرج از برنامه تحقيقاتي ملي معطوف به رفع مشكلات كشور">
      <formula>NOT(ISERROR(SEARCH("مستخرج از برنامه تحقيقاتي ملي معطوف به رفع مشكلات كشور",P10)))</formula>
    </cfRule>
  </conditionalFormatting>
  <conditionalFormatting sqref="P11">
    <cfRule type="containsText" dxfId="151" priority="24" operator="containsText" text="مستخرج از برنامه تحقيقاتي معطوف به رفع مشكلات كشور">
      <formula>NOT(ISERROR(SEARCH("مستخرج از برنامه تحقيقاتي معطوف به رفع مشكلات كشور",P11)))</formula>
    </cfRule>
    <cfRule type="containsText" dxfId="150" priority="25" operator="containsText" text="مشترك با اساتيد دانشگاه خارج از كشور">
      <formula>NOT(ISERROR(SEARCH("مشترك با اساتيد دانشگاه خارج از كشور",P11)))</formula>
    </cfRule>
    <cfRule type="containsText" dxfId="149" priority="26" operator="containsText" text="مستخرج از طرح پژوهشي محرمانه">
      <formula>NOT(ISERROR(SEARCH("مستخرج از طرح پژوهشي محرمانه",P11)))</formula>
    </cfRule>
    <cfRule type="containsText" dxfId="148" priority="27" operator="containsText" text="Short Article">
      <formula>NOT(ISERROR(SEARCH("Short Article",P11)))</formula>
    </cfRule>
    <cfRule type="containsText" dxfId="147" priority="28" operator="containsText" text="چاپ شده در نشریه بسیار پر استناد">
      <formula>NOT(ISERROR(SEARCH("چاپ شده در نشریه بسیار پر استناد",P11)))</formula>
    </cfRule>
    <cfRule type="containsText" dxfId="146" priority="29" operator="containsText" text="مقاله داغ">
      <formula>NOT(ISERROR(SEARCH("مقاله داغ",P11)))</formula>
    </cfRule>
    <cfRule type="containsText" dxfId="145" priority="30" operator="containsText" text="مقاله پر استناد">
      <formula>NOT(ISERROR(SEARCH("مقاله پر استناد",P11)))</formula>
    </cfRule>
  </conditionalFormatting>
  <conditionalFormatting sqref="P11:T11">
    <cfRule type="containsText" dxfId="144" priority="22" operator="containsText" text="چاپ شده در نشريات بسيار پر استناد Nature و Science">
      <formula>NOT(ISERROR(SEARCH("چاپ شده در نشريات بسيار پر استناد Nature و Science",P11)))</formula>
    </cfRule>
    <cfRule type="containsText" dxfId="143" priority="23" operator="containsText" text="مستخرج از برنامه تحقيقاتي ملي معطوف به رفع مشكلات كشور">
      <formula>NOT(ISERROR(SEARCH("مستخرج از برنامه تحقيقاتي ملي معطوف به رفع مشكلات كشور",P11)))</formula>
    </cfRule>
  </conditionalFormatting>
  <conditionalFormatting sqref="A9">
    <cfRule type="cellIs" dxfId="142" priority="21" operator="equal">
      <formula>0</formula>
    </cfRule>
  </conditionalFormatting>
  <conditionalFormatting sqref="P13 P16 P19 P22 P25 P28 P31 P34 P37 P40 P43 P46 P49 P52 P55 P58 P61 P64 P67 P70 P73 P76 P79 P82 P85 P88 P91 P94 P97 P100 P103 P106 P109 P112 P115 P118 P121 P124 P127 P130 P133 P136 P139 P142 P145 P148 P151 P154 P157 P160 P163 P166 P169 P172 P175 P178 P181 P184 P187 P190 P193 P196 P199 P202 P205 P208 P211 P214 P217 P220 P223 P226 P229 P232 P235 P238 P241 P244 P247 P250 P253 P256 P259 P262 P265 P268 P271 P274 P277 P280 P283 P286 P289 P292 P295 P298 P301 P304">
    <cfRule type="containsText" dxfId="141" priority="13" operator="containsText" text="مستخرج از برنامه تحقيقاتي معطوف به رفع مشكلات كشور">
      <formula>NOT(ISERROR(SEARCH("مستخرج از برنامه تحقيقاتي معطوف به رفع مشكلات كشور",P13)))</formula>
    </cfRule>
    <cfRule type="containsText" dxfId="140" priority="14" operator="containsText" text="مشترك با اساتيد دانشگاه خارج از كشور">
      <formula>NOT(ISERROR(SEARCH("مشترك با اساتيد دانشگاه خارج از كشور",P13)))</formula>
    </cfRule>
    <cfRule type="containsText" dxfId="139" priority="15" operator="containsText" text="مستخرج از طرح پژوهشي محرمانه">
      <formula>NOT(ISERROR(SEARCH("مستخرج از طرح پژوهشي محرمانه",P13)))</formula>
    </cfRule>
    <cfRule type="containsText" dxfId="138" priority="16" operator="containsText" text="Short Article">
      <formula>NOT(ISERROR(SEARCH("Short Article",P13)))</formula>
    </cfRule>
    <cfRule type="containsText" dxfId="137" priority="17" operator="containsText" text="چاپ شده در نشریه بسیار پر استناد">
      <formula>NOT(ISERROR(SEARCH("چاپ شده در نشریه بسیار پر استناد",P13)))</formula>
    </cfRule>
    <cfRule type="containsText" dxfId="136" priority="18" operator="containsText" text="مقاله داغ">
      <formula>NOT(ISERROR(SEARCH("مقاله داغ",P13)))</formula>
    </cfRule>
    <cfRule type="containsText" dxfId="135" priority="19" operator="containsText" text="مقاله پر استناد">
      <formula>NOT(ISERROR(SEARCH("مقاله پر استناد",P13)))</formula>
    </cfRule>
  </conditionalFormatting>
  <conditionalFormatting sqref="B12:Q12 B15:Q15 B18:Q18 B21:Q21 B24:Q24 B27:Q27 B30:Q30 B33:Q33 B36:Q36 B39:Q39 B42:Q42 B45:Q45 B48:Q48 B51:Q51 B54:Q54 B57:Q57 B60:Q60 B63:Q63 B66:Q66 B69:Q69 B72:Q72 B75:Q75 B78:Q78 B81:Q81 B84:Q84 B87:Q87 B90:Q90 B93:Q93 B96:Q96 B99:Q99 B102:Q102 B105:Q105 B108:Q108 B111:Q111 B114:Q114 B117:Q117 B120:Q120 B123:Q123 B126:Q126 B129:Q129 B132:Q132 B135:Q135 B138:Q138 B141:Q141 B144:Q144 B147:Q147 B150:Q150 B153:Q153 B156:Q156 B159:Q159 B162:Q162 B165:Q165 B168:Q168 B171:Q171 B174:Q174 B177:Q177 B180:Q180 B183:Q183 B186:Q186 B189:Q189 B192:Q192 B195:Q195 B198:Q198 B201:Q201 B204:Q204 B207:Q207 B210:Q210 B213:Q213 B216:Q216 B219:Q219 B222:Q222 B225:Q225 B228:Q228 B231:Q231 B234:Q234 B237:Q237 B240:Q240 B243:Q243 B246:Q246 B249:Q249 B252:Q252 B255:Q255 B258:Q258 B261:Q261 B264:Q264 B267:Q267 B270:Q270 B273:Q273 B276:Q276 B279:Q279 B282:Q282 B285:Q285 B288:Q288 B291:Q291 B294:Q294 B297:Q297 B300:Q300 B303:Q303">
    <cfRule type="containsBlanks" dxfId="134" priority="20">
      <formula>LEN(TRIM(B12))=0</formula>
    </cfRule>
  </conditionalFormatting>
  <conditionalFormatting sqref="P13:T13 P16:T16 P19:T19 P22:T22 P25:T25 P28:T28 P31:T31 P34:T34 P37:T37 P40:T40 P43:T43 P46:T46 P49:T49 P52:T52 P55:T55 P58:T58 P61:T61 P64:T64 P67:T67 P70:T70 P73:T73 P76:T76 P79:T79 P82:T82 P85:T85 P88:T88 P91:T91 P94:T94 P97:T97 P100:T100 P103:T103 P106:T106 P109:T109 P112:T112 P115:T115 P118:T118 P121:T121 P124:T124 P127:T127 P130:T130 P133:T133 P136:T136 P139:T139 P142:T142 P145:T145 P148:T148 P151:T151 P154:T154 P157:T157 P160:T160 P163:T163 P166:T166 P169:T169 P172:T172 P175:T175 P178:T178 P181:T181 P184:T184 P187:T187 P190:T190 P193:T193 P196:T196 P199:T199 P202:T202 P205:T205 P208:T208 P211:T211 P214:T214 P217:T217 P220:T220 P223:T223 P226:T226 P229:T229 P232:T232 P235:T235 P238:T238 P241:T241 P244:T244 P247:T247 P250:T250 P253:T253 P256:T256 P259:T259 P262:T262 P265:T265 P268:T268 P271:T271 P274:T274 P277:T277 P280:T280 P283:T283 P286:T286 P289:T289 P292:T292 P295:T295 P298:T298 P301:T301 P304:T304">
    <cfRule type="containsText" dxfId="133" priority="11" operator="containsText" text="چاپ شده در نشريات بسيار پر استناد Nature و Science">
      <formula>NOT(ISERROR(SEARCH("چاپ شده در نشريات بسيار پر استناد Nature و Science",P13)))</formula>
    </cfRule>
    <cfRule type="containsText" dxfId="132" priority="12" operator="containsText" text="مستخرج از برنامه تحقيقاتي ملي معطوف به رفع مشكلات كشور">
      <formula>NOT(ISERROR(SEARCH("مستخرج از برنامه تحقيقاتي ملي معطوف به رفع مشكلات كشور",P13)))</formula>
    </cfRule>
  </conditionalFormatting>
  <conditionalFormatting sqref="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cfRule type="containsText" dxfId="131" priority="4" operator="containsText" text="مستخرج از برنامه تحقيقاتي معطوف به رفع مشكلات كشور">
      <formula>NOT(ISERROR(SEARCH("مستخرج از برنامه تحقيقاتي معطوف به رفع مشكلات كشور",P14)))</formula>
    </cfRule>
    <cfRule type="containsText" dxfId="130" priority="5" operator="containsText" text="مشترك با اساتيد دانشگاه خارج از كشور">
      <formula>NOT(ISERROR(SEARCH("مشترك با اساتيد دانشگاه خارج از كشور",P14)))</formula>
    </cfRule>
    <cfRule type="containsText" dxfId="129" priority="6" operator="containsText" text="مستخرج از طرح پژوهشي محرمانه">
      <formula>NOT(ISERROR(SEARCH("مستخرج از طرح پژوهشي محرمانه",P14)))</formula>
    </cfRule>
    <cfRule type="containsText" dxfId="128" priority="7" operator="containsText" text="Short Article">
      <formula>NOT(ISERROR(SEARCH("Short Article",P14)))</formula>
    </cfRule>
    <cfRule type="containsText" dxfId="127" priority="8" operator="containsText" text="چاپ شده در نشریه بسیار پر استناد">
      <formula>NOT(ISERROR(SEARCH("چاپ شده در نشریه بسیار پر استناد",P14)))</formula>
    </cfRule>
    <cfRule type="containsText" dxfId="126" priority="9" operator="containsText" text="مقاله داغ">
      <formula>NOT(ISERROR(SEARCH("مقاله داغ",P14)))</formula>
    </cfRule>
    <cfRule type="containsText" dxfId="125" priority="10" operator="containsText" text="مقاله پر استناد">
      <formula>NOT(ISERROR(SEARCH("مقاله پر استناد",P14)))</formula>
    </cfRule>
  </conditionalFormatting>
  <conditionalFormatting sqref="P14:T14 P17:T17 P20:T20 P23:T23 P26:T26 P29:T29 P32:T32 P35:T35 P38:T38 P41:T41 P44:T44 P47:T47 P50:T50 P53:T53 P56:T56 P59:T59 P62:T62 P65:T65 P68:T68 P71:T71 P74:T74 P77:T77 P80:T80 P83:T83 P86:T86 P89:T89 P92:T92 P95:T95 P98:T98 P101:T101 P104:T104 P107:T107 P110:T110 P113:T113 P116:T116 P119:T119 P122:T122 P125:T125 P128:T128 P131:T131 P134:T134 P137:T137 P140:T140 P143:T143 P146:T146 P149:T149 P152:T152 P155:T155 P158:T158 P161:T161 P164:T164 P167:T167 P170:T170 P173:T173 P176:T176 P179:T179 P182:T182 P185:T185 P188:T188 P191:T191 P194:T194 P197:T197 P200:T200 P203:T203 P206:T206 P209:T209 P212:T212 P215:T215 P218:T218 P221:T221 P224:T224 P227:T227 P230:T230 P233:T233 P236:T236 P239:T239 P242:T242 P245:T245 P248:T248 P251:T251 P254:T254 P257:T257 P260:T260 P263:T263 P266:T266 P269:T269 P272:T272 P275:T275 P278:T278 P281:T281 P284:T284 P287:T287 P290:T290 P293:T293 P296:T296 P299:T299 P302:T302 P305:T305">
    <cfRule type="containsText" dxfId="124" priority="2" operator="containsText" text="چاپ شده در نشريات بسيار پر استناد Nature و Science">
      <formula>NOT(ISERROR(SEARCH("چاپ شده در نشريات بسيار پر استناد Nature و Science",P14)))</formula>
    </cfRule>
    <cfRule type="containsText" dxfId="123" priority="3" operator="containsText" text="مستخرج از برنامه تحقيقاتي ملي معطوف به رفع مشكلات كشور">
      <formula>NOT(ISERROR(SEARCH("مستخرج از برنامه تحقيقاتي ملي معطوف به رفع مشكلات كشور",P14)))</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cfRule type="cellIs" dxfId="122" priority="1" operator="equal">
      <formula>0</formula>
    </cfRule>
  </conditionalFormatting>
  <dataValidations count="6">
    <dataValidation type="whole" operator="greaterThan" allowBlank="1" showInputMessage="1" showErrorMessage="1" error="لطفا داده را به صورت عددي وارد فرماييد" sqref="L6 L9 L12 L15 L18 L21 L24 L27 L30 L33 L36 L39 L42 L45 L48 L51 L54 L57 L60 L63 L66 L69 L72 L75 L78 L81 L84 L87 L90 L93 L96 L99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formula1>0</formula1>
    </dataValidation>
    <dataValidation type="decimal" operator="greaterThanOrEqual" allowBlank="1" showInputMessage="1" showErrorMessage="1" error="لطفا داده را به صورت عددي وارد نماييد" promptTitle="ضريب تاثير متوسط" prompt="الصاق مدارک ضریب تأثیر متوسط نشريه توسط متقاضی الزامی می باشد" sqref="K6 K9 K12 K15 K18 K21 K24 K27 K30 K33 K36 K39 K42 K45 K48 K51 K54 K57 K60 K63 K66 K69 K72 K75 K78 K81 K84 K87 K90 K93 K96 K99 K102 K105 K108 K111 K114 K117 K120 K123 K126 K129 K132 K135 K138 K141 K144 K147 K150 K153 K156 K159 K162 K165 K168 K171 K174 K177 K180 K183 K186 K189 K192 K195 K198 K201 K204 K207 K210 K213 K216 K219 K222 K225 K228 K231 K234 K237 K240 K243 K246 K249 K252 K255 K258 K261 K264 K267 K270 K273 K276 K279 K282 K285 K288 K291 K294 K297 K300 K303">
      <formula1>0</formula1>
    </dataValidation>
    <dataValidation type="decimal" errorStyle="warning" allowBlank="1" showInputMessage="1" showErrorMessage="1" error="حداکثر امتیاز قابل احتساب برای یک نشریه عدد 7 می باشد و پيشنهاد مي شود مقالات با امتیاز نشریه کمتر از 3 به جدول علمی مروری - ترویجی انتقال یابد. جهت ورود امتيازات ويژه مي توانيد از گزينه موارد خاص استفاده فرماييد" sqref="F8 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ormula1>3</formula1>
      <formula2>7</formula2>
    </dataValidation>
    <dataValidation type="decimal" errorStyle="warning" allowBlank="1" showInputMessage="1" showErrorMessage="1" error="حداکثر امتیاز قابل احتساب برای یک نشریه عدد 7 می باشد، جهت ورود امتيازات ويژه مي توانيد از گزينه موارد خاص استفاده فرماييد._x000a_ضمنا پيشنهاد مي شود مقالات با امتیاز نشریه کمتر از 3 به جدول علمی مروری - ترویجی انتقال یابد." 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ormula1>3</formula1>
      <formula2>7</formula2>
    </dataValidation>
    <dataValidation type="decimal" operator="greaterThanOrEqual" allowBlank="1" showInputMessage="1" showErrorMessage="1" error="لطفا داده را به صورت عددي وارد نماييد" promptTitle="ضريب تاثير (IF)" prompt="در صورتيكه نشريه داراي IF نباشد حتما عدد 0 را وارد نماييد_x000a__x000a_الصاق مدارک ضریب تأثیر نشريه به مقاله توسط متقاضي الزامی می باشد" sqref="J6 J9 J12 J15 J18 J21 J24 J27 J30 J33 J36 J39 J42 J45 J48 J51 J54 J57 J60 J63 J66 J69 J72 J75 J78 J81 J84 J87 J90 J93 J96 J99 J102 J105 J108 J111 J114 J117 J120 J123 J126 J129 J132 J135 J138 J141 J144 J147 J150 J153 J156 J159 J162 J165 J168 J171 J174 J177 J180 J183 J186 J189 J192 J195 J198 J201 J204 J207 J210 J213 J216 J219 J222 J225 J228 J231 J234 J237 J240 J243 J246 J249 J252 J255 J258 J261 J264 J267 J270 J273 J276 J279 J282 J285 J288 J291 J294 J297 J300 J303">
      <formula1>0</formula1>
    </dataValidation>
    <dataValidation type="list" allowBlank="1" showInputMessage="1" showErrorMessage="1" error="لطفا از مقادیر داخل لیست انتخاب نموده و برای تعداد نویسندگان بیشتر از 6 نفر عدد 6 را انتخاب فرماييد" sqref="H34:H35">
      <formula1>$C$1:$C$10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ellIs" priority="47" operator="equal" id="{0809003B-2C07-419C-B940-008065B86F84}">
            <xm:f>'Data Base'!$K$18</xm:f>
            <x14:dxf>
              <font>
                <color rgb="FF9C0006"/>
              </font>
              <fill>
                <patternFill>
                  <bgColor rgb="FFFFC7CE"/>
                </patternFill>
              </fill>
            </x14:dxf>
          </x14:cfRule>
          <xm:sqref>K306:Q306 J307</xm:sqref>
        </x14:conditionalFormatting>
        <x14:conditionalFormatting xmlns:xm="http://schemas.microsoft.com/office/excel/2006/main">
          <x14:cfRule type="cellIs" priority="41" operator="equal" id="{39BC5C27-FB6E-4C14-95D0-B9D43319DA56}">
            <xm:f>'Data Base'!$K$25</xm:f>
            <x14:dxf>
              <font>
                <color rgb="FF9C0006"/>
              </font>
              <fill>
                <patternFill>
                  <bgColor rgb="FFFFC7CE"/>
                </patternFill>
              </fill>
            </x14:dxf>
          </x14:cfRule>
          <xm:sqref>J307</xm:sqref>
        </x14:conditionalFormatting>
        <x14:conditionalFormatting xmlns:xm="http://schemas.microsoft.com/office/excel/2006/main">
          <x14:cfRule type="containsText" priority="304" operator="containsText" id="{6B1B0BCA-F25A-4B21-8B08-739E9A02E658}">
            <xm:f>NOT(ISERROR(SEARCH(#REF!,A306)))</xm:f>
            <xm:f>#REF!</xm:f>
            <x14:dxf>
              <font>
                <color rgb="FF9C0006"/>
              </font>
              <fill>
                <patternFill>
                  <bgColor rgb="FFFFC7CE"/>
                </patternFill>
              </fill>
            </x14:dxf>
          </x14:cfRule>
          <xm:sqref>A306:J306 A307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error="لطفا از موارد داخل ليست انتخاب فرماييد" promptTitle="پيوست مستندات مربوطه الزاميست" prompt="افزايش امتیاز مقاله پراستناد، داغ و مستخرج از برنامه مصوب تحقيقاتي تا1/5برابر_x000a_مقاله چاپ شده در نشریات پراستناد(Science و Nature)تا2 برابر_x000a_مستخرج از طرح محرمانه و يا مشترك با اساتيد خارج از كشور تا1/2برابر_x000a_كاهش امتياز مقاله کوتاه(Short Article)تا 0/5برابر_x000a_">
          <x14:formula1>
            <xm:f>'Data Base'!$K$3:$K$9</xm:f>
          </x14:formula1>
          <xm:sqref>P7:P8 P10:P11 P13:P14 P16:P17 P19:P20 P22:P23 P25:P26 P28:P29 P31:P32 P34:P35 P37:P38 P40:P41 P43:P44 P46:P47 P49:P50 P52:P53 P55:P56 P58:P59 P61:P62 P64:P65 P67:P68 P70:P71 P73:P74 P76:P77 P79:P80 P82:P83 P85:P86 P88:P89 P91:P92 P94:P95 P97:P98 P100:P101 P103:P104 P106:P107 P109:P110 P112:P113 P115:P116 P118:P119 P121:P122 P124:P125 P127:P128 P130:P131 P133:P134 P136:P137 P139:P140 P142:P143 P145:P146 P148:P149 P151:P152 P154:P155 P157:P158 P160:P161 P163:P164 P166:P167 P169:P170 P172:P173 P175:P176 P178:P179 P181:P182 P184:P185 P187:P188 P190:P191 P193:P194 P196:P197 P199:P200 P202:P203 P205:P206 P208:P209 P211:P212 P214:P215 P217:P218 P220:P221 P223:P224 P226:P227 P229:P230 P232:P233 P235:P236 P238:P239 P241:P242 P244:P245 P247:P248 P250:P251 P253:P254 P256:P257 P259:P260 P262:P263 P265:P266 P268:P269 P271:P272 P274:P275 P277:P278 P280:P281 P283:P284 P286:P287 P289:P290 P292:P293 P295:P296 P298:P299 P301:P302 P304:P305</xm:sqref>
        </x14:dataValidation>
        <x14:dataValidation type="list" errorStyle="warning" allowBlank="1" showInputMessage="1" showErrorMessage="1" error="بهتر است از مقادیر داخل لیست انتخاب نمایید">
          <x14:formula1>
            <xm:f>'Data Base'!$G$3:$G$8</xm:f>
          </x14:formula1>
          <xm:sqref>N7:N8 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xm:sqref>
        </x14:dataValidation>
        <x14:dataValidation type="list" allowBlank="1" showInputMessage="1" showErrorMessage="1" error="لطفا از مقادیر داخل لیست انتخاب نمایید">
          <x14:formula1>
            <xm:f>'Data Base'!$P$3:$P$14</xm:f>
          </x14:formula1>
          <xm:sqref>L7:L8 L10:L11 L13:L14 L16:L17 L19:L20 L22:L23 L25:L26 L28:L29 L31:L32 L34:L35 L37:L38 L40:L41 L43:L44 L46:L47 L49:L50 L52:L53 L55:L56 L58:L59 L61:L62 L64:L65 L67:L68 L70:L71 L73:L74 L76:L77 L79:L80 L82:L83 L85:L86 L88:L89 L91:L92 L94:L95 L97:L98 L100:L101 L103:L104 L106:L107 L109:L110 L112:L113 L115:L116 L118:L119 L121:L122 L124:L125 L127:L128 L130:L131 L133:L134 L136:L137 L139:L140 L142:L143 L145:L146 L148:L149 L151:L152 L154:L155 L157:L158 L160:L161 L163:L164 L166:L167 L169:L170 L172:L173 L175:L176 L178:L179 L181:L182 L184:L185 L187:L188 L190:L191 L193:L194 L196:L197 L199:L200 L202:L203 L205:L206 L208:L209 L211:L212 L214:L215 L217:L218 L220:L221 L223:L224 L226:L227 L229:L230 L232:L233 L235:L236 L238:L239 L241:L242 L244:L245 L247:L248 L250:L251 L253:L254 L256:L257 L259:L260 L262:L263 L265:L266 L268:L269 L271:L272 L274:L275 L277:L278 L280:L281 L283:L284 L286:L287 L289:L290 L292:L293 L295:L296 L298:L299 L301:L302 L304:L305</xm:sqref>
        </x14:dataValidation>
        <x14:dataValidation type="list" allowBlank="1" showInputMessage="1" showErrorMessage="1" error="لطفا از موارد داخل ليست انتخاب فرماييد" promptTitle="توجه:اين سلول حتما تكميل گردد." prompt="از نمایه WOS فقط Core Collection مورد تایید می باشد._x000a__x000a_الصاق مدارک نمايه علمي نشريه به مقاله توسط متقاضي الزامی می باشد">
          <x14:formula1>
            <xm:f>'Data Base'!$B$15:$B$22</xm:f>
          </x14:formula1>
          <xm:sqref>H6 H9 H12 H15 H18 H21 H24 H27 H30 H33 H36 H39 H42 H45 H48 H51 H54 H57 H60 H63 H66 H69 H72 H75 H78 H81 H84 H87 H90 H93 H96 H99 H102 H105 H108 H111 H114 H117 H120 H123 H126 H129 H132 H135 H138 H141 H144 H147 H150 H153 H156 H159 H162 H165 H168 H171 H174 H177 H180 H183 H186 H189 H192 H195 H198 H201 H204 H207 H210 H213 H216 H219 H222 H225 H228 H231 H234 H237 H240 H243 H246 H249 H252 H255 H258 H261 H264 H267 H270 H273 H276 H279 H282 H285 H288 H291 H294 H297 H300 H303</xm:sqref>
        </x14:dataValidation>
        <x14:dataValidation type="list" allowBlank="1" showInputMessage="1" showErrorMessage="1" error="لطفا از موارد داخل لیست انتخاب نمایید">
          <x14:formula1>
            <xm:f>'Data Base'!$E$18:$E$19</xm:f>
          </x14:formula1>
          <xm:sqref>J7:J8 J301:J302 J10:J11 J13:J14 J16:J17 J19:J20 J22:J23 J25:J26 J28:J29 J31:J32 J34:J35 J37:J38 J40:J41 J43:J44 J46:J47 J49:J50 J52:J53 J55:J56 J58:J59 J61:J62 J64:J65 J67:J68 J70:J71 J73:J74 J76:J77 J79:J80 J82:J83 J85:J86 J88:J89 J91:J92 J94:J95 J97:J98 J100:J101 J103:J104 J106:J107 J109:J110 J112:J113 J115:J116 J118:J119 J121:J122 J124:J125 J127:J128 J130:J131 J133:J134 J136:J137 J139:J140 J142:J143 J145:J146 J148:J149 J151:J152 J154:J155 J157:J158 J160:J161 J163:J164 J166:J167 J169:J170 J172:J173 J175:J176 J178:J179 J181:J182 J184:J185 J187:J188 J190:J191 J193:J194 J196:J197 J199:J200 J202:J203 J205:J206 J208:J209 J211:J212 J214:J215 J217:J218 J220:J221 J223:J224 J226:J227 J229:J230 J232:J233 J235:J236 J238:J239 J241:J242 J244:J245 J247:J248 J250:J251 J253:J254 J256:J257 J259:J260 J262:J263 J265:J266 J268:J269 J271:J272 J274:J275 J277:J278 J280:J281 J283:J284 J286:J287 J289:J290 J292:J293 J295:J296 J298:J299 J304:J305</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H37:H38 H40:H41 H43:H44 H46:H47 H49:H50 H52:H53 H55:H56 H58:H59 H61:H62 H64:H65 H67:H68 H70:H71 H73:H74 H76:H77 H79:H80 H82:H83 H85:H86 H88:H89 H91:H92 H94:H95 H97:H98 H100:H101 H103:H104 H106:H107 H109:H110 H112:H113 H115:H116 H118:H119 H121:H122 H124:H125 H127:H128 H130:H131 H133:H134 H136:H137 H139:H140 H142:H143 H145:H146 H148:H149 H151:H152 H154:H155 H157:H158 H160:H161 H163:H164 H166:H167 H169:H170 H172:H173 H175:H176 H178:H179 H181:H182 H184:H185 H187:H188 H190:H191 H193:H194 H196:H197 H199:H200 H202:H203 H205:H206 H208:H209 H211:H212 H214:H215 H217:H218 H220:H221 H223:H224 H226:H227 H229:H230 H232:H233 H235:H236 H238:H239 H241:H242 H244:H245 H247:H248 H250:H251 H253:H254 H256:H257 H259:H260 H262:H263 H265:H266 H268:H269 H271:H272 H274:H275 H277:H278 H280:H281 H283:H284 H286:H287 H289:H290 H292:H293 H295:H296 H298:H299 H301:H302 H304:H305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249977111117893"/>
  </sheetPr>
  <dimension ref="A1:CA84"/>
  <sheetViews>
    <sheetView showGridLines="0" rightToLeft="1" view="pageBreakPreview" zoomScaleNormal="100" zoomScaleSheetLayoutView="100" workbookViewId="0">
      <pane ySplit="5" topLeftCell="A6" activePane="bottomLeft" state="frozen"/>
      <selection pane="bottomLeft" activeCell="Q80" sqref="Q80"/>
    </sheetView>
  </sheetViews>
  <sheetFormatPr defaultColWidth="9.140625" defaultRowHeight="15"/>
  <cols>
    <col min="1" max="1" width="2.85546875" style="19" customWidth="1"/>
    <col min="2" max="2" width="3.7109375" style="19" customWidth="1"/>
    <col min="3" max="3" width="6.140625" style="19" customWidth="1"/>
    <col min="4" max="4" width="5" style="19" customWidth="1"/>
    <col min="5" max="5" width="9.7109375" style="19" customWidth="1"/>
    <col min="6" max="6" width="6.140625" style="19" customWidth="1"/>
    <col min="7" max="7" width="10.28515625" style="19" customWidth="1"/>
    <col min="8" max="8" width="6.140625" style="19" customWidth="1"/>
    <col min="9" max="10" width="5.28515625" style="19" customWidth="1"/>
    <col min="11" max="11" width="6.140625" style="19" customWidth="1"/>
    <col min="12" max="13" width="5.28515625" style="19" customWidth="1"/>
    <col min="14" max="14" width="6.140625" style="19" customWidth="1"/>
    <col min="15" max="16" width="5.28515625" style="19" customWidth="1"/>
    <col min="17" max="17" width="6.140625" style="19" customWidth="1"/>
    <col min="18" max="20" width="5.42578125" style="19" customWidth="1"/>
    <col min="21" max="21" width="8.7109375" style="19" customWidth="1"/>
    <col min="22" max="24" width="9.140625" style="19" hidden="1" customWidth="1"/>
    <col min="25" max="16384" width="9.140625" style="19"/>
  </cols>
  <sheetData>
    <row r="1" spans="1:79"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row>
    <row r="2" spans="1:79"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row>
    <row r="3" spans="1:79" ht="21.75" thickBot="1">
      <c r="A3" s="1528" t="s">
        <v>955</v>
      </c>
      <c r="B3" s="1528"/>
      <c r="C3" s="1529"/>
      <c r="D3" s="1529"/>
      <c r="E3" s="1529"/>
      <c r="F3" s="1529"/>
      <c r="G3" s="1529"/>
      <c r="H3" s="1529"/>
      <c r="I3" s="1529"/>
      <c r="J3" s="1529"/>
      <c r="K3" s="1529"/>
      <c r="L3" s="1529"/>
      <c r="M3" s="1529"/>
      <c r="N3" s="1529"/>
      <c r="O3" s="1529"/>
      <c r="P3" s="1529"/>
      <c r="Q3" s="1529"/>
      <c r="R3" s="1529"/>
      <c r="S3" s="1527" t="s">
        <v>263</v>
      </c>
      <c r="T3" s="1527"/>
      <c r="U3" s="1527"/>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row>
    <row r="4" spans="1:79" ht="18.75" customHeight="1">
      <c r="A4" s="1479" t="s">
        <v>9</v>
      </c>
      <c r="B4" s="1470" t="s">
        <v>274</v>
      </c>
      <c r="C4" s="1470"/>
      <c r="D4" s="1470"/>
      <c r="E4" s="1470"/>
      <c r="F4" s="1470"/>
      <c r="G4" s="1470"/>
      <c r="H4" s="1482" t="s">
        <v>253</v>
      </c>
      <c r="I4" s="1482"/>
      <c r="J4" s="1482"/>
      <c r="K4" s="1482" t="s">
        <v>255</v>
      </c>
      <c r="L4" s="1482"/>
      <c r="M4" s="1482" t="s">
        <v>1000</v>
      </c>
      <c r="N4" s="1484" t="s">
        <v>36</v>
      </c>
      <c r="O4" s="1482" t="s">
        <v>56</v>
      </c>
      <c r="P4" s="1482"/>
      <c r="Q4" s="1482"/>
      <c r="R4" s="1470" t="s">
        <v>13</v>
      </c>
      <c r="S4" s="1470"/>
      <c r="T4" s="1470"/>
      <c r="U4" s="1524" t="s">
        <v>14</v>
      </c>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row>
    <row r="5" spans="1:79" ht="57.75" customHeight="1" thickBot="1">
      <c r="A5" s="1480"/>
      <c r="B5" s="1481"/>
      <c r="C5" s="1481"/>
      <c r="D5" s="1481"/>
      <c r="E5" s="1481"/>
      <c r="F5" s="1481"/>
      <c r="G5" s="1481"/>
      <c r="H5" s="1483"/>
      <c r="I5" s="1483"/>
      <c r="J5" s="1483"/>
      <c r="K5" s="1483"/>
      <c r="L5" s="1483"/>
      <c r="M5" s="1483"/>
      <c r="N5" s="1485"/>
      <c r="O5" s="1483"/>
      <c r="P5" s="1483"/>
      <c r="Q5" s="1483"/>
      <c r="R5" s="188" t="s">
        <v>17</v>
      </c>
      <c r="S5" s="188" t="s">
        <v>349</v>
      </c>
      <c r="T5" s="188" t="s">
        <v>18</v>
      </c>
      <c r="U5" s="1525"/>
      <c r="W5" s="190" t="s">
        <v>105</v>
      </c>
      <c r="X5" s="190" t="s">
        <v>58</v>
      </c>
      <c r="AA5" s="19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row>
    <row r="6" spans="1:79" ht="58.5" customHeight="1">
      <c r="A6" s="14">
        <f>IF(X6=1,1,0)</f>
        <v>0</v>
      </c>
      <c r="B6" s="1404"/>
      <c r="C6" s="1404"/>
      <c r="D6" s="1404"/>
      <c r="E6" s="1514"/>
      <c r="F6" s="1514"/>
      <c r="G6" s="1514"/>
      <c r="H6" s="1501"/>
      <c r="I6" s="1501"/>
      <c r="J6" s="1501"/>
      <c r="K6" s="1501"/>
      <c r="L6" s="1501"/>
      <c r="M6" s="542"/>
      <c r="N6" s="543"/>
      <c r="O6" s="1514"/>
      <c r="P6" s="1514"/>
      <c r="Q6" s="1514"/>
      <c r="R6" s="1521">
        <f ca="1">IF(OR(B6="",K6="",H6="",M6="",O6=""),0,IF(AND(K6='Data Base'!E15,F7&gt;2),0,F7*(IF(EXACT(K7,"نفر اول"),INDIRECT(CONCATENATE("'Data Base'!$C",H7)),INDIRECT(CONCATENATE("'Data Base'!$D",H7))))*Q7*((100-N7)/100)))</f>
        <v>0</v>
      </c>
      <c r="S6" s="1523">
        <f ca="1">IF(OR(B6="",K6="",H6="",M6="",O6=""),0,IF(AND(K6='Data Base'!E15,F8&gt;2),0,F8*(IF(EXACT(K8,"نفر اول"),INDIRECT(CONCATENATE("'Data Base'!$C",H8)),INDIRECT(CONCATENATE("'Data Base'!$D",H8))))*Q8*((100-N8)/100)))</f>
        <v>0</v>
      </c>
      <c r="T6" s="1520"/>
      <c r="U6" s="1526"/>
      <c r="X6" s="19">
        <f>IF(OR(B6="",H6="",K6="",M6="",O6="",N6=""),0,1)</f>
        <v>0</v>
      </c>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row>
    <row r="7" spans="1:79" ht="20.25" customHeight="1">
      <c r="A7" s="1416" t="s">
        <v>29</v>
      </c>
      <c r="B7" s="1417"/>
      <c r="C7" s="1417"/>
      <c r="D7" s="1418"/>
      <c r="E7" s="514" t="s">
        <v>1001</v>
      </c>
      <c r="F7" s="515"/>
      <c r="G7" s="516" t="s">
        <v>801</v>
      </c>
      <c r="H7" s="517"/>
      <c r="I7" s="1499" t="s">
        <v>1002</v>
      </c>
      <c r="J7" s="1499"/>
      <c r="K7" s="518"/>
      <c r="L7" s="1499" t="s">
        <v>1003</v>
      </c>
      <c r="M7" s="1499"/>
      <c r="N7" s="519"/>
      <c r="O7" s="1499" t="s">
        <v>1004</v>
      </c>
      <c r="P7" s="1499"/>
      <c r="Q7" s="520"/>
      <c r="R7" s="1522"/>
      <c r="S7" s="1517"/>
      <c r="T7" s="1217"/>
      <c r="U7" s="1414"/>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row>
    <row r="8" spans="1:79" ht="20.25">
      <c r="A8" s="1420" t="s">
        <v>30</v>
      </c>
      <c r="B8" s="1421"/>
      <c r="C8" s="1421"/>
      <c r="D8" s="1422"/>
      <c r="E8" s="536" t="s">
        <v>1001</v>
      </c>
      <c r="F8" s="537"/>
      <c r="G8" s="538" t="s">
        <v>801</v>
      </c>
      <c r="H8" s="539"/>
      <c r="I8" s="1500" t="s">
        <v>1002</v>
      </c>
      <c r="J8" s="1500"/>
      <c r="K8" s="540"/>
      <c r="L8" s="1500" t="s">
        <v>1003</v>
      </c>
      <c r="M8" s="1500"/>
      <c r="N8" s="540"/>
      <c r="O8" s="1500" t="s">
        <v>1004</v>
      </c>
      <c r="P8" s="1500"/>
      <c r="Q8" s="541"/>
      <c r="R8" s="1522"/>
      <c r="S8" s="1517"/>
      <c r="T8" s="1217"/>
      <c r="U8" s="1414"/>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row>
    <row r="9" spans="1:79" ht="17.25" customHeight="1">
      <c r="A9" s="14">
        <f>IF(X9=0,0,SUM(A6,X9))</f>
        <v>0</v>
      </c>
      <c r="B9" s="1404"/>
      <c r="C9" s="1404"/>
      <c r="D9" s="1404"/>
      <c r="E9" s="1514"/>
      <c r="F9" s="1514"/>
      <c r="G9" s="1514"/>
      <c r="H9" s="1501"/>
      <c r="I9" s="1501"/>
      <c r="J9" s="1501"/>
      <c r="K9" s="1501"/>
      <c r="L9" s="1501"/>
      <c r="M9" s="542"/>
      <c r="N9" s="543"/>
      <c r="O9" s="1514"/>
      <c r="P9" s="1514"/>
      <c r="Q9" s="1514"/>
      <c r="R9" s="1521">
        <f ca="1">IF(OR(B9="",K9="",H9="",M9="",O9=""),0,IF(AND(K9='Data Base'!E18,F10&gt;2),0,F10*(IF(EXACT(K10,"نفر اول"),INDIRECT(CONCATENATE("'Data Base'!$C",H10)),INDIRECT(CONCATENATE("'Data Base'!$D",H10))))*Q10*((100-N10)/100)))</f>
        <v>0</v>
      </c>
      <c r="S9" s="1523">
        <f ca="1">IF(OR(B9="",K9="",H9="",M9="",O9=""),0,IF(AND(K9='Data Base'!E18,F11&gt;2),0,F11*(IF(EXACT(K11,"نفر اول"),INDIRECT(CONCATENATE("'Data Base'!$C",H11)),INDIRECT(CONCATENATE("'Data Base'!$D",H11))))*Q11*((100-N11)/100)))</f>
        <v>0</v>
      </c>
      <c r="T9" s="1217"/>
      <c r="U9" s="1414"/>
      <c r="W9" s="19">
        <f>SUM(X6,X9)</f>
        <v>0</v>
      </c>
      <c r="X9" s="19">
        <f>IF(OR(B9="",H9="",K9="",M9="",O9="",N9=""),0,1)</f>
        <v>0</v>
      </c>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row>
    <row r="10" spans="1:79" ht="20.25" customHeight="1">
      <c r="A10" s="1416" t="s">
        <v>29</v>
      </c>
      <c r="B10" s="1417"/>
      <c r="C10" s="1417"/>
      <c r="D10" s="1418"/>
      <c r="E10" s="514" t="s">
        <v>1001</v>
      </c>
      <c r="F10" s="515"/>
      <c r="G10" s="516" t="s">
        <v>801</v>
      </c>
      <c r="H10" s="517"/>
      <c r="I10" s="1499" t="s">
        <v>1002</v>
      </c>
      <c r="J10" s="1499"/>
      <c r="K10" s="518"/>
      <c r="L10" s="1499" t="s">
        <v>1003</v>
      </c>
      <c r="M10" s="1499"/>
      <c r="N10" s="519"/>
      <c r="O10" s="1499" t="s">
        <v>1004</v>
      </c>
      <c r="P10" s="1499"/>
      <c r="Q10" s="520"/>
      <c r="R10" s="1522"/>
      <c r="S10" s="1517"/>
      <c r="T10" s="1217"/>
      <c r="U10" s="1414"/>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row>
    <row r="11" spans="1:79" ht="20.25">
      <c r="A11" s="1420" t="s">
        <v>30</v>
      </c>
      <c r="B11" s="1421"/>
      <c r="C11" s="1421"/>
      <c r="D11" s="1422"/>
      <c r="E11" s="536" t="s">
        <v>1001</v>
      </c>
      <c r="F11" s="537"/>
      <c r="G11" s="538" t="s">
        <v>801</v>
      </c>
      <c r="H11" s="539"/>
      <c r="I11" s="1500" t="s">
        <v>1002</v>
      </c>
      <c r="J11" s="1500"/>
      <c r="K11" s="540"/>
      <c r="L11" s="1500" t="s">
        <v>1003</v>
      </c>
      <c r="M11" s="1500"/>
      <c r="N11" s="540"/>
      <c r="O11" s="1500" t="s">
        <v>1004</v>
      </c>
      <c r="P11" s="1500"/>
      <c r="Q11" s="541"/>
      <c r="R11" s="1522"/>
      <c r="S11" s="1517"/>
      <c r="T11" s="1217"/>
      <c r="U11" s="1414"/>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row>
    <row r="12" spans="1:79" ht="17.25">
      <c r="A12" s="14">
        <f>IF(X12=0,0,IF(X9=0,W12,SUM(A9,X12)))</f>
        <v>0</v>
      </c>
      <c r="B12" s="1404"/>
      <c r="C12" s="1404"/>
      <c r="D12" s="1404"/>
      <c r="E12" s="1514"/>
      <c r="F12" s="1514"/>
      <c r="G12" s="1514"/>
      <c r="H12" s="1501"/>
      <c r="I12" s="1501"/>
      <c r="J12" s="1501"/>
      <c r="K12" s="1501"/>
      <c r="L12" s="1501"/>
      <c r="M12" s="542"/>
      <c r="N12" s="543"/>
      <c r="O12" s="1514"/>
      <c r="P12" s="1514"/>
      <c r="Q12" s="1514"/>
      <c r="R12" s="1515">
        <f ca="1">IF(OR(B12="",K12="",H12="",M12="",O12=""),0,IF(AND(K12='Data Base'!E21,F13&gt;2),0,F13*(IF(EXACT(K13,"نفر اول"),INDIRECT(CONCATENATE("'Data Base'!$C",H13)),INDIRECT(CONCATENATE("'Data Base'!$D",H13))))*Q13*((100-N13)/100)))</f>
        <v>0</v>
      </c>
      <c r="S12" s="1517">
        <f ca="1">IF(OR(B12="",K12="",H12="",M12="",O12=""),0,IF(AND(K12='Data Base'!E21,F14&gt;2),0,F14*(IF(EXACT(K14,"نفر اول"),INDIRECT(CONCATENATE("'Data Base'!$C",H14)),INDIRECT(CONCATENATE("'Data Base'!$D",H14))))*Q14*((100-N14)/100)))</f>
        <v>0</v>
      </c>
      <c r="T12" s="1217"/>
      <c r="U12" s="1414"/>
      <c r="W12" s="19">
        <f>SUM(W9,X12)</f>
        <v>0</v>
      </c>
      <c r="X12" s="19">
        <f>IF(OR(B12="",H12="",K12="",M12="",O12="",N12=""),0,1)</f>
        <v>0</v>
      </c>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row>
    <row r="13" spans="1:79" ht="20.25" customHeight="1">
      <c r="A13" s="1416" t="s">
        <v>29</v>
      </c>
      <c r="B13" s="1417"/>
      <c r="C13" s="1417"/>
      <c r="D13" s="1418"/>
      <c r="E13" s="514" t="s">
        <v>1001</v>
      </c>
      <c r="F13" s="515"/>
      <c r="G13" s="516" t="s">
        <v>801</v>
      </c>
      <c r="H13" s="517"/>
      <c r="I13" s="1499" t="s">
        <v>1002</v>
      </c>
      <c r="J13" s="1499"/>
      <c r="K13" s="518"/>
      <c r="L13" s="1499" t="s">
        <v>1003</v>
      </c>
      <c r="M13" s="1499"/>
      <c r="N13" s="519"/>
      <c r="O13" s="1499" t="s">
        <v>1004</v>
      </c>
      <c r="P13" s="1499"/>
      <c r="Q13" s="520"/>
      <c r="R13" s="1515"/>
      <c r="S13" s="1517"/>
      <c r="T13" s="1217"/>
      <c r="U13" s="1414"/>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row>
    <row r="14" spans="1:79" ht="20.25">
      <c r="A14" s="1420" t="s">
        <v>30</v>
      </c>
      <c r="B14" s="1421"/>
      <c r="C14" s="1421"/>
      <c r="D14" s="1422"/>
      <c r="E14" s="536" t="s">
        <v>1001</v>
      </c>
      <c r="F14" s="537"/>
      <c r="G14" s="538" t="s">
        <v>801</v>
      </c>
      <c r="H14" s="539"/>
      <c r="I14" s="1500" t="s">
        <v>1002</v>
      </c>
      <c r="J14" s="1500"/>
      <c r="K14" s="540"/>
      <c r="L14" s="1500" t="s">
        <v>1003</v>
      </c>
      <c r="M14" s="1500"/>
      <c r="N14" s="540"/>
      <c r="O14" s="1500" t="s">
        <v>1004</v>
      </c>
      <c r="P14" s="1500"/>
      <c r="Q14" s="541"/>
      <c r="R14" s="1515"/>
      <c r="S14" s="1517"/>
      <c r="T14" s="1217"/>
      <c r="U14" s="1414"/>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row>
    <row r="15" spans="1:79" ht="17.25">
      <c r="A15" s="14">
        <f>IF(X15=0,0,IF(X12=0,W15,SUM(A12,X15)))</f>
        <v>0</v>
      </c>
      <c r="B15" s="1404"/>
      <c r="C15" s="1404"/>
      <c r="D15" s="1404"/>
      <c r="E15" s="1514"/>
      <c r="F15" s="1514"/>
      <c r="G15" s="1514"/>
      <c r="H15" s="1501"/>
      <c r="I15" s="1501"/>
      <c r="J15" s="1501"/>
      <c r="K15" s="1501"/>
      <c r="L15" s="1501"/>
      <c r="M15" s="542"/>
      <c r="N15" s="543"/>
      <c r="O15" s="1514"/>
      <c r="P15" s="1514"/>
      <c r="Q15" s="1514"/>
      <c r="R15" s="1515">
        <f ca="1">IF(OR(B15="",K15="",H15="",M15="",O15=""),0,IF(AND(K15='Data Base'!E24,F16&gt;2),0,F16*(IF(EXACT(K16,"نفر اول"),INDIRECT(CONCATENATE("'Data Base'!$C",H16)),INDIRECT(CONCATENATE("'Data Base'!$D",H16))))*Q16*((100-N16)/100)))</f>
        <v>0</v>
      </c>
      <c r="S15" s="1517">
        <f ca="1">IF(OR(B15="",K15="",H15="",M15="",O15=""),0,IF(AND(K15='Data Base'!E24,F17&gt;2),0,F17*(IF(EXACT(K17,"نفر اول"),INDIRECT(CONCATENATE("'Data Base'!$C",H17)),INDIRECT(CONCATENATE("'Data Base'!$D",H17))))*Q17*((100-N17)/100)))</f>
        <v>0</v>
      </c>
      <c r="T15" s="1217"/>
      <c r="U15" s="1414"/>
      <c r="W15" s="19">
        <f>SUM(W12,X15)</f>
        <v>0</v>
      </c>
      <c r="X15" s="19">
        <f>IF(OR(B15="",H15="",K15="",M15="",O15="",N15=""),0,1)</f>
        <v>0</v>
      </c>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row>
    <row r="16" spans="1:79" ht="20.25" customHeight="1">
      <c r="A16" s="1416" t="s">
        <v>29</v>
      </c>
      <c r="B16" s="1417"/>
      <c r="C16" s="1417"/>
      <c r="D16" s="1418"/>
      <c r="E16" s="514" t="s">
        <v>1001</v>
      </c>
      <c r="F16" s="515"/>
      <c r="G16" s="516" t="s">
        <v>801</v>
      </c>
      <c r="H16" s="517"/>
      <c r="I16" s="1499" t="s">
        <v>1002</v>
      </c>
      <c r="J16" s="1499"/>
      <c r="K16" s="518"/>
      <c r="L16" s="1499" t="s">
        <v>1003</v>
      </c>
      <c r="M16" s="1499"/>
      <c r="N16" s="519"/>
      <c r="O16" s="1499" t="s">
        <v>1004</v>
      </c>
      <c r="P16" s="1499"/>
      <c r="Q16" s="520"/>
      <c r="R16" s="1515"/>
      <c r="S16" s="1517"/>
      <c r="T16" s="1217"/>
      <c r="U16" s="1414"/>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row>
    <row r="17" spans="1:79" ht="20.25">
      <c r="A17" s="1420" t="s">
        <v>30</v>
      </c>
      <c r="B17" s="1421"/>
      <c r="C17" s="1421"/>
      <c r="D17" s="1422"/>
      <c r="E17" s="536" t="s">
        <v>1001</v>
      </c>
      <c r="F17" s="537"/>
      <c r="G17" s="538" t="s">
        <v>801</v>
      </c>
      <c r="H17" s="539"/>
      <c r="I17" s="1500" t="s">
        <v>1002</v>
      </c>
      <c r="J17" s="1500"/>
      <c r="K17" s="540"/>
      <c r="L17" s="1500" t="s">
        <v>1003</v>
      </c>
      <c r="M17" s="1500"/>
      <c r="N17" s="540"/>
      <c r="O17" s="1500" t="s">
        <v>1004</v>
      </c>
      <c r="P17" s="1500"/>
      <c r="Q17" s="541"/>
      <c r="R17" s="1515"/>
      <c r="S17" s="1517"/>
      <c r="T17" s="1217"/>
      <c r="U17" s="1414"/>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row>
    <row r="18" spans="1:79" ht="17.25">
      <c r="A18" s="14">
        <f>IF(X18=0,0,IF(X15=0,W18,SUM(A15,X18)))</f>
        <v>0</v>
      </c>
      <c r="B18" s="1404"/>
      <c r="C18" s="1404"/>
      <c r="D18" s="1404"/>
      <c r="E18" s="1514"/>
      <c r="F18" s="1514"/>
      <c r="G18" s="1514"/>
      <c r="H18" s="1501"/>
      <c r="I18" s="1501"/>
      <c r="J18" s="1501"/>
      <c r="K18" s="1501"/>
      <c r="L18" s="1501"/>
      <c r="M18" s="542"/>
      <c r="N18" s="543"/>
      <c r="O18" s="1514"/>
      <c r="P18" s="1514"/>
      <c r="Q18" s="1514"/>
      <c r="R18" s="1515">
        <f ca="1">IF(OR(B18="",K18="",H18="",M18="",O18=""),0,IF(AND(K18='Data Base'!E27,F19&gt;2),0,F19*(IF(EXACT(K19,"نفر اول"),INDIRECT(CONCATENATE("'Data Base'!$C",H19)),INDIRECT(CONCATENATE("'Data Base'!$D",H19))))*Q19*((100-N19)/100)))</f>
        <v>0</v>
      </c>
      <c r="S18" s="1517">
        <f ca="1">IF(OR(B18="",K18="",H18="",M18="",O18=""),0,IF(AND(K18='Data Base'!E27,F20&gt;2),0,F20*(IF(EXACT(K20,"نفر اول"),INDIRECT(CONCATENATE("'Data Base'!$C",H20)),INDIRECT(CONCATENATE("'Data Base'!$D",H20))))*Q20*((100-N20)/100)))</f>
        <v>0</v>
      </c>
      <c r="T18" s="1217"/>
      <c r="U18" s="1414"/>
      <c r="W18" s="19">
        <f>SUM(W15,X18)</f>
        <v>0</v>
      </c>
      <c r="X18" s="19">
        <f>IF(OR(B18="",H18="",K18="",M18="",O18="",N18=""),0,1)</f>
        <v>0</v>
      </c>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row>
    <row r="19" spans="1:79" ht="20.25" customHeight="1">
      <c r="A19" s="1416" t="s">
        <v>29</v>
      </c>
      <c r="B19" s="1417"/>
      <c r="C19" s="1417"/>
      <c r="D19" s="1418"/>
      <c r="E19" s="514" t="s">
        <v>1001</v>
      </c>
      <c r="F19" s="515"/>
      <c r="G19" s="516" t="s">
        <v>801</v>
      </c>
      <c r="H19" s="517"/>
      <c r="I19" s="1499" t="s">
        <v>1002</v>
      </c>
      <c r="J19" s="1499"/>
      <c r="K19" s="518"/>
      <c r="L19" s="1499" t="s">
        <v>1003</v>
      </c>
      <c r="M19" s="1499"/>
      <c r="N19" s="519"/>
      <c r="O19" s="1499" t="s">
        <v>1004</v>
      </c>
      <c r="P19" s="1499"/>
      <c r="Q19" s="520"/>
      <c r="R19" s="1515"/>
      <c r="S19" s="1517"/>
      <c r="T19" s="1217"/>
      <c r="U19" s="1414"/>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row>
    <row r="20" spans="1:79" ht="20.25">
      <c r="A20" s="1420" t="s">
        <v>30</v>
      </c>
      <c r="B20" s="1421"/>
      <c r="C20" s="1421"/>
      <c r="D20" s="1422"/>
      <c r="E20" s="536" t="s">
        <v>1001</v>
      </c>
      <c r="F20" s="537"/>
      <c r="G20" s="538" t="s">
        <v>801</v>
      </c>
      <c r="H20" s="539"/>
      <c r="I20" s="1500" t="s">
        <v>1002</v>
      </c>
      <c r="J20" s="1500"/>
      <c r="K20" s="540"/>
      <c r="L20" s="1500" t="s">
        <v>1003</v>
      </c>
      <c r="M20" s="1500"/>
      <c r="N20" s="540"/>
      <c r="O20" s="1500" t="s">
        <v>1004</v>
      </c>
      <c r="P20" s="1500"/>
      <c r="Q20" s="541"/>
      <c r="R20" s="1515"/>
      <c r="S20" s="1517"/>
      <c r="T20" s="1217"/>
      <c r="U20" s="1414"/>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row>
    <row r="21" spans="1:79" ht="17.25">
      <c r="A21" s="14">
        <f>IF(X21=0,0,IF(X18=0,W21,SUM(A18,X21)))</f>
        <v>0</v>
      </c>
      <c r="B21" s="1404"/>
      <c r="C21" s="1404"/>
      <c r="D21" s="1404"/>
      <c r="E21" s="1514"/>
      <c r="F21" s="1514"/>
      <c r="G21" s="1514"/>
      <c r="H21" s="1501"/>
      <c r="I21" s="1501"/>
      <c r="J21" s="1501"/>
      <c r="K21" s="1501"/>
      <c r="L21" s="1501"/>
      <c r="M21" s="542"/>
      <c r="N21" s="543"/>
      <c r="O21" s="1514"/>
      <c r="P21" s="1514"/>
      <c r="Q21" s="1514"/>
      <c r="R21" s="1515">
        <f ca="1">IF(OR(B21="",K21="",H21="",M21="",O21=""),0,IF(AND(K21='Data Base'!E30,F22&gt;2),0,F22*(IF(EXACT(K22,"نفر اول"),INDIRECT(CONCATENATE("'Data Base'!$C",H22)),INDIRECT(CONCATENATE("'Data Base'!$D",H22))))*Q22*((100-N22)/100)))</f>
        <v>0</v>
      </c>
      <c r="S21" s="1517">
        <f ca="1">IF(OR(B21="",K21="",H21="",M21="",O21=""),0,IF(AND(K21='Data Base'!E30,F23&gt;2),0,F23*(IF(EXACT(K23,"نفر اول"),INDIRECT(CONCATENATE("'Data Base'!$C",H23)),INDIRECT(CONCATENATE("'Data Base'!$D",H23))))*Q23*((100-N23)/100)))</f>
        <v>0</v>
      </c>
      <c r="T21" s="1217"/>
      <c r="U21" s="1414"/>
      <c r="W21" s="19">
        <f>SUM(W18,X21)</f>
        <v>0</v>
      </c>
      <c r="X21" s="19">
        <f>IF(OR(B21="",H21="",K21="",M21="",O21="",N21=""),0,1)</f>
        <v>0</v>
      </c>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row>
    <row r="22" spans="1:79" ht="20.25" customHeight="1">
      <c r="A22" s="1416" t="s">
        <v>29</v>
      </c>
      <c r="B22" s="1417"/>
      <c r="C22" s="1417"/>
      <c r="D22" s="1418"/>
      <c r="E22" s="514" t="s">
        <v>1001</v>
      </c>
      <c r="F22" s="515"/>
      <c r="G22" s="516" t="s">
        <v>801</v>
      </c>
      <c r="H22" s="517"/>
      <c r="I22" s="1499" t="s">
        <v>1002</v>
      </c>
      <c r="J22" s="1499"/>
      <c r="K22" s="518"/>
      <c r="L22" s="1499" t="s">
        <v>1003</v>
      </c>
      <c r="M22" s="1499"/>
      <c r="N22" s="519"/>
      <c r="O22" s="1499" t="s">
        <v>1004</v>
      </c>
      <c r="P22" s="1499"/>
      <c r="Q22" s="520"/>
      <c r="R22" s="1515"/>
      <c r="S22" s="1517"/>
      <c r="T22" s="1217"/>
      <c r="U22" s="1414"/>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row>
    <row r="23" spans="1:79" ht="20.25">
      <c r="A23" s="1420" t="s">
        <v>30</v>
      </c>
      <c r="B23" s="1421"/>
      <c r="C23" s="1421"/>
      <c r="D23" s="1422"/>
      <c r="E23" s="536" t="s">
        <v>1001</v>
      </c>
      <c r="F23" s="537"/>
      <c r="G23" s="538" t="s">
        <v>801</v>
      </c>
      <c r="H23" s="539"/>
      <c r="I23" s="1500" t="s">
        <v>1002</v>
      </c>
      <c r="J23" s="1500"/>
      <c r="K23" s="540"/>
      <c r="L23" s="1500" t="s">
        <v>1003</v>
      </c>
      <c r="M23" s="1500"/>
      <c r="N23" s="540"/>
      <c r="O23" s="1500" t="s">
        <v>1004</v>
      </c>
      <c r="P23" s="1500"/>
      <c r="Q23" s="541"/>
      <c r="R23" s="1515"/>
      <c r="S23" s="1517"/>
      <c r="T23" s="1217"/>
      <c r="U23" s="1414"/>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row>
    <row r="24" spans="1:79" ht="17.25">
      <c r="A24" s="14">
        <f>IF(X24=0,0,IF(X21=0,W24,SUM(A21,X24)))</f>
        <v>0</v>
      </c>
      <c r="B24" s="1404"/>
      <c r="C24" s="1404"/>
      <c r="D24" s="1404"/>
      <c r="E24" s="1514"/>
      <c r="F24" s="1514"/>
      <c r="G24" s="1514"/>
      <c r="H24" s="1501"/>
      <c r="I24" s="1501"/>
      <c r="J24" s="1501"/>
      <c r="K24" s="1501"/>
      <c r="L24" s="1501"/>
      <c r="M24" s="542"/>
      <c r="N24" s="543"/>
      <c r="O24" s="1514"/>
      <c r="P24" s="1514"/>
      <c r="Q24" s="1514"/>
      <c r="R24" s="1515">
        <f ca="1">IF(OR(B24="",K24="",H24="",M24="",O24=""),0,IF(AND(K24='Data Base'!E33,F25&gt;2),0,F25*(IF(EXACT(K25,"نفر اول"),INDIRECT(CONCATENATE("'Data Base'!$C",H25)),INDIRECT(CONCATENATE("'Data Base'!$D",H25))))*Q25*((100-N25)/100)))</f>
        <v>0</v>
      </c>
      <c r="S24" s="1517">
        <f ca="1">IF(OR(B24="",K24="",H24="",M24="",O24=""),0,IF(AND(K24='Data Base'!E33,F26&gt;2),0,F26*(IF(EXACT(K26,"نفر اول"),INDIRECT(CONCATENATE("'Data Base'!$C",H26)),INDIRECT(CONCATENATE("'Data Base'!$D",H26))))*Q26*((100-N26)/100)))</f>
        <v>0</v>
      </c>
      <c r="T24" s="1217"/>
      <c r="U24" s="1414"/>
      <c r="W24" s="19">
        <f>SUM(W21,X24)</f>
        <v>0</v>
      </c>
      <c r="X24" s="19">
        <f>IF(OR(B24="",H24="",K24="",M24="",O24="",N24=""),0,1)</f>
        <v>0</v>
      </c>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row>
    <row r="25" spans="1:79" ht="20.25" customHeight="1">
      <c r="A25" s="1416" t="s">
        <v>29</v>
      </c>
      <c r="B25" s="1417"/>
      <c r="C25" s="1417"/>
      <c r="D25" s="1418"/>
      <c r="E25" s="514" t="s">
        <v>1001</v>
      </c>
      <c r="F25" s="515"/>
      <c r="G25" s="516" t="s">
        <v>801</v>
      </c>
      <c r="H25" s="517"/>
      <c r="I25" s="1499" t="s">
        <v>1002</v>
      </c>
      <c r="J25" s="1499"/>
      <c r="K25" s="518"/>
      <c r="L25" s="1499" t="s">
        <v>1003</v>
      </c>
      <c r="M25" s="1499"/>
      <c r="N25" s="519"/>
      <c r="O25" s="1499" t="s">
        <v>1004</v>
      </c>
      <c r="P25" s="1499"/>
      <c r="Q25" s="520"/>
      <c r="R25" s="1515"/>
      <c r="S25" s="1517"/>
      <c r="T25" s="1217"/>
      <c r="U25" s="1414"/>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row>
    <row r="26" spans="1:79" ht="20.25">
      <c r="A26" s="1420" t="s">
        <v>30</v>
      </c>
      <c r="B26" s="1421"/>
      <c r="C26" s="1421"/>
      <c r="D26" s="1422"/>
      <c r="E26" s="536" t="s">
        <v>1001</v>
      </c>
      <c r="F26" s="537"/>
      <c r="G26" s="538" t="s">
        <v>801</v>
      </c>
      <c r="H26" s="539"/>
      <c r="I26" s="1500" t="s">
        <v>1002</v>
      </c>
      <c r="J26" s="1500"/>
      <c r="K26" s="540"/>
      <c r="L26" s="1500" t="s">
        <v>1003</v>
      </c>
      <c r="M26" s="1500"/>
      <c r="N26" s="540"/>
      <c r="O26" s="1500" t="s">
        <v>1004</v>
      </c>
      <c r="P26" s="1500"/>
      <c r="Q26" s="541"/>
      <c r="R26" s="1515"/>
      <c r="S26" s="1517"/>
      <c r="T26" s="1217"/>
      <c r="U26" s="1414"/>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row>
    <row r="27" spans="1:79" ht="17.25">
      <c r="A27" s="14">
        <f>IF(X27=0,0,IF(X24=0,W27,SUM(A24,X27)))</f>
        <v>0</v>
      </c>
      <c r="B27" s="1404"/>
      <c r="C27" s="1404"/>
      <c r="D27" s="1404"/>
      <c r="E27" s="1514"/>
      <c r="F27" s="1514"/>
      <c r="G27" s="1514"/>
      <c r="H27" s="1501"/>
      <c r="I27" s="1501"/>
      <c r="J27" s="1501"/>
      <c r="K27" s="1501"/>
      <c r="L27" s="1501"/>
      <c r="M27" s="542"/>
      <c r="N27" s="543"/>
      <c r="O27" s="1514"/>
      <c r="P27" s="1514"/>
      <c r="Q27" s="1514"/>
      <c r="R27" s="1515">
        <f ca="1">IF(OR(B27="",K27="",H27="",M27="",O27=""),0,IF(AND(K27='Data Base'!E36,F28&gt;2),0,F28*(IF(EXACT(K28,"نفر اول"),INDIRECT(CONCATENATE("'Data Base'!$C",H28)),INDIRECT(CONCATENATE("'Data Base'!$D",H28))))*Q28*((100-N28)/100)))</f>
        <v>0</v>
      </c>
      <c r="S27" s="1517">
        <f ca="1">IF(OR(B27="",K27="",H27="",M27="",O27=""),0,IF(AND(K27='Data Base'!E36,F29&gt;2),0,F29*(IF(EXACT(K29,"نفر اول"),INDIRECT(CONCATENATE("'Data Base'!$C",H29)),INDIRECT(CONCATENATE("'Data Base'!$D",H29))))*Q29*((100-N29)/100)))</f>
        <v>0</v>
      </c>
      <c r="T27" s="1217"/>
      <c r="U27" s="1414"/>
      <c r="W27" s="19">
        <f>SUM(W24,X27)</f>
        <v>0</v>
      </c>
      <c r="X27" s="19">
        <f>IF(OR(B27="",H27="",K27="",M27="",O27="",N27=""),0,1)</f>
        <v>0</v>
      </c>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row>
    <row r="28" spans="1:79" ht="20.25" customHeight="1">
      <c r="A28" s="1416" t="s">
        <v>29</v>
      </c>
      <c r="B28" s="1417"/>
      <c r="C28" s="1417"/>
      <c r="D28" s="1418"/>
      <c r="E28" s="514" t="s">
        <v>1001</v>
      </c>
      <c r="F28" s="515"/>
      <c r="G28" s="516" t="s">
        <v>801</v>
      </c>
      <c r="H28" s="517"/>
      <c r="I28" s="1499" t="s">
        <v>1002</v>
      </c>
      <c r="J28" s="1499"/>
      <c r="K28" s="518"/>
      <c r="L28" s="1499" t="s">
        <v>1003</v>
      </c>
      <c r="M28" s="1499"/>
      <c r="N28" s="519"/>
      <c r="O28" s="1499" t="s">
        <v>1004</v>
      </c>
      <c r="P28" s="1499"/>
      <c r="Q28" s="520"/>
      <c r="R28" s="1515"/>
      <c r="S28" s="1517"/>
      <c r="T28" s="1217"/>
      <c r="U28" s="1414"/>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row>
    <row r="29" spans="1:79" ht="20.25">
      <c r="A29" s="1420" t="s">
        <v>30</v>
      </c>
      <c r="B29" s="1421"/>
      <c r="C29" s="1421"/>
      <c r="D29" s="1422"/>
      <c r="E29" s="536" t="s">
        <v>1001</v>
      </c>
      <c r="F29" s="537"/>
      <c r="G29" s="538" t="s">
        <v>801</v>
      </c>
      <c r="H29" s="539"/>
      <c r="I29" s="1500" t="s">
        <v>1002</v>
      </c>
      <c r="J29" s="1500"/>
      <c r="K29" s="540"/>
      <c r="L29" s="1500" t="s">
        <v>1003</v>
      </c>
      <c r="M29" s="1500"/>
      <c r="N29" s="540"/>
      <c r="O29" s="1500" t="s">
        <v>1004</v>
      </c>
      <c r="P29" s="1500"/>
      <c r="Q29" s="541"/>
      <c r="R29" s="1515"/>
      <c r="S29" s="1517"/>
      <c r="T29" s="1217"/>
      <c r="U29" s="1414"/>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row>
    <row r="30" spans="1:79" ht="17.25">
      <c r="A30" s="14">
        <f>IF(X30=0,0,IF(X27=0,W30,SUM(A27,X30)))</f>
        <v>0</v>
      </c>
      <c r="B30" s="1404"/>
      <c r="C30" s="1404"/>
      <c r="D30" s="1404"/>
      <c r="E30" s="1514"/>
      <c r="F30" s="1514"/>
      <c r="G30" s="1514"/>
      <c r="H30" s="1501"/>
      <c r="I30" s="1501"/>
      <c r="J30" s="1501"/>
      <c r="K30" s="1501"/>
      <c r="L30" s="1501"/>
      <c r="M30" s="542"/>
      <c r="N30" s="543"/>
      <c r="O30" s="1514"/>
      <c r="P30" s="1514"/>
      <c r="Q30" s="1514"/>
      <c r="R30" s="1515">
        <f ca="1">IF(OR(B30="",K30="",H30="",M30="",O30=""),0,IF(AND(K30='Data Base'!E39,F31&gt;2),0,F31*(IF(EXACT(K31,"نفر اول"),INDIRECT(CONCATENATE("'Data Base'!$C",H31)),INDIRECT(CONCATENATE("'Data Base'!$D",H31))))*Q31*((100-N31)/100)))</f>
        <v>0</v>
      </c>
      <c r="S30" s="1517">
        <f ca="1">IF(OR(B30="",K30="",H30="",M30="",O30=""),0,IF(AND(K30='Data Base'!E39,F32&gt;2),0,F32*(IF(EXACT(K32,"نفر اول"),INDIRECT(CONCATENATE("'Data Base'!$C",H32)),INDIRECT(CONCATENATE("'Data Base'!$D",H32))))*Q32*((100-N32)/100)))</f>
        <v>0</v>
      </c>
      <c r="T30" s="1217"/>
      <c r="U30" s="1414"/>
      <c r="W30" s="19">
        <f>SUM(W27,X30)</f>
        <v>0</v>
      </c>
      <c r="X30" s="19">
        <f>IF(OR(B30="",H30="",K30="",M30="",O30="",N30=""),0,1)</f>
        <v>0</v>
      </c>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row>
    <row r="31" spans="1:79" ht="20.25" customHeight="1">
      <c r="A31" s="1416" t="s">
        <v>29</v>
      </c>
      <c r="B31" s="1417"/>
      <c r="C31" s="1417"/>
      <c r="D31" s="1418"/>
      <c r="E31" s="514" t="s">
        <v>1001</v>
      </c>
      <c r="F31" s="515"/>
      <c r="G31" s="516" t="s">
        <v>801</v>
      </c>
      <c r="H31" s="517"/>
      <c r="I31" s="1499" t="s">
        <v>1002</v>
      </c>
      <c r="J31" s="1499"/>
      <c r="K31" s="518"/>
      <c r="L31" s="1499" t="s">
        <v>1003</v>
      </c>
      <c r="M31" s="1499"/>
      <c r="N31" s="519"/>
      <c r="O31" s="1499" t="s">
        <v>1004</v>
      </c>
      <c r="P31" s="1499"/>
      <c r="Q31" s="520"/>
      <c r="R31" s="1515"/>
      <c r="S31" s="1517"/>
      <c r="T31" s="1217"/>
      <c r="U31" s="1414"/>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row>
    <row r="32" spans="1:79" ht="20.25">
      <c r="A32" s="1420" t="s">
        <v>30</v>
      </c>
      <c r="B32" s="1421"/>
      <c r="C32" s="1421"/>
      <c r="D32" s="1422"/>
      <c r="E32" s="536" t="s">
        <v>1001</v>
      </c>
      <c r="F32" s="537"/>
      <c r="G32" s="538" t="s">
        <v>801</v>
      </c>
      <c r="H32" s="539"/>
      <c r="I32" s="1500" t="s">
        <v>1002</v>
      </c>
      <c r="J32" s="1500"/>
      <c r="K32" s="540"/>
      <c r="L32" s="1500" t="s">
        <v>1003</v>
      </c>
      <c r="M32" s="1500"/>
      <c r="N32" s="540"/>
      <c r="O32" s="1500" t="s">
        <v>1004</v>
      </c>
      <c r="P32" s="1500"/>
      <c r="Q32" s="541"/>
      <c r="R32" s="1515"/>
      <c r="S32" s="1517"/>
      <c r="T32" s="1217"/>
      <c r="U32" s="1414"/>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row>
    <row r="33" spans="1:79" ht="17.25">
      <c r="A33" s="14">
        <f>IF(X33=0,0,IF(X30=0,W33,SUM(A30,X33)))</f>
        <v>0</v>
      </c>
      <c r="B33" s="1404"/>
      <c r="C33" s="1404"/>
      <c r="D33" s="1404"/>
      <c r="E33" s="1514"/>
      <c r="F33" s="1514"/>
      <c r="G33" s="1514"/>
      <c r="H33" s="1501"/>
      <c r="I33" s="1501"/>
      <c r="J33" s="1501"/>
      <c r="K33" s="1501"/>
      <c r="L33" s="1501"/>
      <c r="M33" s="542"/>
      <c r="N33" s="543"/>
      <c r="O33" s="1514"/>
      <c r="P33" s="1514"/>
      <c r="Q33" s="1514"/>
      <c r="R33" s="1515">
        <f ca="1">IF(OR(B33="",K33="",H33="",M33="",O33=""),0,IF(AND(K33='Data Base'!F41,F34&gt;2),0,F34*(IF(EXACT(K34,"نفر اول"),INDIRECT(CONCATENATE("'Data Base'!$C",H34)),INDIRECT(CONCATENATE("'Data Base'!$D",H34))))*Q34*((100-N34)/100)))</f>
        <v>0</v>
      </c>
      <c r="S33" s="1517">
        <f ca="1">IF(OR(B33="",K33="",H33="",M33="",O33=""),0,IF(AND(K33='Data Base'!F41,F35&gt;2),0,F35*(IF(EXACT(K35,"نفر اول"),INDIRECT(CONCATENATE("'Data Base'!$C",H35)),INDIRECT(CONCATENATE("'Data Base'!$D",H35))))*Q35*((100-N35)/100)))</f>
        <v>0</v>
      </c>
      <c r="T33" s="1217"/>
      <c r="U33" s="1414"/>
      <c r="W33" s="19">
        <f>SUM(W30,X33)</f>
        <v>0</v>
      </c>
      <c r="X33" s="19">
        <f>IF(OR(B33="",H33="",K33="",M33="",O33="",N33=""),0,1)</f>
        <v>0</v>
      </c>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row>
    <row r="34" spans="1:79" ht="20.25" customHeight="1">
      <c r="A34" s="1416" t="s">
        <v>29</v>
      </c>
      <c r="B34" s="1417"/>
      <c r="C34" s="1417"/>
      <c r="D34" s="1418"/>
      <c r="E34" s="514" t="s">
        <v>1001</v>
      </c>
      <c r="F34" s="515"/>
      <c r="G34" s="516" t="s">
        <v>801</v>
      </c>
      <c r="H34" s="517"/>
      <c r="I34" s="1499" t="s">
        <v>1002</v>
      </c>
      <c r="J34" s="1499"/>
      <c r="K34" s="518"/>
      <c r="L34" s="1499" t="s">
        <v>1003</v>
      </c>
      <c r="M34" s="1499"/>
      <c r="N34" s="519"/>
      <c r="O34" s="1499" t="s">
        <v>1004</v>
      </c>
      <c r="P34" s="1499"/>
      <c r="Q34" s="520"/>
      <c r="R34" s="1515"/>
      <c r="S34" s="1517"/>
      <c r="T34" s="1217"/>
      <c r="U34" s="1414"/>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row>
    <row r="35" spans="1:79" ht="20.25">
      <c r="A35" s="1420" t="s">
        <v>30</v>
      </c>
      <c r="B35" s="1421"/>
      <c r="C35" s="1421"/>
      <c r="D35" s="1422"/>
      <c r="E35" s="536" t="s">
        <v>1001</v>
      </c>
      <c r="F35" s="537"/>
      <c r="G35" s="538" t="s">
        <v>801</v>
      </c>
      <c r="H35" s="539"/>
      <c r="I35" s="1500" t="s">
        <v>1002</v>
      </c>
      <c r="J35" s="1500"/>
      <c r="K35" s="540"/>
      <c r="L35" s="1500" t="s">
        <v>1003</v>
      </c>
      <c r="M35" s="1500"/>
      <c r="N35" s="540"/>
      <c r="O35" s="1500" t="s">
        <v>1004</v>
      </c>
      <c r="P35" s="1500"/>
      <c r="Q35" s="541"/>
      <c r="R35" s="1515"/>
      <c r="S35" s="1517"/>
      <c r="T35" s="1217"/>
      <c r="U35" s="1414"/>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row>
    <row r="36" spans="1:79" ht="17.25">
      <c r="A36" s="14">
        <f>IF(X36=0,0,IF(X33=0,W36,SUM(A33,X36)))</f>
        <v>0</v>
      </c>
      <c r="B36" s="1404"/>
      <c r="C36" s="1404"/>
      <c r="D36" s="1404"/>
      <c r="E36" s="1514"/>
      <c r="F36" s="1514"/>
      <c r="G36" s="1514"/>
      <c r="H36" s="1501"/>
      <c r="I36" s="1501"/>
      <c r="J36" s="1501"/>
      <c r="K36" s="1501"/>
      <c r="L36" s="1501"/>
      <c r="M36" s="542"/>
      <c r="N36" s="543"/>
      <c r="O36" s="1514"/>
      <c r="P36" s="1514"/>
      <c r="Q36" s="1514"/>
      <c r="R36" s="1515">
        <f ca="1">IF(OR(B36="",K36="",H36="",M36="",O36=""),0,IF(AND(K36='Data Base'!F44,F37&gt;2),0,F37*(IF(EXACT(K37,"نفر اول"),INDIRECT(CONCATENATE("'Data Base'!$C",H37)),INDIRECT(CONCATENATE("'Data Base'!$D",H37))))*Q37*((100-N37)/100)))</f>
        <v>0</v>
      </c>
      <c r="S36" s="1517">
        <f ca="1">IF(OR(B36="",K36="",H36="",M36="",O36=""),0,IF(AND(K36='Data Base'!F44,F38&gt;2),0,F38*(IF(EXACT(K38,"نفر اول"),INDIRECT(CONCATENATE("'Data Base'!$C",H38)),INDIRECT(CONCATENATE("'Data Base'!$D",H38))))*Q38*((100-N38)/100)))</f>
        <v>0</v>
      </c>
      <c r="T36" s="1217"/>
      <c r="U36" s="1414"/>
      <c r="W36" s="19">
        <f>SUM(W33,X36)</f>
        <v>0</v>
      </c>
      <c r="X36" s="19">
        <f>IF(OR(B36="",H36="",K36="",M36="",O36="",N36=""),0,1)</f>
        <v>0</v>
      </c>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row>
    <row r="37" spans="1:79" ht="20.25" customHeight="1">
      <c r="A37" s="1416" t="s">
        <v>29</v>
      </c>
      <c r="B37" s="1417"/>
      <c r="C37" s="1417"/>
      <c r="D37" s="1418"/>
      <c r="E37" s="514" t="s">
        <v>1001</v>
      </c>
      <c r="F37" s="515"/>
      <c r="G37" s="516" t="s">
        <v>801</v>
      </c>
      <c r="H37" s="517"/>
      <c r="I37" s="1499" t="s">
        <v>1002</v>
      </c>
      <c r="J37" s="1499"/>
      <c r="K37" s="518"/>
      <c r="L37" s="1499" t="s">
        <v>1003</v>
      </c>
      <c r="M37" s="1499"/>
      <c r="N37" s="519"/>
      <c r="O37" s="1499" t="s">
        <v>1004</v>
      </c>
      <c r="P37" s="1499"/>
      <c r="Q37" s="520"/>
      <c r="R37" s="1515"/>
      <c r="S37" s="1517"/>
      <c r="T37" s="1217"/>
      <c r="U37" s="1414"/>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row>
    <row r="38" spans="1:79" ht="20.25">
      <c r="A38" s="1420" t="s">
        <v>30</v>
      </c>
      <c r="B38" s="1421"/>
      <c r="C38" s="1421"/>
      <c r="D38" s="1422"/>
      <c r="E38" s="536" t="s">
        <v>1001</v>
      </c>
      <c r="F38" s="537"/>
      <c r="G38" s="538" t="s">
        <v>801</v>
      </c>
      <c r="H38" s="539"/>
      <c r="I38" s="1500" t="s">
        <v>1002</v>
      </c>
      <c r="J38" s="1500"/>
      <c r="K38" s="540"/>
      <c r="L38" s="1500" t="s">
        <v>1003</v>
      </c>
      <c r="M38" s="1500"/>
      <c r="N38" s="540"/>
      <c r="O38" s="1500" t="s">
        <v>1004</v>
      </c>
      <c r="P38" s="1500"/>
      <c r="Q38" s="541"/>
      <c r="R38" s="1515"/>
      <c r="S38" s="1517"/>
      <c r="T38" s="1217"/>
      <c r="U38" s="1414"/>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row>
    <row r="39" spans="1:79" ht="17.25">
      <c r="A39" s="14">
        <f>IF(X39=0,0,IF(X36=0,W39,SUM(A36,X39)))</f>
        <v>0</v>
      </c>
      <c r="B39" s="1404"/>
      <c r="C39" s="1404"/>
      <c r="D39" s="1404"/>
      <c r="E39" s="1514"/>
      <c r="F39" s="1514"/>
      <c r="G39" s="1514"/>
      <c r="H39" s="1501"/>
      <c r="I39" s="1501"/>
      <c r="J39" s="1501"/>
      <c r="K39" s="1501"/>
      <c r="L39" s="1501"/>
      <c r="M39" s="542"/>
      <c r="N39" s="543"/>
      <c r="O39" s="1514"/>
      <c r="P39" s="1514"/>
      <c r="Q39" s="1514"/>
      <c r="R39" s="1515">
        <f ca="1">IF(OR(B39="",K39="",H39="",M39="",O39=""),0,IF(AND(K39='Data Base'!#REF!,F40&gt;2),0,F40*(IF(EXACT(K40,"نفر اول"),INDIRECT(CONCATENATE("'Data Base'!$C",H40)),INDIRECT(CONCATENATE("'Data Base'!$D",H40))))*Q40*((100-N40)/100)))</f>
        <v>0</v>
      </c>
      <c r="S39" s="1517">
        <f ca="1">IF(OR(B39="",K39="",H39="",M39="",O39=""),0,IF(AND(K39='Data Base'!#REF!,F41&gt;2),0,F41*(IF(EXACT(K41,"نفر اول"),INDIRECT(CONCATENATE("'Data Base'!$C",H41)),INDIRECT(CONCATENATE("'Data Base'!$D",H41))))*Q41*((100-N41)/100)))</f>
        <v>0</v>
      </c>
      <c r="T39" s="1217"/>
      <c r="U39" s="1414"/>
      <c r="W39" s="19">
        <f>SUM(W36,X39)</f>
        <v>0</v>
      </c>
      <c r="X39" s="19">
        <f>IF(OR(B39="",H39="",K39="",M39="",O39="",N39=""),0,1)</f>
        <v>0</v>
      </c>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row>
    <row r="40" spans="1:79" ht="20.25" customHeight="1">
      <c r="A40" s="1416" t="s">
        <v>29</v>
      </c>
      <c r="B40" s="1417"/>
      <c r="C40" s="1417"/>
      <c r="D40" s="1418"/>
      <c r="E40" s="514" t="s">
        <v>1001</v>
      </c>
      <c r="F40" s="515"/>
      <c r="G40" s="516" t="s">
        <v>801</v>
      </c>
      <c r="H40" s="517"/>
      <c r="I40" s="1499" t="s">
        <v>1002</v>
      </c>
      <c r="J40" s="1499"/>
      <c r="K40" s="518"/>
      <c r="L40" s="1499" t="s">
        <v>1003</v>
      </c>
      <c r="M40" s="1499"/>
      <c r="N40" s="519"/>
      <c r="O40" s="1499" t="s">
        <v>1004</v>
      </c>
      <c r="P40" s="1499"/>
      <c r="Q40" s="520"/>
      <c r="R40" s="1515"/>
      <c r="S40" s="1517"/>
      <c r="T40" s="1217"/>
      <c r="U40" s="1414"/>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row>
    <row r="41" spans="1:79" ht="20.25">
      <c r="A41" s="1420" t="s">
        <v>30</v>
      </c>
      <c r="B41" s="1421"/>
      <c r="C41" s="1421"/>
      <c r="D41" s="1422"/>
      <c r="E41" s="536" t="s">
        <v>1001</v>
      </c>
      <c r="F41" s="537"/>
      <c r="G41" s="538" t="s">
        <v>801</v>
      </c>
      <c r="H41" s="539"/>
      <c r="I41" s="1500" t="s">
        <v>1002</v>
      </c>
      <c r="J41" s="1500"/>
      <c r="K41" s="540"/>
      <c r="L41" s="1500" t="s">
        <v>1003</v>
      </c>
      <c r="M41" s="1500"/>
      <c r="N41" s="540"/>
      <c r="O41" s="1500" t="s">
        <v>1004</v>
      </c>
      <c r="P41" s="1500"/>
      <c r="Q41" s="541"/>
      <c r="R41" s="1515"/>
      <c r="S41" s="1517"/>
      <c r="T41" s="1217"/>
      <c r="U41" s="1414"/>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row>
    <row r="42" spans="1:79" ht="17.25">
      <c r="A42" s="14">
        <f>IF(X42=0,0,IF(X39=0,W42,SUM(A39,X42)))</f>
        <v>0</v>
      </c>
      <c r="B42" s="1404"/>
      <c r="C42" s="1404"/>
      <c r="D42" s="1404"/>
      <c r="E42" s="1514"/>
      <c r="F42" s="1514"/>
      <c r="G42" s="1514"/>
      <c r="H42" s="1501"/>
      <c r="I42" s="1501"/>
      <c r="J42" s="1501"/>
      <c r="K42" s="1501"/>
      <c r="L42" s="1501"/>
      <c r="M42" s="542"/>
      <c r="N42" s="543"/>
      <c r="O42" s="1514"/>
      <c r="P42" s="1514"/>
      <c r="Q42" s="1514"/>
      <c r="R42" s="1515">
        <f ca="1">IF(OR(B42="",K42="",H42="",M42="",O42=""),0,IF(AND(K42='Data Base'!G49,F43&gt;2),0,F43*(IF(EXACT(K43,"نفر اول"),INDIRECT(CONCATENATE("'Data Base'!$C",H43)),INDIRECT(CONCATENATE("'Data Base'!$D",H43))))*Q43*((100-N43)/100)))</f>
        <v>0</v>
      </c>
      <c r="S42" s="1517">
        <f ca="1">IF(OR(B42="",K42="",H42="",M42="",O42=""),0,IF(AND(K42='Data Base'!G49,F44&gt;2),0,F44*(IF(EXACT(K44,"نفر اول"),INDIRECT(CONCATENATE("'Data Base'!$C",H44)),INDIRECT(CONCATENATE("'Data Base'!$D",H44))))*Q44*((100-N44)/100)))</f>
        <v>0</v>
      </c>
      <c r="T42" s="1217"/>
      <c r="U42" s="1414"/>
      <c r="W42" s="19">
        <f>SUM(W39,X42)</f>
        <v>0</v>
      </c>
      <c r="X42" s="19">
        <f>IF(OR(B42="",H42="",K42="",M42="",O42="",N42=""),0,1)</f>
        <v>0</v>
      </c>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row>
    <row r="43" spans="1:79" ht="20.25" customHeight="1">
      <c r="A43" s="1416" t="s">
        <v>29</v>
      </c>
      <c r="B43" s="1417"/>
      <c r="C43" s="1417"/>
      <c r="D43" s="1418"/>
      <c r="E43" s="514" t="s">
        <v>1001</v>
      </c>
      <c r="F43" s="515"/>
      <c r="G43" s="516" t="s">
        <v>801</v>
      </c>
      <c r="H43" s="517"/>
      <c r="I43" s="1499" t="s">
        <v>1002</v>
      </c>
      <c r="J43" s="1499"/>
      <c r="K43" s="518"/>
      <c r="L43" s="1499" t="s">
        <v>1003</v>
      </c>
      <c r="M43" s="1499"/>
      <c r="N43" s="519"/>
      <c r="O43" s="1499" t="s">
        <v>1004</v>
      </c>
      <c r="P43" s="1499"/>
      <c r="Q43" s="520"/>
      <c r="R43" s="1515"/>
      <c r="S43" s="1517"/>
      <c r="T43" s="1217"/>
      <c r="U43" s="1414"/>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row>
    <row r="44" spans="1:79" ht="20.25">
      <c r="A44" s="1420" t="s">
        <v>30</v>
      </c>
      <c r="B44" s="1421"/>
      <c r="C44" s="1421"/>
      <c r="D44" s="1422"/>
      <c r="E44" s="536" t="s">
        <v>1001</v>
      </c>
      <c r="F44" s="537"/>
      <c r="G44" s="538" t="s">
        <v>801</v>
      </c>
      <c r="H44" s="539"/>
      <c r="I44" s="1500" t="s">
        <v>1002</v>
      </c>
      <c r="J44" s="1500"/>
      <c r="K44" s="540"/>
      <c r="L44" s="1500" t="s">
        <v>1003</v>
      </c>
      <c r="M44" s="1500"/>
      <c r="N44" s="540"/>
      <c r="O44" s="1500" t="s">
        <v>1004</v>
      </c>
      <c r="P44" s="1500"/>
      <c r="Q44" s="541"/>
      <c r="R44" s="1515"/>
      <c r="S44" s="1517"/>
      <c r="T44" s="1217"/>
      <c r="U44" s="1414"/>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row>
    <row r="45" spans="1:79" ht="17.25">
      <c r="A45" s="14">
        <f>IF(X45=0,0,IF(X42=0,W45,SUM(A42,X45)))</f>
        <v>0</v>
      </c>
      <c r="B45" s="1404"/>
      <c r="C45" s="1404"/>
      <c r="D45" s="1404"/>
      <c r="E45" s="1514"/>
      <c r="F45" s="1514"/>
      <c r="G45" s="1514"/>
      <c r="H45" s="1501"/>
      <c r="I45" s="1501"/>
      <c r="J45" s="1501"/>
      <c r="K45" s="1501"/>
      <c r="L45" s="1501"/>
      <c r="M45" s="542"/>
      <c r="N45" s="543"/>
      <c r="O45" s="1514"/>
      <c r="P45" s="1514"/>
      <c r="Q45" s="1514"/>
      <c r="R45" s="1515">
        <f ca="1">IF(OR(B45="",K45="",H45="",M45="",O45=""),0,IF(AND(K45='Data Base'!#REF!,F46&gt;2),0,F46*(IF(EXACT(K46,"نفر اول"),INDIRECT(CONCATENATE("'Data Base'!$C",H46)),INDIRECT(CONCATENATE("'Data Base'!$D",H46))))*Q46*((100-N46)/100)))</f>
        <v>0</v>
      </c>
      <c r="S45" s="1517">
        <f ca="1">IF(OR(B45="",K45="",H45="",M45="",O45=""),0,IF(AND(K45='Data Base'!#REF!,F47&gt;2),0,F47*(IF(EXACT(K47,"نفر اول"),INDIRECT(CONCATENATE("'Data Base'!$C",H47)),INDIRECT(CONCATENATE("'Data Base'!$D",H47))))*Q47*((100-N47)/100)))</f>
        <v>0</v>
      </c>
      <c r="T45" s="1217"/>
      <c r="U45" s="1414"/>
      <c r="W45" s="19">
        <f>SUM(W42,X45)</f>
        <v>0</v>
      </c>
      <c r="X45" s="19">
        <f>IF(OR(B45="",H45="",K45="",M45="",O45="",N45=""),0,1)</f>
        <v>0</v>
      </c>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row>
    <row r="46" spans="1:79" ht="20.25" customHeight="1">
      <c r="A46" s="1416" t="s">
        <v>29</v>
      </c>
      <c r="B46" s="1417"/>
      <c r="C46" s="1417"/>
      <c r="D46" s="1418"/>
      <c r="E46" s="514" t="s">
        <v>1001</v>
      </c>
      <c r="F46" s="515"/>
      <c r="G46" s="516" t="s">
        <v>801</v>
      </c>
      <c r="H46" s="517"/>
      <c r="I46" s="1499" t="s">
        <v>1002</v>
      </c>
      <c r="J46" s="1499"/>
      <c r="K46" s="518"/>
      <c r="L46" s="1499" t="s">
        <v>1003</v>
      </c>
      <c r="M46" s="1499"/>
      <c r="N46" s="519"/>
      <c r="O46" s="1499" t="s">
        <v>1004</v>
      </c>
      <c r="P46" s="1499"/>
      <c r="Q46" s="520"/>
      <c r="R46" s="1515"/>
      <c r="S46" s="1517"/>
      <c r="T46" s="1217"/>
      <c r="U46" s="1414"/>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row>
    <row r="47" spans="1:79" ht="20.25">
      <c r="A47" s="1420" t="s">
        <v>30</v>
      </c>
      <c r="B47" s="1421"/>
      <c r="C47" s="1421"/>
      <c r="D47" s="1422"/>
      <c r="E47" s="536" t="s">
        <v>1001</v>
      </c>
      <c r="F47" s="537"/>
      <c r="G47" s="538" t="s">
        <v>801</v>
      </c>
      <c r="H47" s="539"/>
      <c r="I47" s="1500" t="s">
        <v>1002</v>
      </c>
      <c r="J47" s="1500"/>
      <c r="K47" s="540"/>
      <c r="L47" s="1500" t="s">
        <v>1003</v>
      </c>
      <c r="M47" s="1500"/>
      <c r="N47" s="540"/>
      <c r="O47" s="1500" t="s">
        <v>1004</v>
      </c>
      <c r="P47" s="1500"/>
      <c r="Q47" s="541"/>
      <c r="R47" s="1515"/>
      <c r="S47" s="1517"/>
      <c r="T47" s="1217"/>
      <c r="U47" s="1414"/>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row>
    <row r="48" spans="1:79" ht="17.25">
      <c r="A48" s="14">
        <f>IF(X48=0,0,IF(X45=0,W48,SUM(A45,X48)))</f>
        <v>0</v>
      </c>
      <c r="B48" s="1404"/>
      <c r="C48" s="1404"/>
      <c r="D48" s="1404"/>
      <c r="E48" s="1514"/>
      <c r="F48" s="1514"/>
      <c r="G48" s="1514"/>
      <c r="H48" s="1501"/>
      <c r="I48" s="1501"/>
      <c r="J48" s="1501"/>
      <c r="K48" s="1501"/>
      <c r="L48" s="1501"/>
      <c r="M48" s="542"/>
      <c r="N48" s="543"/>
      <c r="O48" s="1514"/>
      <c r="P48" s="1514"/>
      <c r="Q48" s="1514"/>
      <c r="R48" s="1515">
        <f ca="1">IF(OR(B48="",K48="",H48="",M48="",O48=""),0,IF(AND(K48='Data Base'!E57,F49&gt;2),0,F49*(IF(EXACT(K49,"نفر اول"),INDIRECT(CONCATENATE("'Data Base'!$C",H49)),INDIRECT(CONCATENATE("'Data Base'!$D",H49))))*Q49*((100-N49)/100)))</f>
        <v>0</v>
      </c>
      <c r="S48" s="1517">
        <f ca="1">IF(OR(B48="",K48="",H48="",M48="",O48=""),0,IF(AND(K48='Data Base'!E57,F50&gt;2),0,F50*(IF(EXACT(K50,"نفر اول"),INDIRECT(CONCATENATE("'Data Base'!$C",H50)),INDIRECT(CONCATENATE("'Data Base'!$D",H50))))*Q50*((100-N50)/100)))</f>
        <v>0</v>
      </c>
      <c r="T48" s="1217"/>
      <c r="U48" s="1414"/>
      <c r="W48" s="19">
        <f>SUM(W45,X48)</f>
        <v>0</v>
      </c>
      <c r="X48" s="19">
        <f>IF(OR(B48="",H48="",K48="",M48="",O48="",N48=""),0,1)</f>
        <v>0</v>
      </c>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row>
    <row r="49" spans="1:79" ht="20.25" customHeight="1">
      <c r="A49" s="1416" t="s">
        <v>29</v>
      </c>
      <c r="B49" s="1417"/>
      <c r="C49" s="1417"/>
      <c r="D49" s="1418"/>
      <c r="E49" s="514" t="s">
        <v>1001</v>
      </c>
      <c r="F49" s="515"/>
      <c r="G49" s="516" t="s">
        <v>801</v>
      </c>
      <c r="H49" s="517"/>
      <c r="I49" s="1499" t="s">
        <v>1002</v>
      </c>
      <c r="J49" s="1499"/>
      <c r="K49" s="518"/>
      <c r="L49" s="1499" t="s">
        <v>1003</v>
      </c>
      <c r="M49" s="1499"/>
      <c r="N49" s="519"/>
      <c r="O49" s="1499" t="s">
        <v>1004</v>
      </c>
      <c r="P49" s="1499"/>
      <c r="Q49" s="520"/>
      <c r="R49" s="1515"/>
      <c r="S49" s="1517"/>
      <c r="T49" s="1217"/>
      <c r="U49" s="1414"/>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row>
    <row r="50" spans="1:79" ht="20.25">
      <c r="A50" s="1420" t="s">
        <v>30</v>
      </c>
      <c r="B50" s="1421"/>
      <c r="C50" s="1421"/>
      <c r="D50" s="1422"/>
      <c r="E50" s="536" t="s">
        <v>1001</v>
      </c>
      <c r="F50" s="537"/>
      <c r="G50" s="538" t="s">
        <v>801</v>
      </c>
      <c r="H50" s="539"/>
      <c r="I50" s="1500" t="s">
        <v>1002</v>
      </c>
      <c r="J50" s="1500"/>
      <c r="K50" s="540"/>
      <c r="L50" s="1500" t="s">
        <v>1003</v>
      </c>
      <c r="M50" s="1500"/>
      <c r="N50" s="540"/>
      <c r="O50" s="1500" t="s">
        <v>1004</v>
      </c>
      <c r="P50" s="1500"/>
      <c r="Q50" s="541"/>
      <c r="R50" s="1515"/>
      <c r="S50" s="1517"/>
      <c r="T50" s="1217"/>
      <c r="U50" s="1414"/>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row>
    <row r="51" spans="1:79" ht="17.25">
      <c r="A51" s="14">
        <f>IF(X51=0,0,IF(X48=0,W51,SUM(A48,X51)))</f>
        <v>0</v>
      </c>
      <c r="B51" s="1404"/>
      <c r="C51" s="1404"/>
      <c r="D51" s="1404"/>
      <c r="E51" s="1514"/>
      <c r="F51" s="1514"/>
      <c r="G51" s="1514"/>
      <c r="H51" s="1501"/>
      <c r="I51" s="1501"/>
      <c r="J51" s="1501"/>
      <c r="K51" s="1501"/>
      <c r="L51" s="1501"/>
      <c r="M51" s="542"/>
      <c r="N51" s="543"/>
      <c r="O51" s="1514"/>
      <c r="P51" s="1514"/>
      <c r="Q51" s="1514"/>
      <c r="R51" s="1515">
        <f ca="1">IF(OR(B51="",K51="",H51="",M51="",O51=""),0,IF(AND(K51='Data Base'!E58,F52&gt;2),0,F52*(IF(EXACT(K52,"نفر اول"),INDIRECT(CONCATENATE("'Data Base'!$C",H52)),INDIRECT(CONCATENATE("'Data Base'!$D",H52))))*Q52*((100-N52)/100)))</f>
        <v>0</v>
      </c>
      <c r="S51" s="1517">
        <f ca="1">IF(OR(B51="",K51="",H51="",M51="",O51=""),0,IF(AND(K51='Data Base'!E58,F53&gt;2),0,F53*(IF(EXACT(K53,"نفر اول"),INDIRECT(CONCATENATE("'Data Base'!$C",H53)),INDIRECT(CONCATENATE("'Data Base'!$D",H53))))*Q53*((100-N53)/100)))</f>
        <v>0</v>
      </c>
      <c r="T51" s="1217"/>
      <c r="U51" s="1414"/>
      <c r="W51" s="19">
        <f>SUM(W48,X51)</f>
        <v>0</v>
      </c>
      <c r="X51" s="19">
        <f>IF(OR(B51="",H51="",K51="",M51="",O51="",N51=""),0,1)</f>
        <v>0</v>
      </c>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row>
    <row r="52" spans="1:79" ht="20.25" customHeight="1">
      <c r="A52" s="1416" t="s">
        <v>29</v>
      </c>
      <c r="B52" s="1417"/>
      <c r="C52" s="1417"/>
      <c r="D52" s="1418"/>
      <c r="E52" s="514" t="s">
        <v>1001</v>
      </c>
      <c r="F52" s="515"/>
      <c r="G52" s="516" t="s">
        <v>801</v>
      </c>
      <c r="H52" s="517"/>
      <c r="I52" s="1499" t="s">
        <v>1002</v>
      </c>
      <c r="J52" s="1499"/>
      <c r="K52" s="518"/>
      <c r="L52" s="1499" t="s">
        <v>1003</v>
      </c>
      <c r="M52" s="1499"/>
      <c r="N52" s="519"/>
      <c r="O52" s="1499" t="s">
        <v>1004</v>
      </c>
      <c r="P52" s="1499"/>
      <c r="Q52" s="520"/>
      <c r="R52" s="1515"/>
      <c r="S52" s="1517"/>
      <c r="T52" s="1217"/>
      <c r="U52" s="1414"/>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row>
    <row r="53" spans="1:79" ht="20.25">
      <c r="A53" s="1420" t="s">
        <v>30</v>
      </c>
      <c r="B53" s="1421"/>
      <c r="C53" s="1421"/>
      <c r="D53" s="1422"/>
      <c r="E53" s="536" t="s">
        <v>1001</v>
      </c>
      <c r="F53" s="537"/>
      <c r="G53" s="538" t="s">
        <v>801</v>
      </c>
      <c r="H53" s="539"/>
      <c r="I53" s="1500" t="s">
        <v>1002</v>
      </c>
      <c r="J53" s="1500"/>
      <c r="K53" s="540"/>
      <c r="L53" s="1500" t="s">
        <v>1003</v>
      </c>
      <c r="M53" s="1500"/>
      <c r="N53" s="540"/>
      <c r="O53" s="1500" t="s">
        <v>1004</v>
      </c>
      <c r="P53" s="1500"/>
      <c r="Q53" s="541"/>
      <c r="R53" s="1515"/>
      <c r="S53" s="1517"/>
      <c r="T53" s="1217"/>
      <c r="U53" s="1414"/>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row>
    <row r="54" spans="1:79" ht="17.25">
      <c r="A54" s="14">
        <f>IF(X54=0,0,IF(X51=0,W54,SUM(A51,X54)))</f>
        <v>0</v>
      </c>
      <c r="B54" s="1404"/>
      <c r="C54" s="1404"/>
      <c r="D54" s="1404"/>
      <c r="E54" s="1514"/>
      <c r="F54" s="1514"/>
      <c r="G54" s="1514"/>
      <c r="H54" s="1501"/>
      <c r="I54" s="1501"/>
      <c r="J54" s="1501"/>
      <c r="K54" s="1501"/>
      <c r="L54" s="1501"/>
      <c r="M54" s="542"/>
      <c r="N54" s="543"/>
      <c r="O54" s="1514"/>
      <c r="P54" s="1514"/>
      <c r="Q54" s="1514"/>
      <c r="R54" s="1515">
        <f ca="1">IF(OR(B54="",K54="",H54="",M54="",O54=""),0,IF(AND(K54='Data Base'!E63,F55&gt;2),0,F55*(IF(EXACT(K55,"نفر اول"),INDIRECT(CONCATENATE("'Data Base'!$C",H55)),INDIRECT(CONCATENATE("'Data Base'!$D",H55))))*Q55*((100-N55)/100)))</f>
        <v>0</v>
      </c>
      <c r="S54" s="1517">
        <f ca="1">IF(OR(B54="",K54="",H54="",M54="",O54=""),0,IF(AND(K54='Data Base'!E63,F56&gt;2),0,F56*(IF(EXACT(K56,"نفر اول"),INDIRECT(CONCATENATE("'Data Base'!$C",H56)),INDIRECT(CONCATENATE("'Data Base'!$D",H56))))*Q56*((100-N56)/100)))</f>
        <v>0</v>
      </c>
      <c r="T54" s="1217"/>
      <c r="U54" s="1414"/>
      <c r="W54" s="19">
        <f>SUM(W51,X54)</f>
        <v>0</v>
      </c>
      <c r="X54" s="19">
        <f>IF(OR(B54="",H54="",K54="",M54="",O54="",N54=""),0,1)</f>
        <v>0</v>
      </c>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row>
    <row r="55" spans="1:79" ht="20.25" customHeight="1">
      <c r="A55" s="1416" t="s">
        <v>29</v>
      </c>
      <c r="B55" s="1417"/>
      <c r="C55" s="1417"/>
      <c r="D55" s="1418"/>
      <c r="E55" s="514" t="s">
        <v>1001</v>
      </c>
      <c r="F55" s="515"/>
      <c r="G55" s="516" t="s">
        <v>801</v>
      </c>
      <c r="H55" s="517"/>
      <c r="I55" s="1499" t="s">
        <v>1002</v>
      </c>
      <c r="J55" s="1499"/>
      <c r="K55" s="518"/>
      <c r="L55" s="1499" t="s">
        <v>1003</v>
      </c>
      <c r="M55" s="1499"/>
      <c r="N55" s="519"/>
      <c r="O55" s="1499" t="s">
        <v>1004</v>
      </c>
      <c r="P55" s="1499"/>
      <c r="Q55" s="520"/>
      <c r="R55" s="1515"/>
      <c r="S55" s="1517"/>
      <c r="T55" s="1217"/>
      <c r="U55" s="1414"/>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row>
    <row r="56" spans="1:79" ht="20.25">
      <c r="A56" s="1420" t="s">
        <v>30</v>
      </c>
      <c r="B56" s="1421"/>
      <c r="C56" s="1421"/>
      <c r="D56" s="1422"/>
      <c r="E56" s="536" t="s">
        <v>1001</v>
      </c>
      <c r="F56" s="537"/>
      <c r="G56" s="538" t="s">
        <v>801</v>
      </c>
      <c r="H56" s="539"/>
      <c r="I56" s="1500" t="s">
        <v>1002</v>
      </c>
      <c r="J56" s="1500"/>
      <c r="K56" s="540"/>
      <c r="L56" s="1500" t="s">
        <v>1003</v>
      </c>
      <c r="M56" s="1500"/>
      <c r="N56" s="540"/>
      <c r="O56" s="1500" t="s">
        <v>1004</v>
      </c>
      <c r="P56" s="1500"/>
      <c r="Q56" s="541"/>
      <c r="R56" s="1515"/>
      <c r="S56" s="1517"/>
      <c r="T56" s="1217"/>
      <c r="U56" s="1414"/>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row>
    <row r="57" spans="1:79" ht="17.25">
      <c r="A57" s="14">
        <f>IF(X57=0,0,IF(X54=0,W57,SUM(A54,X57)))</f>
        <v>0</v>
      </c>
      <c r="B57" s="1404"/>
      <c r="C57" s="1404"/>
      <c r="D57" s="1404"/>
      <c r="E57" s="1514"/>
      <c r="F57" s="1514"/>
      <c r="G57" s="1514"/>
      <c r="H57" s="1501"/>
      <c r="I57" s="1501"/>
      <c r="J57" s="1501"/>
      <c r="K57" s="1501"/>
      <c r="L57" s="1501"/>
      <c r="M57" s="542"/>
      <c r="N57" s="543"/>
      <c r="O57" s="1514"/>
      <c r="P57" s="1514"/>
      <c r="Q57" s="1514"/>
      <c r="R57" s="1515">
        <f ca="1">IF(OR(B57="",K57="",H57="",M57="",O57=""),0,IF(AND(K57='Data Base'!E65,F58&gt;2),0,F58*(IF(EXACT(K58,"نفر اول"),INDIRECT(CONCATENATE("'Data Base'!$C",H58)),INDIRECT(CONCATENATE("'Data Base'!$D",H58))))*Q58*((100-N58)/100)))</f>
        <v>0</v>
      </c>
      <c r="S57" s="1517">
        <f ca="1">IF(OR(B57="",K57="",H57="",M57="",O57=""),0,IF(AND(K57='Data Base'!E65,F59&gt;2),0,F59*(IF(EXACT(K59,"نفر اول"),INDIRECT(CONCATENATE("'Data Base'!$C",H59)),INDIRECT(CONCATENATE("'Data Base'!$D",H59))))*Q59*((100-N59)/100)))</f>
        <v>0</v>
      </c>
      <c r="T57" s="1217"/>
      <c r="U57" s="1414"/>
      <c r="W57" s="19">
        <f>SUM(W54,X57)</f>
        <v>0</v>
      </c>
      <c r="X57" s="19">
        <f>IF(OR(B57="",H57="",K57="",M57="",O57="",N57=""),0,1)</f>
        <v>0</v>
      </c>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row>
    <row r="58" spans="1:79" ht="20.25" customHeight="1">
      <c r="A58" s="1416" t="s">
        <v>29</v>
      </c>
      <c r="B58" s="1417"/>
      <c r="C58" s="1417"/>
      <c r="D58" s="1418"/>
      <c r="E58" s="514" t="s">
        <v>1001</v>
      </c>
      <c r="F58" s="515"/>
      <c r="G58" s="516" t="s">
        <v>801</v>
      </c>
      <c r="H58" s="517"/>
      <c r="I58" s="1499" t="s">
        <v>1002</v>
      </c>
      <c r="J58" s="1499"/>
      <c r="K58" s="518"/>
      <c r="L58" s="1499" t="s">
        <v>1003</v>
      </c>
      <c r="M58" s="1499"/>
      <c r="N58" s="519"/>
      <c r="O58" s="1499" t="s">
        <v>1004</v>
      </c>
      <c r="P58" s="1499"/>
      <c r="Q58" s="520"/>
      <c r="R58" s="1515"/>
      <c r="S58" s="1517"/>
      <c r="T58" s="1217"/>
      <c r="U58" s="1414"/>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row>
    <row r="59" spans="1:79" ht="20.25">
      <c r="A59" s="1420" t="s">
        <v>30</v>
      </c>
      <c r="B59" s="1421"/>
      <c r="C59" s="1421"/>
      <c r="D59" s="1422"/>
      <c r="E59" s="536" t="s">
        <v>1001</v>
      </c>
      <c r="F59" s="537"/>
      <c r="G59" s="538" t="s">
        <v>801</v>
      </c>
      <c r="H59" s="539"/>
      <c r="I59" s="1500" t="s">
        <v>1002</v>
      </c>
      <c r="J59" s="1500"/>
      <c r="K59" s="540"/>
      <c r="L59" s="1500" t="s">
        <v>1003</v>
      </c>
      <c r="M59" s="1500"/>
      <c r="N59" s="540"/>
      <c r="O59" s="1500" t="s">
        <v>1004</v>
      </c>
      <c r="P59" s="1500"/>
      <c r="Q59" s="541"/>
      <c r="R59" s="1515"/>
      <c r="S59" s="1517"/>
      <c r="T59" s="1217"/>
      <c r="U59" s="1414"/>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row>
    <row r="60" spans="1:79" ht="17.25">
      <c r="A60" s="14">
        <f>IF(X60=0,0,IF(X57=0,W60,SUM(A57,X60)))</f>
        <v>0</v>
      </c>
      <c r="B60" s="1404"/>
      <c r="C60" s="1404"/>
      <c r="D60" s="1404"/>
      <c r="E60" s="1514"/>
      <c r="F60" s="1514"/>
      <c r="G60" s="1514"/>
      <c r="H60" s="1501"/>
      <c r="I60" s="1501"/>
      <c r="J60" s="1501"/>
      <c r="K60" s="1501"/>
      <c r="L60" s="1501"/>
      <c r="M60" s="542"/>
      <c r="N60" s="543"/>
      <c r="O60" s="1514"/>
      <c r="P60" s="1514"/>
      <c r="Q60" s="1514"/>
      <c r="R60" s="1515">
        <f ca="1">IF(OR(B60="",K60="",H60="",M60="",O60=""),0,IF(AND(K60='Data Base'!E68,F61&gt;2),0,F61*(IF(EXACT(K61,"نفر اول"),INDIRECT(CONCATENATE("'Data Base'!$C",H61)),INDIRECT(CONCATENATE("'Data Base'!$D",H61))))*Q61*((100-N61)/100)))</f>
        <v>0</v>
      </c>
      <c r="S60" s="1517">
        <f ca="1">IF(OR(B60="",K60="",H60="",M60="",O60=""),0,IF(AND(K60='Data Base'!E68,F62&gt;2),0,F62*(IF(EXACT(K62,"نفر اول"),INDIRECT(CONCATENATE("'Data Base'!$C",H62)),INDIRECT(CONCATENATE("'Data Base'!$D",H62))))*Q62*((100-N62)/100)))</f>
        <v>0</v>
      </c>
      <c r="T60" s="1217"/>
      <c r="U60" s="1414"/>
      <c r="W60" s="19">
        <f>SUM(W57,X60)</f>
        <v>0</v>
      </c>
      <c r="X60" s="19">
        <f>IF(OR(B60="",H60="",K60="",M60="",O60="",N60=""),0,1)</f>
        <v>0</v>
      </c>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row>
    <row r="61" spans="1:79" ht="20.25" customHeight="1">
      <c r="A61" s="1416" t="s">
        <v>29</v>
      </c>
      <c r="B61" s="1417"/>
      <c r="C61" s="1417"/>
      <c r="D61" s="1418"/>
      <c r="E61" s="514" t="s">
        <v>1001</v>
      </c>
      <c r="F61" s="515"/>
      <c r="G61" s="516" t="s">
        <v>801</v>
      </c>
      <c r="H61" s="517"/>
      <c r="I61" s="1499" t="s">
        <v>1002</v>
      </c>
      <c r="J61" s="1499"/>
      <c r="K61" s="518"/>
      <c r="L61" s="1499" t="s">
        <v>1003</v>
      </c>
      <c r="M61" s="1499"/>
      <c r="N61" s="519"/>
      <c r="O61" s="1499" t="s">
        <v>1004</v>
      </c>
      <c r="P61" s="1499"/>
      <c r="Q61" s="520"/>
      <c r="R61" s="1515"/>
      <c r="S61" s="1517"/>
      <c r="T61" s="1217"/>
      <c r="U61" s="1414"/>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row>
    <row r="62" spans="1:79" ht="20.25">
      <c r="A62" s="1420" t="s">
        <v>30</v>
      </c>
      <c r="B62" s="1421"/>
      <c r="C62" s="1421"/>
      <c r="D62" s="1422"/>
      <c r="E62" s="536" t="s">
        <v>1001</v>
      </c>
      <c r="F62" s="537"/>
      <c r="G62" s="538" t="s">
        <v>801</v>
      </c>
      <c r="H62" s="539"/>
      <c r="I62" s="1500" t="s">
        <v>1002</v>
      </c>
      <c r="J62" s="1500"/>
      <c r="K62" s="540"/>
      <c r="L62" s="1500" t="s">
        <v>1003</v>
      </c>
      <c r="M62" s="1500"/>
      <c r="N62" s="540"/>
      <c r="O62" s="1500" t="s">
        <v>1004</v>
      </c>
      <c r="P62" s="1500"/>
      <c r="Q62" s="541"/>
      <c r="R62" s="1515"/>
      <c r="S62" s="1517"/>
      <c r="T62" s="1217"/>
      <c r="U62" s="1414"/>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row>
    <row r="63" spans="1:79" ht="17.25">
      <c r="A63" s="14">
        <f>IF(X63=0,0,IF(X60=0,W63,SUM(A60,X63)))</f>
        <v>0</v>
      </c>
      <c r="B63" s="1404"/>
      <c r="C63" s="1404"/>
      <c r="D63" s="1404"/>
      <c r="E63" s="1514"/>
      <c r="F63" s="1514"/>
      <c r="G63" s="1514"/>
      <c r="H63" s="1501"/>
      <c r="I63" s="1501"/>
      <c r="J63" s="1501"/>
      <c r="K63" s="1501"/>
      <c r="L63" s="1501"/>
      <c r="M63" s="542"/>
      <c r="N63" s="543"/>
      <c r="O63" s="1514"/>
      <c r="P63" s="1514"/>
      <c r="Q63" s="1514"/>
      <c r="R63" s="1515">
        <f ca="1">IF(OR(B63="",K63="",H63="",M63="",O63=""),0,IF(AND(K63='Data Base'!E71,F64&gt;2),0,F64*(IF(EXACT(K64,"نفر اول"),INDIRECT(CONCATENATE("'Data Base'!$C",H64)),INDIRECT(CONCATENATE("'Data Base'!$D",H64))))*Q64*((100-N64)/100)))</f>
        <v>0</v>
      </c>
      <c r="S63" s="1517">
        <f ca="1">IF(OR(B63="",K63="",H63="",M63="",O63=""),0,IF(AND(K63='Data Base'!E71,F65&gt;2),0,F65*(IF(EXACT(K65,"نفر اول"),INDIRECT(CONCATENATE("'Data Base'!$C",H65)),INDIRECT(CONCATENATE("'Data Base'!$D",H65))))*Q65*((100-N65)/100)))</f>
        <v>0</v>
      </c>
      <c r="T63" s="1217"/>
      <c r="U63" s="1414"/>
      <c r="W63" s="19">
        <f>SUM(W60,X63)</f>
        <v>0</v>
      </c>
      <c r="X63" s="19">
        <f>IF(OR(B63="",H63="",K63="",M63="",O63="",N63=""),0,1)</f>
        <v>0</v>
      </c>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row>
    <row r="64" spans="1:79" ht="20.25" customHeight="1">
      <c r="A64" s="1416" t="s">
        <v>29</v>
      </c>
      <c r="B64" s="1417"/>
      <c r="C64" s="1417"/>
      <c r="D64" s="1418"/>
      <c r="E64" s="514" t="s">
        <v>1001</v>
      </c>
      <c r="F64" s="515"/>
      <c r="G64" s="516" t="s">
        <v>801</v>
      </c>
      <c r="H64" s="517"/>
      <c r="I64" s="1499" t="s">
        <v>1002</v>
      </c>
      <c r="J64" s="1499"/>
      <c r="K64" s="518"/>
      <c r="L64" s="1499" t="s">
        <v>1003</v>
      </c>
      <c r="M64" s="1499"/>
      <c r="N64" s="519"/>
      <c r="O64" s="1499" t="s">
        <v>1004</v>
      </c>
      <c r="P64" s="1499"/>
      <c r="Q64" s="520"/>
      <c r="R64" s="1515"/>
      <c r="S64" s="1517"/>
      <c r="T64" s="1217"/>
      <c r="U64" s="1414"/>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row>
    <row r="65" spans="1:79" ht="20.25">
      <c r="A65" s="1420" t="s">
        <v>30</v>
      </c>
      <c r="B65" s="1421"/>
      <c r="C65" s="1421"/>
      <c r="D65" s="1422"/>
      <c r="E65" s="536" t="s">
        <v>1001</v>
      </c>
      <c r="F65" s="537"/>
      <c r="G65" s="538" t="s">
        <v>801</v>
      </c>
      <c r="H65" s="539"/>
      <c r="I65" s="1500" t="s">
        <v>1002</v>
      </c>
      <c r="J65" s="1500"/>
      <c r="K65" s="540"/>
      <c r="L65" s="1500" t="s">
        <v>1003</v>
      </c>
      <c r="M65" s="1500"/>
      <c r="N65" s="540"/>
      <c r="O65" s="1500" t="s">
        <v>1004</v>
      </c>
      <c r="P65" s="1500"/>
      <c r="Q65" s="541"/>
      <c r="R65" s="1515"/>
      <c r="S65" s="1517"/>
      <c r="T65" s="1217"/>
      <c r="U65" s="1414"/>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row>
    <row r="66" spans="1:79" ht="17.25">
      <c r="A66" s="14">
        <f>IF(X66=0,0,IF(X63=0,W66,SUM(A63,X66)))</f>
        <v>0</v>
      </c>
      <c r="B66" s="1404"/>
      <c r="C66" s="1404"/>
      <c r="D66" s="1404"/>
      <c r="E66" s="1514"/>
      <c r="F66" s="1514"/>
      <c r="G66" s="1514"/>
      <c r="H66" s="1501"/>
      <c r="I66" s="1501"/>
      <c r="J66" s="1501"/>
      <c r="K66" s="1501"/>
      <c r="L66" s="1501"/>
      <c r="M66" s="542"/>
      <c r="N66" s="543"/>
      <c r="O66" s="1514"/>
      <c r="P66" s="1514"/>
      <c r="Q66" s="1514"/>
      <c r="R66" s="1515">
        <f ca="1">IF(OR(B66="",K66="",H66="",M66="",O66=""),0,IF(AND(K66='Data Base'!E74,F67&gt;2),0,F67*(IF(EXACT(K67,"نفر اول"),INDIRECT(CONCATENATE("'Data Base'!$C",H67)),INDIRECT(CONCATENATE("'Data Base'!$D",H67))))*Q67*((100-N67)/100)))</f>
        <v>0</v>
      </c>
      <c r="S66" s="1517">
        <f ca="1">IF(OR(B66="",K66="",H66="",M66="",O66=""),0,IF(AND(K66='Data Base'!E74,F68&gt;2),0,F68*(IF(EXACT(K68,"نفر اول"),INDIRECT(CONCATENATE("'Data Base'!$C",H68)),INDIRECT(CONCATENATE("'Data Base'!$D",H68))))*Q68*((100-N68)/100)))</f>
        <v>0</v>
      </c>
      <c r="T66" s="1217"/>
      <c r="U66" s="1414"/>
      <c r="W66" s="19">
        <f>SUM(W63,X66)</f>
        <v>0</v>
      </c>
      <c r="X66" s="19">
        <f>IF(OR(B66="",H66="",K66="",M66="",O66="",N66=""),0,1)</f>
        <v>0</v>
      </c>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row>
    <row r="67" spans="1:79" ht="20.25" customHeight="1">
      <c r="A67" s="1416" t="s">
        <v>29</v>
      </c>
      <c r="B67" s="1417"/>
      <c r="C67" s="1417"/>
      <c r="D67" s="1418"/>
      <c r="E67" s="514" t="s">
        <v>1001</v>
      </c>
      <c r="F67" s="515"/>
      <c r="G67" s="516" t="s">
        <v>801</v>
      </c>
      <c r="H67" s="517"/>
      <c r="I67" s="1499" t="s">
        <v>1002</v>
      </c>
      <c r="J67" s="1499"/>
      <c r="K67" s="518"/>
      <c r="L67" s="1499" t="s">
        <v>1003</v>
      </c>
      <c r="M67" s="1499"/>
      <c r="N67" s="519"/>
      <c r="O67" s="1499" t="s">
        <v>1004</v>
      </c>
      <c r="P67" s="1499"/>
      <c r="Q67" s="520"/>
      <c r="R67" s="1515"/>
      <c r="S67" s="1517"/>
      <c r="T67" s="1217"/>
      <c r="U67" s="1414"/>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row>
    <row r="68" spans="1:79" ht="20.25">
      <c r="A68" s="1420" t="s">
        <v>30</v>
      </c>
      <c r="B68" s="1421"/>
      <c r="C68" s="1421"/>
      <c r="D68" s="1422"/>
      <c r="E68" s="536" t="s">
        <v>1001</v>
      </c>
      <c r="F68" s="537"/>
      <c r="G68" s="538" t="s">
        <v>801</v>
      </c>
      <c r="H68" s="539"/>
      <c r="I68" s="1500" t="s">
        <v>1002</v>
      </c>
      <c r="J68" s="1500"/>
      <c r="K68" s="540"/>
      <c r="L68" s="1500" t="s">
        <v>1003</v>
      </c>
      <c r="M68" s="1500"/>
      <c r="N68" s="540"/>
      <c r="O68" s="1500" t="s">
        <v>1004</v>
      </c>
      <c r="P68" s="1500"/>
      <c r="Q68" s="541"/>
      <c r="R68" s="1515"/>
      <c r="S68" s="1517"/>
      <c r="T68" s="1217"/>
      <c r="U68" s="1414"/>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row>
    <row r="69" spans="1:79" ht="17.25">
      <c r="A69" s="14">
        <f>IF(X69=0,0,IF(X66=0,W69,SUM(A66,X69)))</f>
        <v>0</v>
      </c>
      <c r="B69" s="1404"/>
      <c r="C69" s="1404"/>
      <c r="D69" s="1404"/>
      <c r="E69" s="1514"/>
      <c r="F69" s="1514"/>
      <c r="G69" s="1514"/>
      <c r="H69" s="1501"/>
      <c r="I69" s="1501"/>
      <c r="J69" s="1501"/>
      <c r="K69" s="1501"/>
      <c r="L69" s="1501"/>
      <c r="M69" s="542"/>
      <c r="N69" s="543"/>
      <c r="O69" s="1514"/>
      <c r="P69" s="1514"/>
      <c r="Q69" s="1514"/>
      <c r="R69" s="1515">
        <f ca="1">IF(OR(B69="",K69="",H69="",M69="",O69=""),0,IF(AND(K69='Data Base'!E77,F70&gt;2),0,F70*(IF(EXACT(K70,"نفر اول"),INDIRECT(CONCATENATE("'Data Base'!$C",H70)),INDIRECT(CONCATENATE("'Data Base'!$D",H70))))*Q70*((100-N70)/100)))</f>
        <v>0</v>
      </c>
      <c r="S69" s="1517">
        <f ca="1">IF(OR(B69="",K69="",H69="",M69="",O69=""),0,IF(AND(K69='Data Base'!E77,F71&gt;2),0,F71*(IF(EXACT(K71,"نفر اول"),INDIRECT(CONCATENATE("'Data Base'!$C",H71)),INDIRECT(CONCATENATE("'Data Base'!$D",H71))))*Q71*((100-N71)/100)))</f>
        <v>0</v>
      </c>
      <c r="T69" s="1217"/>
      <c r="U69" s="1414"/>
      <c r="W69" s="19">
        <f>SUM(W66,X69)</f>
        <v>0</v>
      </c>
      <c r="X69" s="19">
        <f>IF(OR(B69="",H69="",K69="",M69="",O69="",N69=""),0,1)</f>
        <v>0</v>
      </c>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row>
    <row r="70" spans="1:79" ht="20.25" customHeight="1">
      <c r="A70" s="1416" t="s">
        <v>29</v>
      </c>
      <c r="B70" s="1417"/>
      <c r="C70" s="1417"/>
      <c r="D70" s="1418"/>
      <c r="E70" s="514" t="s">
        <v>1001</v>
      </c>
      <c r="F70" s="515"/>
      <c r="G70" s="516" t="s">
        <v>801</v>
      </c>
      <c r="H70" s="517"/>
      <c r="I70" s="1499" t="s">
        <v>1002</v>
      </c>
      <c r="J70" s="1499"/>
      <c r="K70" s="518"/>
      <c r="L70" s="1499" t="s">
        <v>1003</v>
      </c>
      <c r="M70" s="1499"/>
      <c r="N70" s="519"/>
      <c r="O70" s="1499" t="s">
        <v>1004</v>
      </c>
      <c r="P70" s="1499"/>
      <c r="Q70" s="520"/>
      <c r="R70" s="1515"/>
      <c r="S70" s="1517"/>
      <c r="T70" s="1217"/>
      <c r="U70" s="1414"/>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198"/>
    </row>
    <row r="71" spans="1:79" ht="20.25">
      <c r="A71" s="1420" t="s">
        <v>30</v>
      </c>
      <c r="B71" s="1421"/>
      <c r="C71" s="1421"/>
      <c r="D71" s="1422"/>
      <c r="E71" s="536" t="s">
        <v>1001</v>
      </c>
      <c r="F71" s="537"/>
      <c r="G71" s="538" t="s">
        <v>801</v>
      </c>
      <c r="H71" s="539"/>
      <c r="I71" s="1500" t="s">
        <v>1002</v>
      </c>
      <c r="J71" s="1500"/>
      <c r="K71" s="540"/>
      <c r="L71" s="1500" t="s">
        <v>1003</v>
      </c>
      <c r="M71" s="1500"/>
      <c r="N71" s="540"/>
      <c r="O71" s="1500" t="s">
        <v>1004</v>
      </c>
      <c r="P71" s="1500"/>
      <c r="Q71" s="541"/>
      <c r="R71" s="1515"/>
      <c r="S71" s="1517"/>
      <c r="T71" s="1217"/>
      <c r="U71" s="1414"/>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row>
    <row r="72" spans="1:79" ht="17.25">
      <c r="A72" s="14">
        <f>IF(X72=0,0,IF(X69=0,W72,SUM(A69,X72)))</f>
        <v>0</v>
      </c>
      <c r="B72" s="1404"/>
      <c r="C72" s="1404"/>
      <c r="D72" s="1404"/>
      <c r="E72" s="1514"/>
      <c r="F72" s="1514"/>
      <c r="G72" s="1514"/>
      <c r="H72" s="1501"/>
      <c r="I72" s="1501"/>
      <c r="J72" s="1501"/>
      <c r="K72" s="1501"/>
      <c r="L72" s="1501"/>
      <c r="M72" s="542"/>
      <c r="N72" s="543"/>
      <c r="O72" s="1514"/>
      <c r="P72" s="1514"/>
      <c r="Q72" s="1514"/>
      <c r="R72" s="1515">
        <f ca="1">IF(OR(B72="",K72="",H72="",M72="",O72=""),0,IF(AND(K72='Data Base'!E80,F73&gt;2),0,F73*(IF(EXACT(K73,"نفر اول"),INDIRECT(CONCATENATE("'Data Base'!$C",H73)),INDIRECT(CONCATENATE("'Data Base'!$D",H73))))*Q73*((100-N73)/100)))</f>
        <v>0</v>
      </c>
      <c r="S72" s="1517">
        <f ca="1">IF(OR(B72="",K72="",H72="",M72="",O72=""),0,IF(AND(K72='Data Base'!E80,F74&gt;2),0,F74*(IF(EXACT(K74,"نفر اول"),INDIRECT(CONCATENATE("'Data Base'!$C",H74)),INDIRECT(CONCATENATE("'Data Base'!$D",H74))))*Q74*((100-N74)/100)))</f>
        <v>0</v>
      </c>
      <c r="T72" s="1217"/>
      <c r="U72" s="1414"/>
      <c r="W72" s="19">
        <f>SUM(W69,X72)</f>
        <v>0</v>
      </c>
      <c r="X72" s="19">
        <f>IF(OR(B72="",H72="",K72="",M72="",O72="",N72=""),0,1)</f>
        <v>0</v>
      </c>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row>
    <row r="73" spans="1:79" ht="20.25" customHeight="1">
      <c r="A73" s="1416" t="s">
        <v>29</v>
      </c>
      <c r="B73" s="1417"/>
      <c r="C73" s="1417"/>
      <c r="D73" s="1418"/>
      <c r="E73" s="514" t="s">
        <v>1001</v>
      </c>
      <c r="F73" s="515"/>
      <c r="G73" s="516" t="s">
        <v>801</v>
      </c>
      <c r="H73" s="517"/>
      <c r="I73" s="1499" t="s">
        <v>1002</v>
      </c>
      <c r="J73" s="1499"/>
      <c r="K73" s="518"/>
      <c r="L73" s="1499" t="s">
        <v>1003</v>
      </c>
      <c r="M73" s="1499"/>
      <c r="N73" s="519"/>
      <c r="O73" s="1499" t="s">
        <v>1004</v>
      </c>
      <c r="P73" s="1499"/>
      <c r="Q73" s="520"/>
      <c r="R73" s="1515"/>
      <c r="S73" s="1517"/>
      <c r="T73" s="1217"/>
      <c r="U73" s="1414"/>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row>
    <row r="74" spans="1:79" ht="20.25">
      <c r="A74" s="1420" t="s">
        <v>30</v>
      </c>
      <c r="B74" s="1421"/>
      <c r="C74" s="1421"/>
      <c r="D74" s="1422"/>
      <c r="E74" s="536" t="s">
        <v>1001</v>
      </c>
      <c r="F74" s="537"/>
      <c r="G74" s="538" t="s">
        <v>801</v>
      </c>
      <c r="H74" s="539"/>
      <c r="I74" s="1500" t="s">
        <v>1002</v>
      </c>
      <c r="J74" s="1500"/>
      <c r="K74" s="540"/>
      <c r="L74" s="1500" t="s">
        <v>1003</v>
      </c>
      <c r="M74" s="1500"/>
      <c r="N74" s="540"/>
      <c r="O74" s="1500" t="s">
        <v>1004</v>
      </c>
      <c r="P74" s="1500"/>
      <c r="Q74" s="541"/>
      <c r="R74" s="1515"/>
      <c r="S74" s="1517"/>
      <c r="T74" s="1217"/>
      <c r="U74" s="1414"/>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row>
    <row r="75" spans="1:79" ht="17.25">
      <c r="A75" s="14">
        <f>IF(X75=0,0,IF(X72=0,W75,SUM(A72,X75)))</f>
        <v>0</v>
      </c>
      <c r="B75" s="1404"/>
      <c r="C75" s="1404"/>
      <c r="D75" s="1404"/>
      <c r="E75" s="1514"/>
      <c r="F75" s="1514"/>
      <c r="G75" s="1514"/>
      <c r="H75" s="1501"/>
      <c r="I75" s="1501"/>
      <c r="J75" s="1501"/>
      <c r="K75" s="1501"/>
      <c r="L75" s="1501"/>
      <c r="M75" s="542"/>
      <c r="N75" s="543"/>
      <c r="O75" s="1514"/>
      <c r="P75" s="1514"/>
      <c r="Q75" s="1514"/>
      <c r="R75" s="1515">
        <f ca="1">IF(OR(B75="",K75="",H75="",M75="",O75=""),0,IF(AND(K75='Data Base'!E83,F76&gt;2),0,F76*(IF(EXACT(K76,"نفر اول"),INDIRECT(CONCATENATE("'Data Base'!$C",H76)),INDIRECT(CONCATENATE("'Data Base'!$D",H76))))*Q76*((100-N76)/100)))</f>
        <v>0</v>
      </c>
      <c r="S75" s="1517">
        <f ca="1">IF(OR(B75="",K75="",H75="",M75="",O75=""),0,IF(AND(K75='Data Base'!E83,F77&gt;2),0,F77*(IF(EXACT(K77,"نفر اول"),INDIRECT(CONCATENATE("'Data Base'!$C",H77)),INDIRECT(CONCATENATE("'Data Base'!$D",H77))))*Q77*((100-N77)/100)))</f>
        <v>0</v>
      </c>
      <c r="T75" s="1217"/>
      <c r="U75" s="1414"/>
      <c r="W75" s="19">
        <f>SUM(W72,X75)</f>
        <v>0</v>
      </c>
      <c r="X75" s="19">
        <f>IF(OR(B75="",H75="",K75="",M75="",O75="",N75=""),0,1)</f>
        <v>0</v>
      </c>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row>
    <row r="76" spans="1:79" ht="20.25" customHeight="1">
      <c r="A76" s="1416" t="s">
        <v>29</v>
      </c>
      <c r="B76" s="1417"/>
      <c r="C76" s="1417"/>
      <c r="D76" s="1418"/>
      <c r="E76" s="514" t="s">
        <v>1001</v>
      </c>
      <c r="F76" s="515"/>
      <c r="G76" s="516" t="s">
        <v>801</v>
      </c>
      <c r="H76" s="517"/>
      <c r="I76" s="1499" t="s">
        <v>1002</v>
      </c>
      <c r="J76" s="1499"/>
      <c r="K76" s="518"/>
      <c r="L76" s="1499" t="s">
        <v>1003</v>
      </c>
      <c r="M76" s="1499"/>
      <c r="N76" s="519"/>
      <c r="O76" s="1499" t="s">
        <v>1004</v>
      </c>
      <c r="P76" s="1499"/>
      <c r="Q76" s="520"/>
      <c r="R76" s="1515"/>
      <c r="S76" s="1517"/>
      <c r="T76" s="1217"/>
      <c r="U76" s="1414"/>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row>
    <row r="77" spans="1:79" ht="20.25">
      <c r="A77" s="1420" t="s">
        <v>30</v>
      </c>
      <c r="B77" s="1421"/>
      <c r="C77" s="1421"/>
      <c r="D77" s="1422"/>
      <c r="E77" s="536" t="s">
        <v>1001</v>
      </c>
      <c r="F77" s="537"/>
      <c r="G77" s="538" t="s">
        <v>801</v>
      </c>
      <c r="H77" s="539"/>
      <c r="I77" s="1500" t="s">
        <v>1002</v>
      </c>
      <c r="J77" s="1500"/>
      <c r="K77" s="540"/>
      <c r="L77" s="1500" t="s">
        <v>1003</v>
      </c>
      <c r="M77" s="1500"/>
      <c r="N77" s="540"/>
      <c r="O77" s="1500" t="s">
        <v>1004</v>
      </c>
      <c r="P77" s="1500"/>
      <c r="Q77" s="541"/>
      <c r="R77" s="1515"/>
      <c r="S77" s="1517"/>
      <c r="T77" s="1217"/>
      <c r="U77" s="1414"/>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row>
    <row r="78" spans="1:79" ht="17.25">
      <c r="A78" s="14">
        <f>IF(X78=0,0,IF(X75=0,W78,SUM(A75,X78)))</f>
        <v>0</v>
      </c>
      <c r="B78" s="1404"/>
      <c r="C78" s="1404"/>
      <c r="D78" s="1404"/>
      <c r="E78" s="1514"/>
      <c r="F78" s="1514"/>
      <c r="G78" s="1514"/>
      <c r="H78" s="1501"/>
      <c r="I78" s="1501"/>
      <c r="J78" s="1501"/>
      <c r="K78" s="1501"/>
      <c r="L78" s="1501"/>
      <c r="M78" s="542"/>
      <c r="N78" s="543"/>
      <c r="O78" s="1514"/>
      <c r="P78" s="1514"/>
      <c r="Q78" s="1514"/>
      <c r="R78" s="1515">
        <f ca="1">IF(OR(B78="",K78="",H78="",M78="",O78=""),0,IF(AND(K78='Data Base'!E86,F79&gt;2),0,F79*(IF(EXACT(K79,"نفر اول"),INDIRECT(CONCATENATE("'Data Base'!$C",H79)),INDIRECT(CONCATENATE("'Data Base'!$D",H79))))*Q79*((100-N79)/100)))</f>
        <v>0</v>
      </c>
      <c r="S78" s="1517">
        <f ca="1">IF(OR(B78="",K78="",H78="",M78="",O78=""),0,IF(AND(K78='Data Base'!E86,F80&gt;2),0,F80*(IF(EXACT(K80,"نفر اول"),INDIRECT(CONCATENATE("'Data Base'!$C",H80)),INDIRECT(CONCATENATE("'Data Base'!$D",H80))))*Q80*((100-N80)/100)))</f>
        <v>0</v>
      </c>
      <c r="T78" s="1217"/>
      <c r="U78" s="1414"/>
      <c r="W78" s="19">
        <f>SUM(W75,X78)</f>
        <v>0</v>
      </c>
      <c r="X78" s="19">
        <f>IF(OR(B78="",H78="",K78="",M78="",O78="",N78=""),0,1)</f>
        <v>0</v>
      </c>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row>
    <row r="79" spans="1:79" ht="20.25" customHeight="1">
      <c r="A79" s="1416" t="s">
        <v>29</v>
      </c>
      <c r="B79" s="1417"/>
      <c r="C79" s="1417"/>
      <c r="D79" s="1418"/>
      <c r="E79" s="514" t="s">
        <v>1001</v>
      </c>
      <c r="F79" s="515"/>
      <c r="G79" s="516" t="s">
        <v>801</v>
      </c>
      <c r="H79" s="517"/>
      <c r="I79" s="1499" t="s">
        <v>1002</v>
      </c>
      <c r="J79" s="1499"/>
      <c r="K79" s="518"/>
      <c r="L79" s="1499" t="s">
        <v>1003</v>
      </c>
      <c r="M79" s="1499"/>
      <c r="N79" s="519"/>
      <c r="O79" s="1499" t="s">
        <v>1004</v>
      </c>
      <c r="P79" s="1499"/>
      <c r="Q79" s="520"/>
      <c r="R79" s="1515"/>
      <c r="S79" s="1517"/>
      <c r="T79" s="1217"/>
      <c r="U79" s="1414"/>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row>
    <row r="80" spans="1:79" ht="21" thickBot="1">
      <c r="A80" s="1420" t="s">
        <v>30</v>
      </c>
      <c r="B80" s="1421"/>
      <c r="C80" s="1421"/>
      <c r="D80" s="1422"/>
      <c r="E80" s="536" t="s">
        <v>1001</v>
      </c>
      <c r="F80" s="537"/>
      <c r="G80" s="538" t="s">
        <v>801</v>
      </c>
      <c r="H80" s="539"/>
      <c r="I80" s="1500" t="s">
        <v>1002</v>
      </c>
      <c r="J80" s="1500"/>
      <c r="K80" s="540"/>
      <c r="L80" s="1500" t="s">
        <v>1003</v>
      </c>
      <c r="M80" s="1500"/>
      <c r="N80" s="540"/>
      <c r="O80" s="1500" t="s">
        <v>1004</v>
      </c>
      <c r="P80" s="1500"/>
      <c r="Q80" s="541"/>
      <c r="R80" s="1516"/>
      <c r="S80" s="1518"/>
      <c r="T80" s="1519"/>
      <c r="U80" s="1513"/>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row>
    <row r="81" spans="1:79" ht="25.5">
      <c r="A81" s="1509" t="s">
        <v>837</v>
      </c>
      <c r="B81" s="1510"/>
      <c r="C81" s="1510"/>
      <c r="D81" s="1510"/>
      <c r="E81" s="1510"/>
      <c r="F81" s="1510"/>
      <c r="G81" s="1510"/>
      <c r="H81" s="203">
        <f>SUMIF((K6:K78),('Data Base'!E14),(R6:R80))</f>
        <v>0</v>
      </c>
      <c r="I81" s="1502" t="s">
        <v>262</v>
      </c>
      <c r="J81" s="1502"/>
      <c r="K81" s="1502"/>
      <c r="L81" s="1502"/>
      <c r="M81" s="1502"/>
      <c r="N81" s="1502"/>
      <c r="O81" s="1502"/>
      <c r="P81" s="1502"/>
      <c r="Q81" s="1503"/>
      <c r="R81" s="204">
        <f>IF(H81&gt;30,30,H81)</f>
        <v>0</v>
      </c>
      <c r="S81" s="205">
        <f>IF(SUMIF((K6:K78),('Data Base'!E14),(S6:S78))&gt;30,30,SUMIF((K6:K78),('Data Base'!E14),(S6:S78)))</f>
        <v>0</v>
      </c>
      <c r="T81" s="544"/>
      <c r="U81" s="545"/>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row>
    <row r="82" spans="1:79" ht="26.25" thickBot="1">
      <c r="A82" s="1511" t="s">
        <v>838</v>
      </c>
      <c r="B82" s="1512"/>
      <c r="C82" s="1512"/>
      <c r="D82" s="1512"/>
      <c r="E82" s="1512"/>
      <c r="F82" s="1512"/>
      <c r="G82" s="1512"/>
      <c r="H82" s="206">
        <f>SUMIF((K6:K78),('Data Base'!E15),(R6:R80))</f>
        <v>0</v>
      </c>
      <c r="I82" s="1504" t="s">
        <v>264</v>
      </c>
      <c r="J82" s="1504"/>
      <c r="K82" s="1504"/>
      <c r="L82" s="1504"/>
      <c r="M82" s="1504"/>
      <c r="N82" s="1504"/>
      <c r="O82" s="1504"/>
      <c r="P82" s="1504"/>
      <c r="Q82" s="1505"/>
      <c r="R82" s="207">
        <f>IF(H82&gt;9,9,H82)</f>
        <v>0</v>
      </c>
      <c r="S82" s="208">
        <f>IF(SUMIF((K6:K78),('Data Base'!E15),(S6:S78))&gt;9,9,SUMIF((K6:K78),('Data Base'!E15),(S6:S78)))</f>
        <v>0</v>
      </c>
      <c r="T82" s="546"/>
      <c r="U82" s="547"/>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c r="CA82" s="198"/>
    </row>
    <row r="83" spans="1:79" ht="26.25" customHeight="1">
      <c r="A83" s="1507" t="s">
        <v>31</v>
      </c>
      <c r="B83" s="1508"/>
      <c r="C83" s="1508"/>
      <c r="D83" s="1508"/>
      <c r="E83" s="1508"/>
      <c r="F83" s="1508"/>
      <c r="G83" s="1508"/>
      <c r="H83" s="1430" t="s">
        <v>32</v>
      </c>
      <c r="I83" s="1430"/>
      <c r="J83" s="1430"/>
      <c r="K83" s="1431">
        <f>Q2</f>
        <v>0</v>
      </c>
      <c r="L83" s="1432"/>
      <c r="M83" s="1432"/>
      <c r="N83" s="1432"/>
      <c r="O83" s="1430" t="s">
        <v>33</v>
      </c>
      <c r="P83" s="1430"/>
      <c r="Q83" s="1430"/>
      <c r="R83" s="1432">
        <f>C2</f>
        <v>0</v>
      </c>
      <c r="S83" s="1432"/>
      <c r="T83" s="1432"/>
      <c r="U83" s="1506"/>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row>
    <row r="84" spans="1:79" ht="26.25" customHeight="1" thickBot="1">
      <c r="A84" s="1437">
        <f>'فرم الف'!A27</f>
        <v>0</v>
      </c>
      <c r="B84" s="1425"/>
      <c r="C84" s="1425"/>
      <c r="D84" s="1425"/>
      <c r="E84" s="1425"/>
      <c r="F84" s="1425"/>
      <c r="G84" s="1425"/>
      <c r="H84" s="1425">
        <f>'فرم الف'!E27</f>
        <v>0</v>
      </c>
      <c r="I84" s="1425"/>
      <c r="J84" s="1425"/>
      <c r="K84" s="1425"/>
      <c r="L84" s="1425"/>
      <c r="M84" s="1425"/>
      <c r="N84" s="1425"/>
      <c r="O84" s="1425" t="str">
        <f>'فرم الف'!J27</f>
        <v/>
      </c>
      <c r="P84" s="1425"/>
      <c r="Q84" s="1425"/>
      <c r="R84" s="1425"/>
      <c r="S84" s="1425"/>
      <c r="T84" s="1425"/>
      <c r="U84" s="1426"/>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198"/>
    </row>
  </sheetData>
  <sheetProtection algorithmName="SHA-512" hashValue="TBsMYYi+c9jLBmshv0HcG4hB6SOE8W3ZTZHU+cmeejbD5OBSkUx+fOknGSR7QA4cCP78SxnowaTY/kZ7rUtYkQ==" saltValue="qiu75+z3G6wwhLkvViy0/w==" spinCount="100000" sheet="1" objects="1" scenarios="1" formatCells="0" formatRows="0" selectLockedCells="1"/>
  <mergeCells count="432">
    <mergeCell ref="R4:T4"/>
    <mergeCell ref="U4:U5"/>
    <mergeCell ref="U6:U8"/>
    <mergeCell ref="A7:D7"/>
    <mergeCell ref="A4:A5"/>
    <mergeCell ref="N4:N5"/>
    <mergeCell ref="A1:B2"/>
    <mergeCell ref="C1:G1"/>
    <mergeCell ref="H1:L1"/>
    <mergeCell ref="M1:P1"/>
    <mergeCell ref="Q1:U1"/>
    <mergeCell ref="C2:G2"/>
    <mergeCell ref="H2:L2"/>
    <mergeCell ref="M2:P2"/>
    <mergeCell ref="Q2:U2"/>
    <mergeCell ref="K4:L5"/>
    <mergeCell ref="H4:J5"/>
    <mergeCell ref="B4:G5"/>
    <mergeCell ref="S3:U3"/>
    <mergeCell ref="A3:R3"/>
    <mergeCell ref="O4:Q5"/>
    <mergeCell ref="M4:M5"/>
    <mergeCell ref="U9:U11"/>
    <mergeCell ref="A10:D10"/>
    <mergeCell ref="A11:D11"/>
    <mergeCell ref="B9:G9"/>
    <mergeCell ref="H9:J9"/>
    <mergeCell ref="K9:L9"/>
    <mergeCell ref="O9:Q9"/>
    <mergeCell ref="A8:D8"/>
    <mergeCell ref="T6:T8"/>
    <mergeCell ref="I7:J7"/>
    <mergeCell ref="I8:J8"/>
    <mergeCell ref="R9:R11"/>
    <mergeCell ref="B6:G6"/>
    <mergeCell ref="K6:L6"/>
    <mergeCell ref="O6:Q6"/>
    <mergeCell ref="R6:R8"/>
    <mergeCell ref="S6:S8"/>
    <mergeCell ref="O7:P7"/>
    <mergeCell ref="O8:P8"/>
    <mergeCell ref="L7:M7"/>
    <mergeCell ref="L8:M8"/>
    <mergeCell ref="S9:S11"/>
    <mergeCell ref="T9:T11"/>
    <mergeCell ref="I10:J10"/>
    <mergeCell ref="U12:U14"/>
    <mergeCell ref="A13:D13"/>
    <mergeCell ref="A14:D14"/>
    <mergeCell ref="I13:J13"/>
    <mergeCell ref="L13:M13"/>
    <mergeCell ref="O13:P13"/>
    <mergeCell ref="I14:J14"/>
    <mergeCell ref="L14:M14"/>
    <mergeCell ref="O14:P14"/>
    <mergeCell ref="R12:R14"/>
    <mergeCell ref="S12:S14"/>
    <mergeCell ref="T12:T14"/>
    <mergeCell ref="B12:G12"/>
    <mergeCell ref="H12:J12"/>
    <mergeCell ref="K12:L12"/>
    <mergeCell ref="O12:Q12"/>
    <mergeCell ref="U15:U17"/>
    <mergeCell ref="A16:D16"/>
    <mergeCell ref="A17:D17"/>
    <mergeCell ref="B15:G15"/>
    <mergeCell ref="H15:J15"/>
    <mergeCell ref="K15:L15"/>
    <mergeCell ref="O15:Q15"/>
    <mergeCell ref="R15:R17"/>
    <mergeCell ref="S15:S17"/>
    <mergeCell ref="T15:T17"/>
    <mergeCell ref="I16:J16"/>
    <mergeCell ref="L16:M16"/>
    <mergeCell ref="O16:P16"/>
    <mergeCell ref="I17:J17"/>
    <mergeCell ref="L17:M17"/>
    <mergeCell ref="O17:P17"/>
    <mergeCell ref="U18:U20"/>
    <mergeCell ref="A19:D19"/>
    <mergeCell ref="A20:D20"/>
    <mergeCell ref="B18:G18"/>
    <mergeCell ref="H18:J18"/>
    <mergeCell ref="K18:L18"/>
    <mergeCell ref="O18:Q18"/>
    <mergeCell ref="R18:R20"/>
    <mergeCell ref="S18:S20"/>
    <mergeCell ref="T18:T20"/>
    <mergeCell ref="I19:J19"/>
    <mergeCell ref="L19:M19"/>
    <mergeCell ref="O19:P19"/>
    <mergeCell ref="I20:J20"/>
    <mergeCell ref="L20:M20"/>
    <mergeCell ref="O20:P20"/>
    <mergeCell ref="U21:U23"/>
    <mergeCell ref="A22:D22"/>
    <mergeCell ref="A23:D23"/>
    <mergeCell ref="B21:G21"/>
    <mergeCell ref="H21:J21"/>
    <mergeCell ref="K21:L21"/>
    <mergeCell ref="O21:Q21"/>
    <mergeCell ref="R21:R23"/>
    <mergeCell ref="S21:S23"/>
    <mergeCell ref="T21:T23"/>
    <mergeCell ref="I22:J22"/>
    <mergeCell ref="L22:M22"/>
    <mergeCell ref="O22:P22"/>
    <mergeCell ref="I23:J23"/>
    <mergeCell ref="L23:M23"/>
    <mergeCell ref="O23:P23"/>
    <mergeCell ref="U24:U26"/>
    <mergeCell ref="A25:D25"/>
    <mergeCell ref="A26:D26"/>
    <mergeCell ref="B24:G24"/>
    <mergeCell ref="H24:J24"/>
    <mergeCell ref="K24:L24"/>
    <mergeCell ref="O24:Q24"/>
    <mergeCell ref="R24:R26"/>
    <mergeCell ref="S24:S26"/>
    <mergeCell ref="T24:T26"/>
    <mergeCell ref="I25:J25"/>
    <mergeCell ref="L25:M25"/>
    <mergeCell ref="O25:P25"/>
    <mergeCell ref="I26:J26"/>
    <mergeCell ref="L26:M26"/>
    <mergeCell ref="O26:P26"/>
    <mergeCell ref="U27:U29"/>
    <mergeCell ref="A28:D28"/>
    <mergeCell ref="A29:D29"/>
    <mergeCell ref="B27:G27"/>
    <mergeCell ref="H27:J27"/>
    <mergeCell ref="K27:L27"/>
    <mergeCell ref="O27:Q27"/>
    <mergeCell ref="R27:R29"/>
    <mergeCell ref="S27:S29"/>
    <mergeCell ref="T27:T29"/>
    <mergeCell ref="I28:J28"/>
    <mergeCell ref="L28:M28"/>
    <mergeCell ref="O28:P28"/>
    <mergeCell ref="I29:J29"/>
    <mergeCell ref="L29:M29"/>
    <mergeCell ref="O29:P29"/>
    <mergeCell ref="U30:U32"/>
    <mergeCell ref="A31:D31"/>
    <mergeCell ref="A32:D32"/>
    <mergeCell ref="B30:G30"/>
    <mergeCell ref="H30:J30"/>
    <mergeCell ref="K30:L30"/>
    <mergeCell ref="O30:Q30"/>
    <mergeCell ref="R30:R32"/>
    <mergeCell ref="S30:S32"/>
    <mergeCell ref="T30:T32"/>
    <mergeCell ref="I31:J31"/>
    <mergeCell ref="L31:M31"/>
    <mergeCell ref="O31:P31"/>
    <mergeCell ref="I32:J32"/>
    <mergeCell ref="L32:M32"/>
    <mergeCell ref="O32:P32"/>
    <mergeCell ref="U33:U35"/>
    <mergeCell ref="A34:D34"/>
    <mergeCell ref="A35:D35"/>
    <mergeCell ref="B33:G33"/>
    <mergeCell ref="H33:J33"/>
    <mergeCell ref="K33:L33"/>
    <mergeCell ref="O33:Q33"/>
    <mergeCell ref="R33:R35"/>
    <mergeCell ref="S33:S35"/>
    <mergeCell ref="T33:T35"/>
    <mergeCell ref="I34:J34"/>
    <mergeCell ref="L34:M34"/>
    <mergeCell ref="O34:P34"/>
    <mergeCell ref="I35:J35"/>
    <mergeCell ref="L35:M35"/>
    <mergeCell ref="O35:P35"/>
    <mergeCell ref="U36:U38"/>
    <mergeCell ref="A37:D37"/>
    <mergeCell ref="A38:D38"/>
    <mergeCell ref="B36:G36"/>
    <mergeCell ref="H36:J36"/>
    <mergeCell ref="K36:L36"/>
    <mergeCell ref="O36:Q36"/>
    <mergeCell ref="R36:R38"/>
    <mergeCell ref="S36:S38"/>
    <mergeCell ref="T36:T38"/>
    <mergeCell ref="I37:J37"/>
    <mergeCell ref="L37:M37"/>
    <mergeCell ref="O37:P37"/>
    <mergeCell ref="I38:J38"/>
    <mergeCell ref="L38:M38"/>
    <mergeCell ref="O38:P38"/>
    <mergeCell ref="U39:U41"/>
    <mergeCell ref="A40:D40"/>
    <mergeCell ref="A41:D41"/>
    <mergeCell ref="B39:G39"/>
    <mergeCell ref="H39:J39"/>
    <mergeCell ref="K39:L39"/>
    <mergeCell ref="O39:Q39"/>
    <mergeCell ref="R39:R41"/>
    <mergeCell ref="S39:S41"/>
    <mergeCell ref="T39:T41"/>
    <mergeCell ref="I40:J40"/>
    <mergeCell ref="L40:M40"/>
    <mergeCell ref="O40:P40"/>
    <mergeCell ref="I41:J41"/>
    <mergeCell ref="L41:M41"/>
    <mergeCell ref="O41:P41"/>
    <mergeCell ref="U42:U44"/>
    <mergeCell ref="A43:D43"/>
    <mergeCell ref="A44:D44"/>
    <mergeCell ref="B42:G42"/>
    <mergeCell ref="H42:J42"/>
    <mergeCell ref="K42:L42"/>
    <mergeCell ref="O42:Q42"/>
    <mergeCell ref="R42:R44"/>
    <mergeCell ref="S42:S44"/>
    <mergeCell ref="T42:T44"/>
    <mergeCell ref="I43:J43"/>
    <mergeCell ref="L43:M43"/>
    <mergeCell ref="O43:P43"/>
    <mergeCell ref="I44:J44"/>
    <mergeCell ref="L44:M44"/>
    <mergeCell ref="O44:P44"/>
    <mergeCell ref="U45:U47"/>
    <mergeCell ref="A46:D46"/>
    <mergeCell ref="A47:D47"/>
    <mergeCell ref="B45:G45"/>
    <mergeCell ref="H45:J45"/>
    <mergeCell ref="K45:L45"/>
    <mergeCell ref="O45:Q45"/>
    <mergeCell ref="R45:R47"/>
    <mergeCell ref="S45:S47"/>
    <mergeCell ref="T45:T47"/>
    <mergeCell ref="I46:J46"/>
    <mergeCell ref="L46:M46"/>
    <mergeCell ref="O46:P46"/>
    <mergeCell ref="I47:J47"/>
    <mergeCell ref="L47:M47"/>
    <mergeCell ref="O47:P47"/>
    <mergeCell ref="U48:U50"/>
    <mergeCell ref="A49:D49"/>
    <mergeCell ref="A50:D50"/>
    <mergeCell ref="B48:G48"/>
    <mergeCell ref="H48:J48"/>
    <mergeCell ref="K48:L48"/>
    <mergeCell ref="O48:Q48"/>
    <mergeCell ref="R48:R50"/>
    <mergeCell ref="S48:S50"/>
    <mergeCell ref="T48:T50"/>
    <mergeCell ref="I49:J49"/>
    <mergeCell ref="L49:M49"/>
    <mergeCell ref="O49:P49"/>
    <mergeCell ref="I50:J50"/>
    <mergeCell ref="L50:M50"/>
    <mergeCell ref="O50:P50"/>
    <mergeCell ref="U51:U53"/>
    <mergeCell ref="A52:D52"/>
    <mergeCell ref="A53:D53"/>
    <mergeCell ref="B51:G51"/>
    <mergeCell ref="H51:J51"/>
    <mergeCell ref="K51:L51"/>
    <mergeCell ref="O51:Q51"/>
    <mergeCell ref="R51:R53"/>
    <mergeCell ref="S51:S53"/>
    <mergeCell ref="T51:T53"/>
    <mergeCell ref="I52:J52"/>
    <mergeCell ref="L52:M52"/>
    <mergeCell ref="O52:P52"/>
    <mergeCell ref="I53:J53"/>
    <mergeCell ref="L53:M53"/>
    <mergeCell ref="O53:P53"/>
    <mergeCell ref="U54:U56"/>
    <mergeCell ref="A55:D55"/>
    <mergeCell ref="A56:D56"/>
    <mergeCell ref="B54:G54"/>
    <mergeCell ref="H54:J54"/>
    <mergeCell ref="K54:L54"/>
    <mergeCell ref="O54:Q54"/>
    <mergeCell ref="R54:R56"/>
    <mergeCell ref="S54:S56"/>
    <mergeCell ref="T54:T56"/>
    <mergeCell ref="I55:J55"/>
    <mergeCell ref="L55:M55"/>
    <mergeCell ref="O55:P55"/>
    <mergeCell ref="I56:J56"/>
    <mergeCell ref="L56:M56"/>
    <mergeCell ref="O56:P56"/>
    <mergeCell ref="U57:U59"/>
    <mergeCell ref="A58:D58"/>
    <mergeCell ref="A59:D59"/>
    <mergeCell ref="B57:G57"/>
    <mergeCell ref="H57:J57"/>
    <mergeCell ref="K57:L57"/>
    <mergeCell ref="O57:Q57"/>
    <mergeCell ref="R57:R59"/>
    <mergeCell ref="S57:S59"/>
    <mergeCell ref="T57:T59"/>
    <mergeCell ref="I58:J58"/>
    <mergeCell ref="L58:M58"/>
    <mergeCell ref="O58:P58"/>
    <mergeCell ref="I59:J59"/>
    <mergeCell ref="L59:M59"/>
    <mergeCell ref="O59:P59"/>
    <mergeCell ref="U60:U62"/>
    <mergeCell ref="A61:D61"/>
    <mergeCell ref="A62:D62"/>
    <mergeCell ref="B60:G60"/>
    <mergeCell ref="H60:J60"/>
    <mergeCell ref="K60:L60"/>
    <mergeCell ref="O60:Q60"/>
    <mergeCell ref="R60:R62"/>
    <mergeCell ref="S60:S62"/>
    <mergeCell ref="T60:T62"/>
    <mergeCell ref="I61:J61"/>
    <mergeCell ref="L61:M61"/>
    <mergeCell ref="O61:P61"/>
    <mergeCell ref="I62:J62"/>
    <mergeCell ref="L62:M62"/>
    <mergeCell ref="O62:P62"/>
    <mergeCell ref="U63:U65"/>
    <mergeCell ref="A64:D64"/>
    <mergeCell ref="A65:D65"/>
    <mergeCell ref="B63:G63"/>
    <mergeCell ref="H63:J63"/>
    <mergeCell ref="K63:L63"/>
    <mergeCell ref="O63:Q63"/>
    <mergeCell ref="R63:R65"/>
    <mergeCell ref="S63:S65"/>
    <mergeCell ref="T63:T65"/>
    <mergeCell ref="I64:J64"/>
    <mergeCell ref="L64:M64"/>
    <mergeCell ref="O64:P64"/>
    <mergeCell ref="I65:J65"/>
    <mergeCell ref="L65:M65"/>
    <mergeCell ref="O65:P65"/>
    <mergeCell ref="U66:U68"/>
    <mergeCell ref="A67:D67"/>
    <mergeCell ref="A68:D68"/>
    <mergeCell ref="B66:G66"/>
    <mergeCell ref="H66:J66"/>
    <mergeCell ref="K66:L66"/>
    <mergeCell ref="O66:Q66"/>
    <mergeCell ref="R66:R68"/>
    <mergeCell ref="S66:S68"/>
    <mergeCell ref="T66:T68"/>
    <mergeCell ref="I67:J67"/>
    <mergeCell ref="L67:M67"/>
    <mergeCell ref="O67:P67"/>
    <mergeCell ref="I68:J68"/>
    <mergeCell ref="L68:M68"/>
    <mergeCell ref="O68:P68"/>
    <mergeCell ref="U69:U71"/>
    <mergeCell ref="A70:D70"/>
    <mergeCell ref="A71:D71"/>
    <mergeCell ref="B69:G69"/>
    <mergeCell ref="H69:J69"/>
    <mergeCell ref="K69:L69"/>
    <mergeCell ref="O69:Q69"/>
    <mergeCell ref="R69:R71"/>
    <mergeCell ref="S69:S71"/>
    <mergeCell ref="T69:T71"/>
    <mergeCell ref="I70:J70"/>
    <mergeCell ref="L70:M70"/>
    <mergeCell ref="O70:P70"/>
    <mergeCell ref="I71:J71"/>
    <mergeCell ref="L71:M71"/>
    <mergeCell ref="O71:P71"/>
    <mergeCell ref="U72:U74"/>
    <mergeCell ref="A73:D73"/>
    <mergeCell ref="A74:D74"/>
    <mergeCell ref="B72:G72"/>
    <mergeCell ref="H72:J72"/>
    <mergeCell ref="K72:L72"/>
    <mergeCell ref="O72:Q72"/>
    <mergeCell ref="R72:R74"/>
    <mergeCell ref="S72:S74"/>
    <mergeCell ref="T72:T74"/>
    <mergeCell ref="I73:J73"/>
    <mergeCell ref="L73:M73"/>
    <mergeCell ref="O73:P73"/>
    <mergeCell ref="I74:J74"/>
    <mergeCell ref="L74:M74"/>
    <mergeCell ref="O74:P74"/>
    <mergeCell ref="U75:U77"/>
    <mergeCell ref="A76:D76"/>
    <mergeCell ref="A77:D77"/>
    <mergeCell ref="B75:G75"/>
    <mergeCell ref="H75:J75"/>
    <mergeCell ref="K75:L75"/>
    <mergeCell ref="O75:Q75"/>
    <mergeCell ref="R75:R77"/>
    <mergeCell ref="S75:S77"/>
    <mergeCell ref="T75:T77"/>
    <mergeCell ref="I76:J76"/>
    <mergeCell ref="L76:M76"/>
    <mergeCell ref="O76:P76"/>
    <mergeCell ref="I77:J77"/>
    <mergeCell ref="L77:M77"/>
    <mergeCell ref="O77:P77"/>
    <mergeCell ref="U78:U80"/>
    <mergeCell ref="A79:D79"/>
    <mergeCell ref="A80:D80"/>
    <mergeCell ref="B78:G78"/>
    <mergeCell ref="H78:J78"/>
    <mergeCell ref="K78:L78"/>
    <mergeCell ref="O78:Q78"/>
    <mergeCell ref="R78:R80"/>
    <mergeCell ref="S78:S80"/>
    <mergeCell ref="T78:T80"/>
    <mergeCell ref="I79:J79"/>
    <mergeCell ref="L79:M79"/>
    <mergeCell ref="O79:P79"/>
    <mergeCell ref="I80:J80"/>
    <mergeCell ref="L80:M80"/>
    <mergeCell ref="O80:P80"/>
    <mergeCell ref="R83:U83"/>
    <mergeCell ref="A83:G83"/>
    <mergeCell ref="A81:G81"/>
    <mergeCell ref="A82:G82"/>
    <mergeCell ref="O84:U84"/>
    <mergeCell ref="A84:G84"/>
    <mergeCell ref="H84:N84"/>
    <mergeCell ref="H83:J83"/>
    <mergeCell ref="K83:N83"/>
    <mergeCell ref="L10:M10"/>
    <mergeCell ref="I11:J11"/>
    <mergeCell ref="L11:M11"/>
    <mergeCell ref="O10:P10"/>
    <mergeCell ref="O11:P11"/>
    <mergeCell ref="H6:J6"/>
    <mergeCell ref="I81:Q81"/>
    <mergeCell ref="I82:Q82"/>
    <mergeCell ref="O83:Q83"/>
  </mergeCells>
  <conditionalFormatting sqref="K6 B6 H6 M6:O6">
    <cfRule type="containsBlanks" dxfId="118" priority="88">
      <formula>LEN(TRIM(B6))=0</formula>
    </cfRule>
  </conditionalFormatting>
  <conditionalFormatting sqref="S81:S82">
    <cfRule type="containsErrors" dxfId="117" priority="89">
      <formula>ISERROR(S81)</formula>
    </cfRule>
  </conditionalFormatting>
  <conditionalFormatting sqref="K9 K12 K15 K18 K21 K24 K27 K30 K33 K36 K39 K42 K45 K48 K51 K54 K57 K60 K63 K66 K69 K72 K75 K78 B9 B12 B15 B18 B21 B24 B27 B30 B33 B36 B39 B42 B45 B48 B51 B54 B57 B60 B63 B66 B69 B72 B75 B78 H9 H12 H15 H18 H21 H24 H27 H30 H33 H36 H39 H42 H45 H48 H51 H54 H57 H60 H63 H66 H69 H72 H75 H78 M9:O9 M12:O12 M15:O15 M18:O18 M21:O21 M24:O24 M27:O27 M30:O30 M33:O33 M36:O36 M39:O39 M42:O42 M45:O45 M48:O48 M51:O51 M54:O54 M57:O57 M60:O60 M63:O63 M66:O66 M69:O69 M72:O72 M75:O75 M78:O78">
    <cfRule type="containsBlanks" dxfId="116" priority="1">
      <formula>LEN(TRIM(B9))=0</formula>
    </cfRule>
  </conditionalFormatting>
  <dataValidations count="2">
    <dataValidation type="decimal" errorStyle="warning" allowBlank="1" showInputMessage="1" showErrorMessage="1" errorTitle="خطا در ورود امتياز" error="به مقالات علمي ترويجي تا 2 امتياز و به مقالات علمي مروري تا 7 امتياز تعلق مي گيرد." promptTitle="توجه:" prompt="به مقالات علمي ترويجي تا 2 امتياز و به مقالات علمي مروري تا 7 امتياز تعلق مي گيرد." sqref="F7:F8 F10:F11 F13:F14 F16:F17 F19:F20 F22:F23 F25:F26 F28:F29 F31:F32 F34:F35 F37:F38 F40:F41 F43:F44 F46:F47 F49:F50 F52:F53 F55:F56 F58:F59 F61:F62 F64:F65 F67:F68 F70:F71 F73:F74 F76:F77 F79:F80">
      <formula1>0</formula1>
      <formula2>7</formula2>
    </dataValidation>
    <dataValidation type="whole" allowBlank="1" showInputMessage="1" showErrorMessage="1" errorTitle="خطا در ورود اطلاعات" error="لطفا داده را به صورت عددي وارد نماييد" sqref="N6 N9 N12 N15 N18 N21 N24 N27 N30 N33 N36 N39 N42 N45 N48 N51 N54 N57 N60 N63 N66 N69 N72 N75 N78">
      <formula1>0</formula1>
      <formula2>100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5">
        <x14:dataValidation type="list" allowBlank="1" showInputMessage="1" showErrorMessage="1" error="لطفا از مقادیر داخل لیست انتخاب نمایید">
          <x14:formula1>
            <xm:f>'Data Base'!$P$3:$P$14</xm:f>
          </x14:formula1>
          <xm:sqref>N7:N8 N10:N11 N13:N14 N16:N17 N19:N20 N22:N23 N25:N26 N28:N29 N31:N32 N34:N35 N37:N38 N40:N41 N43:N44 N46:N47 N49:N50 N52:N53 N55:N56 N58:N59 N61:N62 N64:N65 N67:N68 N70:N71 N73:N74 N76:N77 N79:N80</xm:sqref>
        </x14:dataValidation>
        <x14:dataValidation type="list" errorStyle="warning" allowBlank="1" showInputMessage="1" showErrorMessage="1" error="بهتر است از مقادیر داخل لیست انتخاب نمایید">
          <x14:formula1>
            <xm:f>'Data Base'!$G$3:$G$8</xm:f>
          </x14:formula1>
          <xm:sqref>Q7:Q8 Q10:Q11 Q13:Q14 Q16:Q17 Q19:Q20 Q22:Q23 Q25:Q26 Q28:Q29 Q31:Q32 Q34:Q35 Q37:Q38 Q40:Q41 Q43:Q44 Q46:Q47 Q49:Q50 Q52:Q53 Q55:Q56 Q58:Q59 Q61:Q62 Q64:Q65 Q67:Q68 Q70:Q71 Q73:Q74 Q76:Q77 Q79:Q80</xm:sqref>
        </x14:dataValidation>
        <x14:dataValidation type="list" showInputMessage="1" showErrorMessage="1" errorTitle="خطا در ورود اطلاعات" error="لطفا از موارد ليست شده انتخاب فرماييد">
          <x14:formula1>
            <xm:f>'Data Base'!$E$14:$E$15</xm:f>
          </x14:formula1>
          <xm:sqref>K6:L6 K9:L9 K12:L12 K15:L15 K18:L18 K21:L21 K24:L24 K27:L27 K30:L30 K33:L33 K36:L36 K39:L39 K42:L42 K45:L45 K48:L48 K51:L51 K54:L54 K57:L57 K60:L60 K63:L63 K66:L66 K69:L69 K72:L72 K75:L75 K78:L78</xm:sqref>
        </x14:dataValidation>
        <x14:dataValidation type="list" allowBlank="1" showInputMessage="1" showErrorMessage="1" error="لطفا از موارد داخل لیست انتخاب نمایید">
          <x14:formula1>
            <xm:f>'Data Base'!$E$18:$E$19</xm:f>
          </x14:formula1>
          <xm:sqref>K7:K8 K10:K11 K13:K14 K16:K17 K19:K20 K22:K23 K25:K26 K28:K29 K31:K32 K34:K35 K37:K38 K40:K41 K43:K44 K46:K47 K49:K50 K52:K53 K55:K56 K58:K59 K61:K62 K64:K65 K67:K68 K70:K71 K73:K74 K76:K77 K79:K80</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H34:H35 H37:H38 H40:H41 H43:H44 H46:H47 H49:H50 H52:H53 H55:H56 H58:H59 H61:H62 H64:H65 H67:H68 H70:H71 H73:H74 H76:H77 H79:H80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249977111117893"/>
  </sheetPr>
  <dimension ref="A1:CB63"/>
  <sheetViews>
    <sheetView showGridLines="0" rightToLeft="1" view="pageBreakPreview" zoomScaleNormal="100" zoomScaleSheetLayoutView="100" workbookViewId="0">
      <selection activeCell="B6" sqref="B6:G6"/>
    </sheetView>
  </sheetViews>
  <sheetFormatPr defaultColWidth="9.140625" defaultRowHeight="15"/>
  <cols>
    <col min="1" max="1" width="2.85546875" style="19" customWidth="1"/>
    <col min="2" max="2" width="3.7109375" style="19" customWidth="1"/>
    <col min="3" max="8" width="6.140625" style="19" customWidth="1"/>
    <col min="9" max="10" width="6.5703125" style="19" customWidth="1"/>
    <col min="11" max="12" width="6.140625" style="19" customWidth="1"/>
    <col min="13" max="13" width="7.140625" style="19" customWidth="1"/>
    <col min="14" max="14" width="6.140625" style="19" customWidth="1"/>
    <col min="15" max="16" width="6.5703125" style="19" customWidth="1"/>
    <col min="17" max="17" width="5.140625" style="19" customWidth="1"/>
    <col min="18" max="20" width="5.42578125" style="19" customWidth="1"/>
    <col min="21" max="21" width="8.28515625" style="19" customWidth="1"/>
    <col min="22" max="16384" width="9.140625" style="19"/>
  </cols>
  <sheetData>
    <row r="1" spans="1:80"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265</v>
      </c>
      <c r="B3" s="1528"/>
      <c r="C3" s="1529"/>
      <c r="D3" s="1529"/>
      <c r="E3" s="1529"/>
      <c r="F3" s="1529"/>
      <c r="G3" s="1529"/>
      <c r="H3" s="1529"/>
      <c r="I3" s="1529"/>
      <c r="J3" s="1529"/>
      <c r="K3" s="1529"/>
      <c r="L3" s="1529"/>
      <c r="M3" s="1529"/>
      <c r="N3" s="1529"/>
      <c r="O3" s="1529"/>
      <c r="P3" s="1529"/>
      <c r="Q3" s="1529"/>
      <c r="R3" s="1529"/>
      <c r="S3" s="1527" t="s">
        <v>266</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470" t="s">
        <v>383</v>
      </c>
      <c r="C4" s="1470"/>
      <c r="D4" s="1470"/>
      <c r="E4" s="1470"/>
      <c r="F4" s="1470"/>
      <c r="G4" s="1470"/>
      <c r="H4" s="1482" t="s">
        <v>271</v>
      </c>
      <c r="I4" s="1482"/>
      <c r="J4" s="1482"/>
      <c r="K4" s="1482" t="s">
        <v>267</v>
      </c>
      <c r="L4" s="1482"/>
      <c r="M4" s="1482" t="s">
        <v>254</v>
      </c>
      <c r="N4" s="1484" t="s">
        <v>36</v>
      </c>
      <c r="O4" s="1482" t="s">
        <v>56</v>
      </c>
      <c r="P4" s="1482"/>
      <c r="Q4" s="1482"/>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c r="A5" s="1530"/>
      <c r="B5" s="1531"/>
      <c r="C5" s="1531"/>
      <c r="D5" s="1531"/>
      <c r="E5" s="1531"/>
      <c r="F5" s="1531"/>
      <c r="G5" s="1531"/>
      <c r="H5" s="1532"/>
      <c r="I5" s="1532"/>
      <c r="J5" s="1532"/>
      <c r="K5" s="1532"/>
      <c r="L5" s="1532"/>
      <c r="M5" s="1532"/>
      <c r="N5" s="1533"/>
      <c r="O5" s="1532"/>
      <c r="P5" s="1532"/>
      <c r="Q5" s="1532"/>
      <c r="R5" s="214" t="s">
        <v>17</v>
      </c>
      <c r="S5" s="214" t="s">
        <v>349</v>
      </c>
      <c r="T5" s="214" t="s">
        <v>18</v>
      </c>
      <c r="U5" s="153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0.25">
      <c r="A6" s="218">
        <v>1</v>
      </c>
      <c r="B6" s="1157"/>
      <c r="C6" s="1157"/>
      <c r="D6" s="1157"/>
      <c r="E6" s="1157"/>
      <c r="F6" s="1157"/>
      <c r="G6" s="1157"/>
      <c r="H6" s="1534"/>
      <c r="I6" s="1534"/>
      <c r="J6" s="1534"/>
      <c r="K6" s="1534"/>
      <c r="L6" s="1534"/>
      <c r="M6" s="548"/>
      <c r="N6" s="549"/>
      <c r="O6" s="1157"/>
      <c r="P6" s="1157"/>
      <c r="Q6" s="1157"/>
      <c r="R6" s="550"/>
      <c r="S6" s="34"/>
      <c r="T6" s="145"/>
      <c r="U6" s="144"/>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17.25" customHeight="1">
      <c r="A7" s="218">
        <v>2</v>
      </c>
      <c r="B7" s="1157"/>
      <c r="C7" s="1157"/>
      <c r="D7" s="1157"/>
      <c r="E7" s="1157"/>
      <c r="F7" s="1157"/>
      <c r="G7" s="1157"/>
      <c r="H7" s="1534"/>
      <c r="I7" s="1534"/>
      <c r="J7" s="1534"/>
      <c r="K7" s="1534"/>
      <c r="L7" s="1534"/>
      <c r="M7" s="548"/>
      <c r="N7" s="549"/>
      <c r="O7" s="1157"/>
      <c r="P7" s="1157"/>
      <c r="Q7" s="1157"/>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17.25" customHeight="1">
      <c r="A8" s="218">
        <v>3</v>
      </c>
      <c r="B8" s="1157"/>
      <c r="C8" s="1157"/>
      <c r="D8" s="1157"/>
      <c r="E8" s="1157"/>
      <c r="F8" s="1157"/>
      <c r="G8" s="1157"/>
      <c r="H8" s="1534"/>
      <c r="I8" s="1534"/>
      <c r="J8" s="1534"/>
      <c r="K8" s="1534"/>
      <c r="L8" s="1534"/>
      <c r="M8" s="548"/>
      <c r="N8" s="549"/>
      <c r="O8" s="1157"/>
      <c r="P8" s="1157"/>
      <c r="Q8" s="1157"/>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17.25" customHeight="1">
      <c r="A9" s="218">
        <v>4</v>
      </c>
      <c r="B9" s="1157"/>
      <c r="C9" s="1157"/>
      <c r="D9" s="1157"/>
      <c r="E9" s="1157"/>
      <c r="F9" s="1157"/>
      <c r="G9" s="1157"/>
      <c r="H9" s="1534"/>
      <c r="I9" s="1534"/>
      <c r="J9" s="1534"/>
      <c r="K9" s="1534"/>
      <c r="L9" s="1534"/>
      <c r="M9" s="548"/>
      <c r="N9" s="549"/>
      <c r="O9" s="1157"/>
      <c r="P9" s="1157"/>
      <c r="Q9" s="1157"/>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17.25" customHeight="1">
      <c r="A10" s="218">
        <v>5</v>
      </c>
      <c r="B10" s="1157"/>
      <c r="C10" s="1157"/>
      <c r="D10" s="1157"/>
      <c r="E10" s="1157"/>
      <c r="F10" s="1157"/>
      <c r="G10" s="1157"/>
      <c r="H10" s="1534"/>
      <c r="I10" s="1534"/>
      <c r="J10" s="1534"/>
      <c r="K10" s="1534"/>
      <c r="L10" s="1534"/>
      <c r="M10" s="548"/>
      <c r="N10" s="549"/>
      <c r="O10" s="1157"/>
      <c r="P10" s="1157"/>
      <c r="Q10" s="1157"/>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17.25" customHeight="1">
      <c r="A11" s="218">
        <v>6</v>
      </c>
      <c r="B11" s="1157"/>
      <c r="C11" s="1157"/>
      <c r="D11" s="1157"/>
      <c r="E11" s="1157"/>
      <c r="F11" s="1157"/>
      <c r="G11" s="1157"/>
      <c r="H11" s="1534"/>
      <c r="I11" s="1534"/>
      <c r="J11" s="1534"/>
      <c r="K11" s="1534"/>
      <c r="L11" s="1534"/>
      <c r="M11" s="548"/>
      <c r="N11" s="549"/>
      <c r="O11" s="1157"/>
      <c r="P11" s="1157"/>
      <c r="Q11" s="1157"/>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17.25" customHeight="1">
      <c r="A12" s="218">
        <v>7</v>
      </c>
      <c r="B12" s="1157"/>
      <c r="C12" s="1157"/>
      <c r="D12" s="1157"/>
      <c r="E12" s="1157"/>
      <c r="F12" s="1157"/>
      <c r="G12" s="1157"/>
      <c r="H12" s="1534"/>
      <c r="I12" s="1534"/>
      <c r="J12" s="1534"/>
      <c r="K12" s="1534"/>
      <c r="L12" s="1534"/>
      <c r="M12" s="548"/>
      <c r="N12" s="549"/>
      <c r="O12" s="1157"/>
      <c r="P12" s="1157"/>
      <c r="Q12" s="1157"/>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17.25" customHeight="1">
      <c r="A13" s="218">
        <v>8</v>
      </c>
      <c r="B13" s="1157"/>
      <c r="C13" s="1157"/>
      <c r="D13" s="1157"/>
      <c r="E13" s="1157"/>
      <c r="F13" s="1157"/>
      <c r="G13" s="1157"/>
      <c r="H13" s="1534"/>
      <c r="I13" s="1534"/>
      <c r="J13" s="1534"/>
      <c r="K13" s="1534"/>
      <c r="L13" s="1534"/>
      <c r="M13" s="548"/>
      <c r="N13" s="549"/>
      <c r="O13" s="1157"/>
      <c r="P13" s="1157"/>
      <c r="Q13" s="1157"/>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17.25" customHeight="1">
      <c r="A14" s="218">
        <v>9</v>
      </c>
      <c r="B14" s="1157"/>
      <c r="C14" s="1157"/>
      <c r="D14" s="1157"/>
      <c r="E14" s="1157"/>
      <c r="F14" s="1157"/>
      <c r="G14" s="1157"/>
      <c r="H14" s="1534"/>
      <c r="I14" s="1534"/>
      <c r="J14" s="1534"/>
      <c r="K14" s="1534"/>
      <c r="L14" s="1534"/>
      <c r="M14" s="548"/>
      <c r="N14" s="549"/>
      <c r="O14" s="1157"/>
      <c r="P14" s="1157"/>
      <c r="Q14" s="1157"/>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17.25" customHeight="1" thickBot="1">
      <c r="A15" s="219">
        <v>10</v>
      </c>
      <c r="B15" s="1182"/>
      <c r="C15" s="1182"/>
      <c r="D15" s="1182"/>
      <c r="E15" s="1182"/>
      <c r="F15" s="1182"/>
      <c r="G15" s="1182"/>
      <c r="H15" s="1424"/>
      <c r="I15" s="1424"/>
      <c r="J15" s="1424"/>
      <c r="K15" s="1424"/>
      <c r="L15" s="1424"/>
      <c r="M15" s="532"/>
      <c r="N15" s="551"/>
      <c r="O15" s="1182"/>
      <c r="P15" s="1182"/>
      <c r="Q15" s="1182"/>
      <c r="R15" s="552"/>
      <c r="S15" s="176"/>
      <c r="T15" s="147"/>
      <c r="U15" s="146"/>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7" customHeight="1" thickBot="1">
      <c r="A16" s="1143" t="s">
        <v>270</v>
      </c>
      <c r="B16" s="1144"/>
      <c r="C16" s="1144"/>
      <c r="D16" s="1144"/>
      <c r="E16" s="1144"/>
      <c r="F16" s="1144"/>
      <c r="G16" s="1144"/>
      <c r="H16" s="1144"/>
      <c r="I16" s="1144"/>
      <c r="J16" s="1144"/>
      <c r="K16" s="1144"/>
      <c r="L16" s="215">
        <f>SUM(R6:R15)</f>
        <v>0</v>
      </c>
      <c r="M16" s="1189" t="s">
        <v>322</v>
      </c>
      <c r="N16" s="1205"/>
      <c r="O16" s="1205"/>
      <c r="P16" s="1205"/>
      <c r="Q16" s="1205"/>
      <c r="R16" s="216">
        <f>IF(H16&gt;8,8,H16)</f>
        <v>0</v>
      </c>
      <c r="S16" s="217">
        <f>IF(SUM(S6:S15)&gt;8,8,SUM(S6:S15))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3"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3"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20.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17.25" customHeight="1">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20.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17.25" customHeight="1">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20.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17.25" customHeight="1">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0.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0.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17.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20.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17.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20.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17.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20.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17.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20.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17.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20.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ht="17.25" customHeight="1">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ht="20.25" customHeight="1">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2:80">
      <c r="V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2:80" ht="17.25" customHeight="1">
      <c r="V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2:80" ht="20.25" customHeight="1">
      <c r="V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2:80">
      <c r="V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2:80" ht="17.25" customHeight="1">
      <c r="V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2:80" ht="20.25" customHeight="1">
      <c r="V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2:80">
      <c r="V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row r="57" spans="22:80" ht="17.25" customHeight="1">
      <c r="V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row>
    <row r="58" spans="22:80" ht="20.25" customHeight="1">
      <c r="V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row>
    <row r="59" spans="22:80">
      <c r="V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row>
    <row r="60" spans="22:80">
      <c r="V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row>
    <row r="62" spans="22:80" ht="26.25" customHeight="1"/>
    <row r="63" spans="22:80" ht="26.25" customHeight="1"/>
  </sheetData>
  <sheetProtection algorithmName="SHA-512" hashValue="zLvuFwJhNgOKbgyuTouTtHbNyjiqGwhRQ7zowNAERlRiXtm3hCSJL4zSXOplW1BOy0sdKBIFGy5cf86T3PUPJA==" saltValue="b1i4MVF7jdJpDlrdqwYctw==" spinCount="100000" sheet="1" objects="1" scenarios="1" formatCells="0" formatRows="0" selectLockedCells="1"/>
  <mergeCells count="70">
    <mergeCell ref="M16:Q16"/>
    <mergeCell ref="A16:K16"/>
    <mergeCell ref="R17:U17"/>
    <mergeCell ref="A18:G18"/>
    <mergeCell ref="H18:N18"/>
    <mergeCell ref="O18:U18"/>
    <mergeCell ref="A17:G17"/>
    <mergeCell ref="H17:J17"/>
    <mergeCell ref="K17:N17"/>
    <mergeCell ref="O17:Q17"/>
    <mergeCell ref="B15:G15"/>
    <mergeCell ref="H15:J15"/>
    <mergeCell ref="K15:L15"/>
    <mergeCell ref="O15:Q15"/>
    <mergeCell ref="B14:G14"/>
    <mergeCell ref="H14:J14"/>
    <mergeCell ref="K14:L14"/>
    <mergeCell ref="O14:Q14"/>
    <mergeCell ref="B13:G13"/>
    <mergeCell ref="H13:J13"/>
    <mergeCell ref="K13:L13"/>
    <mergeCell ref="O13:Q13"/>
    <mergeCell ref="B12:G12"/>
    <mergeCell ref="H12:J12"/>
    <mergeCell ref="K12:L12"/>
    <mergeCell ref="O12:Q12"/>
    <mergeCell ref="B11:G11"/>
    <mergeCell ref="H11:J11"/>
    <mergeCell ref="K11:L11"/>
    <mergeCell ref="O11:Q11"/>
    <mergeCell ref="B10:G10"/>
    <mergeCell ref="H10:J10"/>
    <mergeCell ref="K10:L10"/>
    <mergeCell ref="O10:Q10"/>
    <mergeCell ref="B9:G9"/>
    <mergeCell ref="H9:J9"/>
    <mergeCell ref="K9:L9"/>
    <mergeCell ref="O9:Q9"/>
    <mergeCell ref="B8:G8"/>
    <mergeCell ref="H8:J8"/>
    <mergeCell ref="K8:L8"/>
    <mergeCell ref="O8:Q8"/>
    <mergeCell ref="B7:G7"/>
    <mergeCell ref="H7:J7"/>
    <mergeCell ref="K7:L7"/>
    <mergeCell ref="O7:Q7"/>
    <mergeCell ref="U4:U5"/>
    <mergeCell ref="B6:G6"/>
    <mergeCell ref="H6:J6"/>
    <mergeCell ref="K6:L6"/>
    <mergeCell ref="O6:Q6"/>
    <mergeCell ref="A3:R3"/>
    <mergeCell ref="S3:U3"/>
    <mergeCell ref="A4:A5"/>
    <mergeCell ref="B4:G5"/>
    <mergeCell ref="H4:J5"/>
    <mergeCell ref="K4:L5"/>
    <mergeCell ref="M4:M5"/>
    <mergeCell ref="N4:N5"/>
    <mergeCell ref="O4:Q5"/>
    <mergeCell ref="R4:T4"/>
    <mergeCell ref="A1:B2"/>
    <mergeCell ref="C1:G1"/>
    <mergeCell ref="H1:L1"/>
    <mergeCell ref="M1:P1"/>
    <mergeCell ref="Q1:U1"/>
    <mergeCell ref="C2:G2"/>
    <mergeCell ref="H2:L2"/>
    <mergeCell ref="M2:P2"/>
    <mergeCell ref="Q2:U2"/>
  </mergeCells>
  <conditionalFormatting sqref="K6 B6 H6 M6:O6">
    <cfRule type="containsBlanks" dxfId="115" priority="5">
      <formula>LEN(TRIM(B6))=0</formula>
    </cfRule>
  </conditionalFormatting>
  <conditionalFormatting sqref="B8 H8 M8:O8">
    <cfRule type="containsBlanks" dxfId="114" priority="3">
      <formula>LEN(TRIM(B8))=0</formula>
    </cfRule>
  </conditionalFormatting>
  <conditionalFormatting sqref="B7 H7 M7:O7">
    <cfRule type="containsBlanks" dxfId="113" priority="4">
      <formula>LEN(TRIM(B7))=0</formula>
    </cfRule>
  </conditionalFormatting>
  <conditionalFormatting sqref="B9:B15 H9:H15 M9:O15">
    <cfRule type="containsBlanks" dxfId="112" priority="2">
      <formula>LEN(TRIM(B9))=0</formula>
    </cfRule>
  </conditionalFormatting>
  <conditionalFormatting sqref="K7:K15">
    <cfRule type="containsBlanks" dxfId="111" priority="1">
      <formula>LEN(TRIM(K7))=0</formula>
    </cfRule>
  </conditionalFormatting>
  <dataValidations count="2">
    <dataValidation type="whole" allowBlank="1" showInputMessage="1" showErrorMessage="1" errorTitle="خطا در ورود اطلاعات" error="لطفا داده را به صورت عددي وارد نماييد" sqref="N6:N15">
      <formula1>0</formula1>
      <formula2>100</formula2>
    </dataValidation>
    <dataValidation type="decimal" allowBlank="1" showInputMessage="1" showErrorMessage="1" errorTitle="خطا در ورود امتياز" error="لطفا يك عدد بين صفر تا 2 امتياز وارد نماييد" promptTitle="توجه:" prompt="حداكثر تا 3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Base'!$G$11:$G$12</xm:f>
          </x14:formula1>
          <xm:sqref>K6:L15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O30"/>
  <sheetViews>
    <sheetView showGridLines="0" rightToLeft="1" view="pageBreakPreview" zoomScaleNormal="85" zoomScaleSheetLayoutView="100" workbookViewId="0">
      <selection activeCell="B5" sqref="B5:E5"/>
    </sheetView>
  </sheetViews>
  <sheetFormatPr defaultColWidth="9.140625" defaultRowHeight="15"/>
  <cols>
    <col min="1" max="1" width="10" style="19" customWidth="1"/>
    <col min="2" max="2" width="8.28515625" style="19" customWidth="1"/>
    <col min="3" max="3" width="8.85546875" style="19" customWidth="1"/>
    <col min="4" max="4" width="14.28515625" style="19" customWidth="1"/>
    <col min="5" max="5" width="19.7109375" style="19" customWidth="1"/>
    <col min="6" max="6" width="15.28515625" style="19" customWidth="1"/>
    <col min="7" max="8" width="6.7109375" style="19" customWidth="1"/>
    <col min="9" max="9" width="6" style="19" customWidth="1"/>
    <col min="10" max="10" width="6.42578125" style="19" customWidth="1"/>
    <col min="11" max="11" width="6.5703125" style="19" customWidth="1"/>
    <col min="12" max="12" width="6.42578125" style="19" customWidth="1"/>
    <col min="13" max="13" width="6.7109375" style="19" customWidth="1"/>
    <col min="14" max="14" width="5.140625" style="19" customWidth="1"/>
    <col min="15" max="15" width="5.42578125" style="19" customWidth="1"/>
    <col min="16" max="16384" width="9.140625" style="19"/>
  </cols>
  <sheetData>
    <row r="1" spans="1:15" ht="22.5">
      <c r="A1" s="11"/>
      <c r="B1" s="11"/>
      <c r="C1" s="11"/>
      <c r="D1" s="995" t="s">
        <v>126</v>
      </c>
      <c r="E1" s="995"/>
      <c r="F1" s="995"/>
      <c r="G1" s="995"/>
      <c r="H1" s="995"/>
      <c r="I1" s="995"/>
      <c r="J1" s="995"/>
      <c r="K1" s="995"/>
      <c r="L1" s="995"/>
      <c r="M1" s="11"/>
      <c r="N1" s="11"/>
      <c r="O1" s="11"/>
    </row>
    <row r="2" spans="1:15" ht="22.5">
      <c r="A2" s="11"/>
      <c r="B2" s="11"/>
      <c r="C2" s="11"/>
      <c r="D2" s="997" t="s">
        <v>128</v>
      </c>
      <c r="E2" s="997"/>
      <c r="F2" s="997"/>
      <c r="G2" s="997"/>
      <c r="H2" s="995" t="str">
        <f>IF(EXACT(E10,'Data Base'!O34),'Data Base'!P34,IF(EXACT(E10,'Data Base'!O35),'Data Base'!P35,""))</f>
        <v/>
      </c>
      <c r="I2" s="995"/>
      <c r="J2" s="677" t="s">
        <v>127</v>
      </c>
      <c r="K2" s="996" t="str">
        <f>IF(EXACT(H2,"استادياري"),'Data Base'!Q34,IF(EXACT(H2,'Data Base'!Q34),'Data Base'!Q35,""))</f>
        <v/>
      </c>
      <c r="L2" s="996"/>
      <c r="M2" s="11"/>
      <c r="N2" s="11"/>
      <c r="O2" s="11"/>
    </row>
    <row r="3" spans="1:15" ht="20.25" customHeight="1" thickBot="1">
      <c r="A3" s="678"/>
      <c r="B3" s="678"/>
      <c r="C3" s="678"/>
      <c r="D3" s="991" t="s">
        <v>134</v>
      </c>
      <c r="E3" s="991"/>
      <c r="F3" s="991"/>
      <c r="G3" s="991"/>
      <c r="H3" s="991"/>
      <c r="I3" s="991"/>
      <c r="J3" s="991"/>
      <c r="K3" s="991"/>
      <c r="L3" s="991"/>
      <c r="M3" s="11"/>
      <c r="N3" s="11"/>
      <c r="O3" s="11"/>
    </row>
    <row r="4" spans="1:15" ht="15.75" customHeight="1">
      <c r="A4" s="1011" t="s">
        <v>106</v>
      </c>
      <c r="B4" s="1001" t="s">
        <v>107</v>
      </c>
      <c r="C4" s="1002"/>
      <c r="D4" s="1002"/>
      <c r="E4" s="1002"/>
      <c r="F4" s="992" t="s">
        <v>132</v>
      </c>
      <c r="G4" s="992"/>
      <c r="H4" s="992"/>
      <c r="I4" s="994"/>
      <c r="J4" s="994"/>
      <c r="K4" s="992" t="s">
        <v>135</v>
      </c>
      <c r="L4" s="992"/>
      <c r="M4" s="679"/>
      <c r="N4" s="680"/>
      <c r="O4" s="681"/>
    </row>
    <row r="5" spans="1:15" ht="15.75" customHeight="1" thickBot="1">
      <c r="A5" s="1012"/>
      <c r="B5" s="1013"/>
      <c r="C5" s="1014"/>
      <c r="D5" s="1014"/>
      <c r="E5" s="1014"/>
      <c r="F5" s="993" t="s">
        <v>1337</v>
      </c>
      <c r="G5" s="993"/>
      <c r="H5" s="993"/>
      <c r="I5" s="1008"/>
      <c r="J5" s="1008"/>
      <c r="K5" s="993" t="s">
        <v>1317</v>
      </c>
      <c r="L5" s="993"/>
      <c r="M5" s="682"/>
      <c r="N5" s="683"/>
      <c r="O5" s="684"/>
    </row>
    <row r="6" spans="1:15" ht="5.25" customHeight="1" thickBot="1">
      <c r="A6" s="685"/>
      <c r="B6" s="685"/>
      <c r="C6" s="685"/>
      <c r="D6" s="685"/>
      <c r="E6" s="685"/>
      <c r="F6" s="685"/>
      <c r="G6" s="685"/>
      <c r="H6" s="685"/>
      <c r="I6" s="685"/>
      <c r="J6" s="685"/>
      <c r="K6" s="685"/>
      <c r="L6" s="685"/>
      <c r="M6" s="685"/>
      <c r="N6" s="685"/>
      <c r="O6" s="685"/>
    </row>
    <row r="7" spans="1:15" ht="18.75" customHeight="1">
      <c r="A7" s="1024" t="s">
        <v>108</v>
      </c>
      <c r="B7" s="1025"/>
      <c r="C7" s="1025"/>
      <c r="D7" s="1025"/>
      <c r="E7" s="1025"/>
      <c r="F7" s="1025"/>
      <c r="G7" s="1025"/>
      <c r="H7" s="1025"/>
      <c r="I7" s="1025"/>
      <c r="J7" s="1025"/>
      <c r="K7" s="1025"/>
      <c r="L7" s="1025"/>
      <c r="M7" s="1025"/>
      <c r="N7" s="1025"/>
      <c r="O7" s="1026"/>
    </row>
    <row r="8" spans="1:15" ht="22.5" customHeight="1">
      <c r="A8" s="998" t="s">
        <v>130</v>
      </c>
      <c r="B8" s="999"/>
      <c r="C8" s="1000"/>
      <c r="D8" s="1003" t="s">
        <v>109</v>
      </c>
      <c r="E8" s="1000"/>
      <c r="F8" s="686" t="s">
        <v>951</v>
      </c>
      <c r="G8" s="1027"/>
      <c r="H8" s="1029"/>
      <c r="I8" s="1015"/>
      <c r="J8" s="1017" t="s">
        <v>129</v>
      </c>
      <c r="K8" s="1018"/>
      <c r="L8" s="1018"/>
      <c r="M8" s="1027"/>
      <c r="N8" s="1029"/>
      <c r="O8" s="1031"/>
    </row>
    <row r="9" spans="1:15" ht="22.5" customHeight="1">
      <c r="A9" s="1046"/>
      <c r="B9" s="1047"/>
      <c r="C9" s="1010"/>
      <c r="D9" s="1009"/>
      <c r="E9" s="1010"/>
      <c r="F9" s="687" t="s">
        <v>952</v>
      </c>
      <c r="G9" s="1028"/>
      <c r="H9" s="1030"/>
      <c r="I9" s="1016"/>
      <c r="J9" s="1019"/>
      <c r="K9" s="1020"/>
      <c r="L9" s="1020"/>
      <c r="M9" s="1028"/>
      <c r="N9" s="1030"/>
      <c r="O9" s="1032"/>
    </row>
    <row r="10" spans="1:15" ht="22.5" customHeight="1">
      <c r="A10" s="688" t="s">
        <v>234</v>
      </c>
      <c r="B10" s="1033"/>
      <c r="C10" s="1034"/>
      <c r="D10" s="689" t="s">
        <v>204</v>
      </c>
      <c r="E10" s="690"/>
      <c r="F10" s="689" t="s">
        <v>110</v>
      </c>
      <c r="G10" s="1035"/>
      <c r="H10" s="1035"/>
      <c r="I10" s="1036"/>
      <c r="J10" s="1004" t="s">
        <v>896</v>
      </c>
      <c r="K10" s="1005"/>
      <c r="L10" s="691" t="s">
        <v>899</v>
      </c>
      <c r="M10" s="692"/>
      <c r="N10" s="693"/>
      <c r="O10" s="694"/>
    </row>
    <row r="11" spans="1:15" ht="22.5" customHeight="1" thickBot="1">
      <c r="A11" s="695" t="s">
        <v>235</v>
      </c>
      <c r="B11" s="1037"/>
      <c r="C11" s="1038"/>
      <c r="D11" s="696" t="s">
        <v>897</v>
      </c>
      <c r="E11" s="697"/>
      <c r="F11" s="696" t="s">
        <v>953</v>
      </c>
      <c r="G11" s="698"/>
      <c r="H11" s="699"/>
      <c r="I11" s="700"/>
      <c r="J11" s="1006"/>
      <c r="K11" s="1007"/>
      <c r="L11" s="701" t="s">
        <v>898</v>
      </c>
      <c r="M11" s="698"/>
      <c r="N11" s="699"/>
      <c r="O11" s="702"/>
    </row>
    <row r="12" spans="1:15" ht="3" customHeight="1" thickBot="1">
      <c r="A12" s="703"/>
      <c r="B12" s="704"/>
      <c r="C12" s="704"/>
      <c r="D12" s="704"/>
      <c r="E12" s="704"/>
      <c r="F12" s="704"/>
      <c r="G12" s="704"/>
      <c r="H12" s="704"/>
      <c r="I12" s="704"/>
      <c r="J12" s="704"/>
      <c r="K12" s="704"/>
      <c r="L12" s="704"/>
      <c r="M12" s="704"/>
      <c r="N12" s="704"/>
      <c r="O12" s="705"/>
    </row>
    <row r="13" spans="1:15" ht="18.75" customHeight="1">
      <c r="A13" s="1040"/>
      <c r="B13" s="1041" t="s">
        <v>1113</v>
      </c>
      <c r="C13" s="1042"/>
      <c r="D13" s="1021" t="s">
        <v>111</v>
      </c>
      <c r="E13" s="1021"/>
      <c r="F13" s="1021"/>
      <c r="G13" s="1021"/>
      <c r="H13" s="1021"/>
      <c r="I13" s="1021"/>
      <c r="J13" s="1021"/>
      <c r="K13" s="1021"/>
      <c r="L13" s="1021"/>
      <c r="M13" s="1021"/>
      <c r="N13" s="1021"/>
      <c r="O13" s="1022"/>
    </row>
    <row r="14" spans="1:15" ht="20.25" customHeight="1" thickBot="1">
      <c r="A14" s="1043"/>
      <c r="B14" s="1044" t="s">
        <v>1114</v>
      </c>
      <c r="C14" s="1045"/>
      <c r="D14" s="1074" t="s">
        <v>112</v>
      </c>
      <c r="E14" s="1039"/>
      <c r="F14" s="1039" t="s">
        <v>113</v>
      </c>
      <c r="G14" s="1039"/>
      <c r="H14" s="1039"/>
      <c r="I14" s="1039"/>
      <c r="J14" s="1039" t="s">
        <v>114</v>
      </c>
      <c r="K14" s="1039"/>
      <c r="L14" s="1039"/>
      <c r="M14" s="1070"/>
      <c r="N14" s="1070"/>
      <c r="O14" s="1071"/>
    </row>
    <row r="15" spans="1:15" ht="17.25" customHeight="1">
      <c r="A15" s="1072" t="s">
        <v>115</v>
      </c>
      <c r="B15" s="1073"/>
      <c r="C15" s="1073"/>
      <c r="D15" s="1023"/>
      <c r="E15" s="1023"/>
      <c r="F15" s="1023"/>
      <c r="G15" s="1023"/>
      <c r="H15" s="1023"/>
      <c r="I15" s="1023"/>
      <c r="J15" s="1023"/>
      <c r="K15" s="1023"/>
      <c r="L15" s="1023"/>
      <c r="M15" s="1056"/>
      <c r="N15" s="1056"/>
      <c r="O15" s="1057"/>
    </row>
    <row r="16" spans="1:15" ht="17.25" customHeight="1">
      <c r="A16" s="1048" t="s">
        <v>116</v>
      </c>
      <c r="B16" s="1049"/>
      <c r="C16" s="1049"/>
      <c r="D16" s="1023"/>
      <c r="E16" s="1023"/>
      <c r="F16" s="1023"/>
      <c r="G16" s="1023"/>
      <c r="H16" s="1023"/>
      <c r="I16" s="1023"/>
      <c r="J16" s="1023"/>
      <c r="K16" s="1023"/>
      <c r="L16" s="1023"/>
      <c r="M16" s="1056"/>
      <c r="N16" s="1056"/>
      <c r="O16" s="1057"/>
    </row>
    <row r="17" spans="1:15" ht="17.25" customHeight="1">
      <c r="A17" s="1048" t="s">
        <v>117</v>
      </c>
      <c r="B17" s="1049"/>
      <c r="C17" s="1049"/>
      <c r="D17" s="1023"/>
      <c r="E17" s="1023"/>
      <c r="F17" s="1023"/>
      <c r="G17" s="1023"/>
      <c r="H17" s="1023"/>
      <c r="I17" s="1023"/>
      <c r="J17" s="1023"/>
      <c r="K17" s="1023"/>
      <c r="L17" s="1023"/>
      <c r="M17" s="1056"/>
      <c r="N17" s="1056"/>
      <c r="O17" s="1057"/>
    </row>
    <row r="18" spans="1:15" ht="17.25" customHeight="1">
      <c r="A18" s="1048" t="s">
        <v>118</v>
      </c>
      <c r="B18" s="1049"/>
      <c r="C18" s="1049"/>
      <c r="D18" s="1023"/>
      <c r="E18" s="1023"/>
      <c r="F18" s="1023"/>
      <c r="G18" s="1023"/>
      <c r="H18" s="1023"/>
      <c r="I18" s="1023"/>
      <c r="J18" s="1023"/>
      <c r="K18" s="1023"/>
      <c r="L18" s="1076"/>
      <c r="M18" s="1077"/>
      <c r="N18" s="1056"/>
      <c r="O18" s="1057"/>
    </row>
    <row r="19" spans="1:15" ht="17.25" customHeight="1">
      <c r="A19" s="1048" t="s">
        <v>119</v>
      </c>
      <c r="B19" s="1049"/>
      <c r="C19" s="1049"/>
      <c r="D19" s="1023"/>
      <c r="E19" s="1023"/>
      <c r="F19" s="1023"/>
      <c r="G19" s="1023"/>
      <c r="H19" s="1023"/>
      <c r="I19" s="1023"/>
      <c r="J19" s="1058"/>
      <c r="K19" s="1059"/>
      <c r="L19" s="968"/>
      <c r="M19" s="1060"/>
      <c r="N19" s="1060"/>
      <c r="O19" s="1061"/>
    </row>
    <row r="20" spans="1:15" ht="60.75" customHeight="1" thickBot="1">
      <c r="A20" s="1064" t="s">
        <v>120</v>
      </c>
      <c r="B20" s="1065"/>
      <c r="C20" s="1065"/>
      <c r="D20" s="1050"/>
      <c r="E20" s="1050"/>
      <c r="F20" s="1050"/>
      <c r="G20" s="1050"/>
      <c r="H20" s="1050"/>
      <c r="I20" s="1050"/>
      <c r="J20" s="1050"/>
      <c r="K20" s="1050"/>
      <c r="L20" s="1051"/>
      <c r="M20" s="1052"/>
      <c r="N20" s="1053"/>
      <c r="O20" s="1054"/>
    </row>
    <row r="21" spans="1:15" ht="25.5" customHeight="1">
      <c r="A21" s="1066" t="s">
        <v>22</v>
      </c>
      <c r="B21" s="1067"/>
      <c r="C21" s="1067"/>
      <c r="D21" s="1067"/>
      <c r="E21" s="1068"/>
      <c r="F21" s="1066" t="s">
        <v>1318</v>
      </c>
      <c r="G21" s="1067"/>
      <c r="H21" s="1067"/>
      <c r="I21" s="1067"/>
      <c r="J21" s="1067"/>
      <c r="K21" s="1067"/>
      <c r="L21" s="1067"/>
      <c r="M21" s="1067"/>
      <c r="N21" s="1067"/>
      <c r="O21" s="1068"/>
    </row>
    <row r="22" spans="1:15" ht="23.25" customHeight="1" thickBot="1">
      <c r="A22" s="969"/>
      <c r="B22" s="970"/>
      <c r="C22" s="973" t="s">
        <v>1339</v>
      </c>
      <c r="D22" s="970"/>
      <c r="E22" s="971" t="s">
        <v>1319</v>
      </c>
      <c r="F22" s="972"/>
      <c r="G22" s="973" t="s">
        <v>1340</v>
      </c>
      <c r="H22" s="974"/>
      <c r="I22" s="970"/>
      <c r="J22" s="1083" t="s">
        <v>1339</v>
      </c>
      <c r="K22" s="1083"/>
      <c r="L22" s="970"/>
      <c r="M22" s="1083" t="s">
        <v>1319</v>
      </c>
      <c r="N22" s="1083"/>
      <c r="O22" s="975"/>
    </row>
    <row r="23" spans="1:15" ht="21" customHeight="1">
      <c r="A23" s="1069" t="s">
        <v>1336</v>
      </c>
      <c r="B23" s="1069"/>
      <c r="C23" s="1069"/>
      <c r="D23" s="1069"/>
      <c r="E23" s="1069"/>
      <c r="F23" s="1069"/>
      <c r="G23" s="1069"/>
      <c r="H23" s="1069"/>
      <c r="I23" s="1069"/>
      <c r="J23" s="1069"/>
      <c r="K23" s="1069"/>
      <c r="L23" s="1069"/>
      <c r="M23" s="1062" t="str">
        <f>Start!H17</f>
        <v>بهار 1400</v>
      </c>
      <c r="N23" s="1062"/>
      <c r="O23" s="1062"/>
    </row>
    <row r="24" spans="1:15" ht="21.75" customHeight="1">
      <c r="A24" s="255" t="s">
        <v>236</v>
      </c>
      <c r="B24" s="1055" t="str">
        <f>IF(EXACT(E10,"استادیار"),'Data Base'!K38,'Data Base'!K37)</f>
        <v>آخرین ارتقاء مرتبه متقاضی</v>
      </c>
      <c r="C24" s="1055"/>
      <c r="D24" s="1055" t="s">
        <v>945</v>
      </c>
      <c r="E24" s="1055"/>
      <c r="F24" s="1055"/>
      <c r="G24" s="257">
        <f>'Data Base'!U10</f>
        <v>0</v>
      </c>
      <c r="H24" s="255" t="s">
        <v>121</v>
      </c>
      <c r="I24" s="257">
        <f>'Data Base'!T10</f>
        <v>0</v>
      </c>
      <c r="J24" s="1063" t="s">
        <v>1335</v>
      </c>
      <c r="K24" s="1063"/>
      <c r="L24" s="1063"/>
      <c r="M24" s="1062" t="str">
        <f>Start!H18</f>
        <v>ویرایش : 11.2</v>
      </c>
      <c r="N24" s="1062"/>
      <c r="O24" s="1062"/>
    </row>
    <row r="25" spans="1:15" ht="19.5" customHeight="1"/>
    <row r="26" spans="1:15" ht="27" customHeight="1">
      <c r="A26" s="1086" t="s">
        <v>122</v>
      </c>
      <c r="B26" s="1086"/>
      <c r="C26" s="1086"/>
      <c r="D26" s="21"/>
      <c r="E26" s="256" t="s">
        <v>123</v>
      </c>
      <c r="F26" s="1080">
        <f>D9</f>
        <v>0</v>
      </c>
      <c r="G26" s="1081"/>
      <c r="H26" s="1081"/>
      <c r="I26" s="1081"/>
      <c r="J26" s="1084" t="s">
        <v>124</v>
      </c>
      <c r="K26" s="1084"/>
      <c r="L26" s="1085">
        <f>B5</f>
        <v>0</v>
      </c>
      <c r="M26" s="1085"/>
      <c r="N26" s="1085"/>
      <c r="O26" s="1085"/>
    </row>
    <row r="27" spans="1:15" ht="22.5" customHeight="1">
      <c r="A27" s="1082">
        <f>A9</f>
        <v>0</v>
      </c>
      <c r="B27" s="1079"/>
      <c r="C27" s="1079"/>
      <c r="D27" s="20"/>
      <c r="E27" s="1078"/>
      <c r="F27" s="1078"/>
      <c r="G27" s="1078"/>
      <c r="H27" s="1078"/>
      <c r="I27" s="20"/>
      <c r="J27" s="1079" t="str">
        <f>IF(EXACT(B5,'Data Base'!A32),'Data Base'!A35,IF(EXACT(B5,'Data Base'!B32),'Data Base'!B35,IF(EXACT(B5,'Data Base'!C32),'Data Base'!C35,IF(EXACT(B5,'Data Base'!D32),'Data Base'!D35,IF(EXACT(B5,'Data Base'!E32),'Data Base'!E35,IF(EXACT(B5,'Data Base'!F32),'Data Base'!F35,IF(EXACT(B5,'Data Base'!G32),'Data Base'!G35,IF(EXACT(B5,'Data Base'!H32),'Data Base'!H35,IF(EXACT(B5,'Data Base'!I32),'Data Base'!I35,IF(EXACT(B5,'Data Base'!J32),'Data Base'!J35,IF(EXACT(B5,'Data Base'!K32),'Data Base'!K35,IF(EXACT(B5,'Data Base'!L32),'Data Base'!L35,IF(EXACT(B5,'Data Base'!M32),'Data Base'!M35,"")))))))))))))</f>
        <v/>
      </c>
      <c r="K27" s="1079"/>
      <c r="L27" s="1079"/>
      <c r="M27" s="1079"/>
      <c r="N27" s="1079"/>
      <c r="O27" s="1079"/>
    </row>
    <row r="28" spans="1:15" ht="16.5" customHeight="1">
      <c r="A28" s="1075" t="s">
        <v>125</v>
      </c>
      <c r="B28" s="1075"/>
      <c r="C28" s="1075"/>
      <c r="D28" s="124"/>
      <c r="E28" s="1075" t="s">
        <v>125</v>
      </c>
      <c r="F28" s="1075"/>
      <c r="G28" s="1075"/>
      <c r="H28" s="1075"/>
      <c r="I28" s="1075"/>
      <c r="J28" s="1075" t="s">
        <v>125</v>
      </c>
      <c r="K28" s="1075"/>
      <c r="L28" s="1075"/>
      <c r="M28" s="1075"/>
      <c r="N28" s="1075"/>
      <c r="O28" s="1075"/>
    </row>
    <row r="29" spans="1:15">
      <c r="A29" s="130"/>
      <c r="B29" s="130"/>
      <c r="C29" s="130"/>
      <c r="D29" s="130"/>
      <c r="E29" s="130"/>
      <c r="F29" s="130"/>
      <c r="G29" s="130"/>
      <c r="H29" s="130"/>
      <c r="I29" s="130"/>
      <c r="J29" s="130"/>
      <c r="K29" s="130"/>
      <c r="L29" s="130"/>
      <c r="M29" s="130"/>
      <c r="N29" s="130"/>
      <c r="O29" s="130"/>
    </row>
    <row r="30" spans="1:15">
      <c r="A30" s="130"/>
      <c r="B30" s="130"/>
      <c r="C30" s="130"/>
      <c r="D30" s="130"/>
      <c r="E30" s="130"/>
      <c r="F30" s="130"/>
      <c r="G30" s="130"/>
      <c r="H30" s="130"/>
      <c r="I30" s="130"/>
      <c r="J30" s="130"/>
      <c r="K30" s="130"/>
      <c r="L30" s="130"/>
      <c r="M30" s="130"/>
      <c r="N30" s="130"/>
      <c r="O30" s="130"/>
    </row>
  </sheetData>
  <sheetProtection algorithmName="SHA-512" hashValue="Q4kmDhhBKW1RrYrcz/40cRx5UmdX7FNmfWFIJJkJJlmeaPxC0Sievd4LKzHir0QnddPsVQwr1a6SaGAMprRCRQ==" saltValue="pcYQtceKEI+gymNuDt8dhw==" spinCount="100000" sheet="1" objects="1" scenarios="1" selectLockedCells="1"/>
  <dataConsolidate link="1"/>
  <mergeCells count="80">
    <mergeCell ref="J22:K22"/>
    <mergeCell ref="M22:N22"/>
    <mergeCell ref="J26:K26"/>
    <mergeCell ref="L26:O26"/>
    <mergeCell ref="A26:C26"/>
    <mergeCell ref="A28:C28"/>
    <mergeCell ref="J28:O28"/>
    <mergeCell ref="D18:E18"/>
    <mergeCell ref="F18:I18"/>
    <mergeCell ref="J18:O18"/>
    <mergeCell ref="A19:C19"/>
    <mergeCell ref="D19:E19"/>
    <mergeCell ref="F19:I19"/>
    <mergeCell ref="D20:E20"/>
    <mergeCell ref="F20:I20"/>
    <mergeCell ref="E28:I28"/>
    <mergeCell ref="E27:H27"/>
    <mergeCell ref="J27:O27"/>
    <mergeCell ref="F26:I26"/>
    <mergeCell ref="M24:O24"/>
    <mergeCell ref="A27:C27"/>
    <mergeCell ref="J16:O16"/>
    <mergeCell ref="J14:O14"/>
    <mergeCell ref="A15:C15"/>
    <mergeCell ref="D15:E15"/>
    <mergeCell ref="F15:I15"/>
    <mergeCell ref="J15:O15"/>
    <mergeCell ref="D14:E14"/>
    <mergeCell ref="A17:C17"/>
    <mergeCell ref="J20:O20"/>
    <mergeCell ref="B24:C24"/>
    <mergeCell ref="D24:F24"/>
    <mergeCell ref="D17:E17"/>
    <mergeCell ref="F17:I17"/>
    <mergeCell ref="J17:O17"/>
    <mergeCell ref="J19:K19"/>
    <mergeCell ref="M19:O19"/>
    <mergeCell ref="A18:C18"/>
    <mergeCell ref="M23:O23"/>
    <mergeCell ref="J24:L24"/>
    <mergeCell ref="A20:C20"/>
    <mergeCell ref="A21:E21"/>
    <mergeCell ref="F21:O21"/>
    <mergeCell ref="A23:L23"/>
    <mergeCell ref="D13:O13"/>
    <mergeCell ref="D16:E16"/>
    <mergeCell ref="A7:O7"/>
    <mergeCell ref="G8:G9"/>
    <mergeCell ref="H8:H9"/>
    <mergeCell ref="O8:O9"/>
    <mergeCell ref="B10:C10"/>
    <mergeCell ref="M8:M9"/>
    <mergeCell ref="N8:N9"/>
    <mergeCell ref="G10:I10"/>
    <mergeCell ref="B11:C11"/>
    <mergeCell ref="F14:I14"/>
    <mergeCell ref="A13:C14"/>
    <mergeCell ref="A9:C9"/>
    <mergeCell ref="A16:C16"/>
    <mergeCell ref="F16:I16"/>
    <mergeCell ref="A8:C8"/>
    <mergeCell ref="B4:E4"/>
    <mergeCell ref="D8:E8"/>
    <mergeCell ref="J10:K11"/>
    <mergeCell ref="I5:J5"/>
    <mergeCell ref="D9:E9"/>
    <mergeCell ref="A4:A5"/>
    <mergeCell ref="B5:E5"/>
    <mergeCell ref="F4:H4"/>
    <mergeCell ref="F5:H5"/>
    <mergeCell ref="I8:I9"/>
    <mergeCell ref="J8:L9"/>
    <mergeCell ref="D3:L3"/>
    <mergeCell ref="K4:L4"/>
    <mergeCell ref="K5:L5"/>
    <mergeCell ref="I4:J4"/>
    <mergeCell ref="D1:L1"/>
    <mergeCell ref="K2:L2"/>
    <mergeCell ref="H2:I2"/>
    <mergeCell ref="D2:G2"/>
  </mergeCells>
  <conditionalFormatting sqref="G24">
    <cfRule type="cellIs" dxfId="258" priority="7" operator="lessThan">
      <formula>4</formula>
    </cfRule>
  </conditionalFormatting>
  <conditionalFormatting sqref="E27">
    <cfRule type="containsBlanks" dxfId="257" priority="8">
      <formula>LEN(TRIM(E27))=0</formula>
    </cfRule>
  </conditionalFormatting>
  <conditionalFormatting sqref="B22">
    <cfRule type="containsBlanks" dxfId="256" priority="5">
      <formula>LEN(TRIM(B22))=0</formula>
    </cfRule>
  </conditionalFormatting>
  <conditionalFormatting sqref="D22">
    <cfRule type="containsBlanks" dxfId="255" priority="4">
      <formula>LEN(TRIM(D22))=0</formula>
    </cfRule>
  </conditionalFormatting>
  <conditionalFormatting sqref="F22">
    <cfRule type="containsBlanks" dxfId="254" priority="3">
      <formula>LEN(TRIM(F22))=0</formula>
    </cfRule>
  </conditionalFormatting>
  <conditionalFormatting sqref="I22">
    <cfRule type="containsBlanks" dxfId="253" priority="2">
      <formula>LEN(TRIM(I22))=0</formula>
    </cfRule>
  </conditionalFormatting>
  <conditionalFormatting sqref="L22">
    <cfRule type="containsBlanks" dxfId="252" priority="1">
      <formula>LEN(TRIM(L22))=0</formula>
    </cfRule>
  </conditionalFormatting>
  <dataValidations count="3">
    <dataValidation type="whole" allowBlank="1" showInputMessage="1" showErrorMessage="1" errorTitle="خطا در ورود اطلاعات" error="جهت ورود روز لطفا يك عدد بين اعداد 1 تا 31 وارد نماييد" prompt="روز" sqref="G11 G8:G9 M8:M11 M4:M5 J19:K19">
      <formula1>1</formula1>
      <formula2>31</formula2>
    </dataValidation>
    <dataValidation type="whole" allowBlank="1" showInputMessage="1" showErrorMessage="1" errorTitle="خطا در ورود اطلاعات" error="جهت ورود ماه لطفا يك عدد بين اعداد 1 تا 12 وارد نماييد" prompt="ماه" sqref="H11 H8:H9 N8:N11 N4:N5 L19">
      <formula1>1</formula1>
      <formula2>12</formula2>
    </dataValidation>
    <dataValidation type="whole" allowBlank="1" showInputMessage="1" showErrorMessage="1" errorTitle="خطا در ورود اطلاعات" error="لطفا عدد سال را به هجري شمسي و به صورت كامل مانند: 1395 وارد نماييد" prompt="سال" sqref="I11 I8:I9 O8:O11 O4:O5 M19:O19">
      <formula1>1300</formula1>
      <formula2>1400</formula2>
    </dataValidation>
  </dataValidations>
  <printOptions horizontalCentered="1" verticalCentered="1"/>
  <pageMargins left="0" right="0" top="0.5" bottom="0" header="0" footer="0"/>
  <pageSetup orientation="landscape" blackAndWhite="1" errors="blank"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ــوارد داخل لیـسـت انتخاب نمایید.">
          <x14:formula1>
            <xm:f>'Data Base'!$A$32:$M$32</xm:f>
          </x14:formula1>
          <xm:sqref>B5:E5</xm:sqref>
        </x14:dataValidation>
        <x14:dataValidation type="list" allowBlank="1" showInputMessage="1" showErrorMessage="1" errorTitle="خطا در ورود اطلاعات" error="لطفا از موارد لیست شده انتخاب نمایید.">
          <x14:formula1>
            <xm:f>'Data Base'!$O$32:$O$35</xm:f>
          </x14:formula1>
          <xm:sqref>G10:I10</xm:sqref>
        </x14:dataValidation>
        <x14:dataValidation type="list" allowBlank="1" showInputMessage="1" showErrorMessage="1" errorTitle="خطا در ورود اطلاعات" error="لطفا از موارد لیست شده انتخاب نمایید.">
          <x14:formula1>
            <xm:f>'Data Base'!$O$34:$O$35</xm:f>
          </x14:formula1>
          <xm:sqref>E10</xm:sqref>
        </x14:dataValidation>
        <x14:dataValidation type="list" allowBlank="1" errorTitle="خطا در ورود اطلاعات" error="لطفا از موارد داخل ليست انتخاب فرماييد.">
          <x14:formula1>
            <xm:f>'Data Base'!$C$30:$BL$30</xm:f>
          </x14:formula1>
          <xm:sqref>D9:E9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249977111117893"/>
  </sheetPr>
  <dimension ref="A1:X516"/>
  <sheetViews>
    <sheetView showGridLines="0" rightToLeft="1" view="pageBreakPreview" zoomScale="85" zoomScaleNormal="100" zoomScaleSheetLayoutView="85" workbookViewId="0">
      <pane ySplit="5" topLeftCell="A6" activePane="bottomLeft" state="frozen"/>
      <selection pane="bottomLeft" activeCell="P15" sqref="P15"/>
    </sheetView>
  </sheetViews>
  <sheetFormatPr defaultColWidth="9" defaultRowHeight="18"/>
  <cols>
    <col min="1" max="1" width="3.85546875" style="220" customWidth="1"/>
    <col min="2" max="4" width="4.28515625" style="220" customWidth="1"/>
    <col min="5" max="5" width="5.28515625" style="220" customWidth="1"/>
    <col min="6" max="6" width="7.85546875" style="220" customWidth="1"/>
    <col min="7" max="7" width="7.28515625" style="220" customWidth="1"/>
    <col min="8" max="9" width="6.7109375" style="220" customWidth="1"/>
    <col min="10" max="10" width="7.28515625" style="220" customWidth="1"/>
    <col min="11" max="11" width="8" style="220" customWidth="1"/>
    <col min="12" max="12" width="6.7109375" style="220" customWidth="1"/>
    <col min="13" max="13" width="8.140625" style="220" customWidth="1"/>
    <col min="14" max="15" width="6.5703125" style="220" customWidth="1"/>
    <col min="16" max="16" width="8.7109375" style="220" customWidth="1"/>
    <col min="17" max="18" width="5.7109375" style="220" customWidth="1"/>
    <col min="19" max="19" width="5.5703125" style="220" customWidth="1"/>
    <col min="20" max="20" width="6.140625" style="220" customWidth="1"/>
    <col min="21" max="21" width="4.7109375" style="220" customWidth="1"/>
    <col min="22" max="24" width="9" style="220" hidden="1" customWidth="1"/>
    <col min="25" max="16384" width="9" style="220"/>
  </cols>
  <sheetData>
    <row r="1" spans="1:24" ht="15" customHeight="1">
      <c r="A1" s="1466" t="s">
        <v>932</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row>
    <row r="2" spans="1:24"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row>
    <row r="3" spans="1:24" ht="21.75" thickBot="1">
      <c r="A3" s="1528" t="s">
        <v>283</v>
      </c>
      <c r="B3" s="1528"/>
      <c r="C3" s="1529"/>
      <c r="D3" s="1529"/>
      <c r="E3" s="1529"/>
      <c r="F3" s="1529"/>
      <c r="G3" s="1529"/>
      <c r="H3" s="1529"/>
      <c r="I3" s="1529"/>
      <c r="J3" s="1529"/>
      <c r="K3" s="1529"/>
      <c r="L3" s="1529"/>
      <c r="M3" s="1529"/>
      <c r="N3" s="1529"/>
      <c r="O3" s="1529"/>
      <c r="P3" s="1529"/>
      <c r="Q3" s="1529"/>
      <c r="R3" s="1529"/>
      <c r="S3" s="1527" t="s">
        <v>281</v>
      </c>
      <c r="T3" s="1527"/>
      <c r="U3" s="1527"/>
    </row>
    <row r="4" spans="1:24" ht="20.25" customHeight="1">
      <c r="A4" s="1479" t="s">
        <v>9</v>
      </c>
      <c r="B4" s="1470" t="s">
        <v>154</v>
      </c>
      <c r="C4" s="1470"/>
      <c r="D4" s="1470"/>
      <c r="E4" s="1482" t="s">
        <v>282</v>
      </c>
      <c r="F4" s="1482"/>
      <c r="G4" s="1628"/>
      <c r="H4" s="1562" t="s">
        <v>273</v>
      </c>
      <c r="I4" s="1563"/>
      <c r="J4" s="1564" t="s">
        <v>274</v>
      </c>
      <c r="K4" s="1565"/>
      <c r="L4" s="1565"/>
      <c r="M4" s="1622" t="s">
        <v>285</v>
      </c>
      <c r="N4" s="1622"/>
      <c r="O4" s="1622"/>
      <c r="P4" s="1477" t="s">
        <v>286</v>
      </c>
      <c r="Q4" s="1470" t="s">
        <v>13</v>
      </c>
      <c r="R4" s="1470"/>
      <c r="S4" s="1470"/>
      <c r="T4" s="1470" t="s">
        <v>14</v>
      </c>
      <c r="U4" s="1560"/>
    </row>
    <row r="5" spans="1:24" ht="59.25" customHeight="1" thickBot="1">
      <c r="A5" s="1480"/>
      <c r="B5" s="1481"/>
      <c r="C5" s="1481"/>
      <c r="D5" s="1481"/>
      <c r="E5" s="1483"/>
      <c r="F5" s="1483"/>
      <c r="G5" s="1629"/>
      <c r="H5" s="221" t="s">
        <v>275</v>
      </c>
      <c r="I5" s="222" t="s">
        <v>276</v>
      </c>
      <c r="J5" s="1566"/>
      <c r="K5" s="1567"/>
      <c r="L5" s="1567"/>
      <c r="M5" s="1623"/>
      <c r="N5" s="1623"/>
      <c r="O5" s="1623"/>
      <c r="P5" s="1624"/>
      <c r="Q5" s="188" t="s">
        <v>17</v>
      </c>
      <c r="R5" s="188" t="s">
        <v>349</v>
      </c>
      <c r="S5" s="188" t="s">
        <v>18</v>
      </c>
      <c r="T5" s="1481"/>
      <c r="U5" s="1561"/>
    </row>
    <row r="6" spans="1:24" ht="23.25" customHeight="1">
      <c r="A6" s="1639">
        <f>IF(X6=1,1,0)</f>
        <v>0</v>
      </c>
      <c r="B6" s="1536" t="s">
        <v>277</v>
      </c>
      <c r="C6" s="1536"/>
      <c r="D6" s="1536"/>
      <c r="E6" s="1540"/>
      <c r="F6" s="1540"/>
      <c r="G6" s="1540"/>
      <c r="H6" s="1537"/>
      <c r="I6" s="1537"/>
      <c r="J6" s="1540"/>
      <c r="K6" s="1540"/>
      <c r="L6" s="1540"/>
      <c r="M6" s="1625"/>
      <c r="N6" s="1626"/>
      <c r="O6" s="1627"/>
      <c r="P6" s="1621"/>
      <c r="Q6" s="1557">
        <f ca="1">IF(X6=0,0,IF(AND(P6='Data Base'!J16,G9&gt;0.5),0,G9*(IF(EXACT(M9,"نفر اول"),INDIRECT(CONCATENATE("'Data Base'!$C",J9)),INDIRECT(CONCATENATE("'Data Base'!$D",J9))))*((100-P9)/100)))</f>
        <v>0</v>
      </c>
      <c r="R6" s="1630">
        <f ca="1">IF(X6=0,0,IF(AND(P6='Data Base'!J16,G10&gt;0.5),0,G10*(IF(EXACT(M10,"نفر اول"),INDIRECT(CONCATENATE("'Data Base'!$C",J10)),INDIRECT(CONCATENATE("'Data Base'!$D",J10))))*((100-P10)/100)))</f>
        <v>0</v>
      </c>
      <c r="S6" s="1631"/>
      <c r="T6" s="1540"/>
      <c r="U6" s="1632"/>
      <c r="W6" s="220">
        <f>X6</f>
        <v>0</v>
      </c>
      <c r="X6" s="220">
        <f>IF(OR(E6="",P6="",J6="",M6="",D8="",C8="",B8=""),0,1)</f>
        <v>0</v>
      </c>
    </row>
    <row r="7" spans="1:24" ht="23.25" customHeight="1">
      <c r="A7" s="1574"/>
      <c r="B7" s="553" t="s">
        <v>230</v>
      </c>
      <c r="C7" s="553" t="s">
        <v>231</v>
      </c>
      <c r="D7" s="553" t="s">
        <v>16</v>
      </c>
      <c r="E7" s="1541"/>
      <c r="F7" s="1541"/>
      <c r="G7" s="1541"/>
      <c r="H7" s="1538"/>
      <c r="I7" s="1538"/>
      <c r="J7" s="1541"/>
      <c r="K7" s="1541"/>
      <c r="L7" s="1541"/>
      <c r="M7" s="1548"/>
      <c r="N7" s="1549"/>
      <c r="O7" s="1550"/>
      <c r="P7" s="1555"/>
      <c r="Q7" s="1558"/>
      <c r="R7" s="1598"/>
      <c r="S7" s="1599"/>
      <c r="T7" s="1541"/>
      <c r="U7" s="1601"/>
    </row>
    <row r="8" spans="1:24" ht="23.25" customHeight="1">
      <c r="A8" s="1640"/>
      <c r="B8" s="554"/>
      <c r="C8" s="554"/>
      <c r="D8" s="554"/>
      <c r="E8" s="1542"/>
      <c r="F8" s="1542"/>
      <c r="G8" s="1542"/>
      <c r="H8" s="1539"/>
      <c r="I8" s="1539"/>
      <c r="J8" s="1542"/>
      <c r="K8" s="1542"/>
      <c r="L8" s="1542"/>
      <c r="M8" s="1548"/>
      <c r="N8" s="1549"/>
      <c r="O8" s="1550"/>
      <c r="P8" s="1555"/>
      <c r="Q8" s="1559"/>
      <c r="R8" s="1579"/>
      <c r="S8" s="1582"/>
      <c r="T8" s="1542"/>
      <c r="U8" s="1602"/>
    </row>
    <row r="9" spans="1:24" ht="20.25">
      <c r="A9" s="1633" t="s">
        <v>279</v>
      </c>
      <c r="B9" s="1634"/>
      <c r="C9" s="1634"/>
      <c r="D9" s="1635"/>
      <c r="E9" s="1591" t="s">
        <v>800</v>
      </c>
      <c r="F9" s="1591"/>
      <c r="G9" s="555"/>
      <c r="H9" s="1499" t="s">
        <v>801</v>
      </c>
      <c r="I9" s="1499"/>
      <c r="J9" s="518"/>
      <c r="K9" s="1499" t="s">
        <v>802</v>
      </c>
      <c r="L9" s="1499"/>
      <c r="M9" s="556"/>
      <c r="N9" s="1499" t="s">
        <v>803</v>
      </c>
      <c r="O9" s="1499"/>
      <c r="P9" s="557"/>
      <c r="Q9" s="1570" t="s">
        <v>280</v>
      </c>
      <c r="R9" s="1570"/>
      <c r="S9" s="1568"/>
      <c r="T9" s="1568"/>
      <c r="U9" s="1569"/>
    </row>
    <row r="10" spans="1:24" ht="20.25">
      <c r="A10" s="1636" t="s">
        <v>30</v>
      </c>
      <c r="B10" s="1637"/>
      <c r="C10" s="1637"/>
      <c r="D10" s="1638"/>
      <c r="E10" s="1603" t="s">
        <v>800</v>
      </c>
      <c r="F10" s="1604"/>
      <c r="G10" s="558"/>
      <c r="H10" s="1607" t="s">
        <v>801</v>
      </c>
      <c r="I10" s="1607"/>
      <c r="J10" s="559"/>
      <c r="K10" s="1607" t="s">
        <v>802</v>
      </c>
      <c r="L10" s="1607"/>
      <c r="M10" s="560"/>
      <c r="N10" s="1607" t="s">
        <v>803</v>
      </c>
      <c r="O10" s="1607"/>
      <c r="P10" s="561"/>
      <c r="Q10" s="1571" t="s">
        <v>280</v>
      </c>
      <c r="R10" s="1571"/>
      <c r="S10" s="1605"/>
      <c r="T10" s="1605"/>
      <c r="U10" s="1606"/>
    </row>
    <row r="11" spans="1:24" ht="24" customHeight="1">
      <c r="A11" s="1596">
        <f>IF(X11=0,0,W11)</f>
        <v>0</v>
      </c>
      <c r="B11" s="1597" t="s">
        <v>278</v>
      </c>
      <c r="C11" s="1597"/>
      <c r="D11" s="1597"/>
      <c r="E11" s="1545"/>
      <c r="F11" s="1546"/>
      <c r="G11" s="1547"/>
      <c r="H11" s="1539"/>
      <c r="I11" s="1539"/>
      <c r="J11" s="1545"/>
      <c r="K11" s="1546"/>
      <c r="L11" s="1547"/>
      <c r="M11" s="1545"/>
      <c r="N11" s="1546"/>
      <c r="O11" s="1547"/>
      <c r="P11" s="1554"/>
      <c r="Q11" s="1559">
        <f ca="1">IF(X11=0,0,IF(AND(P11='Data Base'!J21,G14&gt;0.5),0,G14*(IF(EXACT(M14,"نفر اول"),INDIRECT(CONCATENATE("'Data Base'!$C",J14)),INDIRECT(CONCATENATE("'Data Base'!$D",J14))))*((100-P14)/100)))</f>
        <v>0</v>
      </c>
      <c r="R11" s="1579">
        <f ca="1">IF(X11=0,0,IF(AND(P11='Data Base'!J21,G15&gt;0.5),0,G15*(IF(EXACT(M15,"نفر اول"),INDIRECT(CONCATENATE("'Data Base'!$C",J15)),INDIRECT(CONCATENATE("'Data Base'!$D",J15))))*((100-P15)/100)))</f>
        <v>0</v>
      </c>
      <c r="S11" s="1582"/>
      <c r="T11" s="1545"/>
      <c r="U11" s="1585"/>
      <c r="W11" s="220">
        <f>SUM(W6,X11)</f>
        <v>0</v>
      </c>
      <c r="X11" s="220">
        <f>IF(OR(E11="",P11="",J11="",M11="",D13="",C13="",B13=""),0,1)</f>
        <v>0</v>
      </c>
    </row>
    <row r="12" spans="1:24" ht="21" customHeight="1">
      <c r="A12" s="1574"/>
      <c r="B12" s="553" t="s">
        <v>230</v>
      </c>
      <c r="C12" s="553" t="s">
        <v>231</v>
      </c>
      <c r="D12" s="553" t="s">
        <v>16</v>
      </c>
      <c r="E12" s="1548"/>
      <c r="F12" s="1549"/>
      <c r="G12" s="1550"/>
      <c r="H12" s="1543"/>
      <c r="I12" s="1543"/>
      <c r="J12" s="1548"/>
      <c r="K12" s="1549"/>
      <c r="L12" s="1550"/>
      <c r="M12" s="1548"/>
      <c r="N12" s="1549"/>
      <c r="O12" s="1550"/>
      <c r="P12" s="1555"/>
      <c r="Q12" s="1578"/>
      <c r="R12" s="1580"/>
      <c r="S12" s="1583"/>
      <c r="T12" s="1548"/>
      <c r="U12" s="1586"/>
    </row>
    <row r="13" spans="1:24" ht="21" customHeight="1">
      <c r="A13" s="1574"/>
      <c r="B13" s="562"/>
      <c r="C13" s="562"/>
      <c r="D13" s="562"/>
      <c r="E13" s="1551"/>
      <c r="F13" s="1552"/>
      <c r="G13" s="1553"/>
      <c r="H13" s="1544"/>
      <c r="I13" s="1544"/>
      <c r="J13" s="1551"/>
      <c r="K13" s="1552"/>
      <c r="L13" s="1553"/>
      <c r="M13" s="1551"/>
      <c r="N13" s="1552"/>
      <c r="O13" s="1553"/>
      <c r="P13" s="1556"/>
      <c r="Q13" s="1577"/>
      <c r="R13" s="1581"/>
      <c r="S13" s="1584"/>
      <c r="T13" s="1551"/>
      <c r="U13" s="1587"/>
    </row>
    <row r="14" spans="1:24" ht="20.25">
      <c r="A14" s="1588" t="s">
        <v>279</v>
      </c>
      <c r="B14" s="1589"/>
      <c r="C14" s="1589"/>
      <c r="D14" s="1589"/>
      <c r="E14" s="1590" t="s">
        <v>800</v>
      </c>
      <c r="F14" s="1591"/>
      <c r="G14" s="555"/>
      <c r="H14" s="1499" t="s">
        <v>801</v>
      </c>
      <c r="I14" s="1499"/>
      <c r="J14" s="518"/>
      <c r="K14" s="1499" t="s">
        <v>802</v>
      </c>
      <c r="L14" s="1499"/>
      <c r="M14" s="556"/>
      <c r="N14" s="1499" t="s">
        <v>803</v>
      </c>
      <c r="O14" s="1499"/>
      <c r="P14" s="557"/>
      <c r="Q14" s="1570" t="s">
        <v>280</v>
      </c>
      <c r="R14" s="1570"/>
      <c r="S14" s="1568"/>
      <c r="T14" s="1568"/>
      <c r="U14" s="1569"/>
    </row>
    <row r="15" spans="1:24" ht="20.25">
      <c r="A15" s="1592" t="s">
        <v>30</v>
      </c>
      <c r="B15" s="1593"/>
      <c r="C15" s="1593"/>
      <c r="D15" s="1593"/>
      <c r="E15" s="1594" t="s">
        <v>800</v>
      </c>
      <c r="F15" s="1595"/>
      <c r="G15" s="558"/>
      <c r="H15" s="1500" t="s">
        <v>801</v>
      </c>
      <c r="I15" s="1500"/>
      <c r="J15" s="559"/>
      <c r="K15" s="1500" t="s">
        <v>802</v>
      </c>
      <c r="L15" s="1500"/>
      <c r="M15" s="560"/>
      <c r="N15" s="1500" t="s">
        <v>803</v>
      </c>
      <c r="O15" s="1500"/>
      <c r="P15" s="561"/>
      <c r="Q15" s="1570" t="s">
        <v>280</v>
      </c>
      <c r="R15" s="1570"/>
      <c r="S15" s="1572"/>
      <c r="T15" s="1572"/>
      <c r="U15" s="1573"/>
    </row>
    <row r="16" spans="1:24" ht="29.25" customHeight="1">
      <c r="A16" s="1574">
        <f>IF(X16=0,0,W16)</f>
        <v>0</v>
      </c>
      <c r="B16" s="1575"/>
      <c r="C16" s="1575"/>
      <c r="D16" s="1575"/>
      <c r="E16" s="1576"/>
      <c r="F16" s="1576"/>
      <c r="G16" s="1576"/>
      <c r="H16" s="1544"/>
      <c r="I16" s="1544"/>
      <c r="J16" s="1576"/>
      <c r="K16" s="1576"/>
      <c r="L16" s="1576"/>
      <c r="M16" s="1548"/>
      <c r="N16" s="1549"/>
      <c r="O16" s="1550"/>
      <c r="P16" s="1555"/>
      <c r="Q16" s="1577">
        <f ca="1">IF(X16=0,0,IF(AND(P16='Data Base'!J26,G19&gt;0.5),0,G19*(IF(EXACT(M19,"نفر اول"),INDIRECT(CONCATENATE("'Data Base'!$C",J19)),INDIRECT(CONCATENATE("'Data Base'!$D",J19))))*((100-P19)/100)))</f>
        <v>0</v>
      </c>
      <c r="R16" s="1581">
        <f ca="1">IF(X16=0,0,IF(AND(P16='Data Base'!J26,G20&gt;0.5),0,G20*(IF(EXACT(M20,"نفر اول"),INDIRECT(CONCATENATE("'Data Base'!$C",J20)),INDIRECT(CONCATENATE("'Data Base'!$D",J20))))*((100-P20)/100)))</f>
        <v>0</v>
      </c>
      <c r="S16" s="1584"/>
      <c r="T16" s="1576"/>
      <c r="U16" s="1600"/>
      <c r="W16" s="220">
        <f t="shared" ref="W16" si="0">SUM(W11,X16)</f>
        <v>0</v>
      </c>
      <c r="X16" s="220">
        <f>IF(OR(E16="",P16="",J16="",M16="",D18="",C18="",B18=""),0,1)</f>
        <v>0</v>
      </c>
    </row>
    <row r="17" spans="1:24" ht="21" customHeight="1">
      <c r="A17" s="1574"/>
      <c r="B17" s="553" t="s">
        <v>230</v>
      </c>
      <c r="C17" s="553" t="s">
        <v>231</v>
      </c>
      <c r="D17" s="553" t="s">
        <v>16</v>
      </c>
      <c r="E17" s="1541"/>
      <c r="F17" s="1541"/>
      <c r="G17" s="1541"/>
      <c r="H17" s="1538"/>
      <c r="I17" s="1538"/>
      <c r="J17" s="1541"/>
      <c r="K17" s="1541"/>
      <c r="L17" s="1541"/>
      <c r="M17" s="1548"/>
      <c r="N17" s="1549"/>
      <c r="O17" s="1550"/>
      <c r="P17" s="1555"/>
      <c r="Q17" s="1558"/>
      <c r="R17" s="1598"/>
      <c r="S17" s="1599"/>
      <c r="T17" s="1541"/>
      <c r="U17" s="1601"/>
    </row>
    <row r="18" spans="1:24" ht="21" customHeight="1">
      <c r="A18" s="1574"/>
      <c r="B18" s="562"/>
      <c r="C18" s="562"/>
      <c r="D18" s="562"/>
      <c r="E18" s="1542"/>
      <c r="F18" s="1542"/>
      <c r="G18" s="1542"/>
      <c r="H18" s="1539"/>
      <c r="I18" s="1539"/>
      <c r="J18" s="1542"/>
      <c r="K18" s="1542"/>
      <c r="L18" s="1542"/>
      <c r="M18" s="1548"/>
      <c r="N18" s="1549"/>
      <c r="O18" s="1550"/>
      <c r="P18" s="1555"/>
      <c r="Q18" s="1559"/>
      <c r="R18" s="1579"/>
      <c r="S18" s="1582"/>
      <c r="T18" s="1542"/>
      <c r="U18" s="1602"/>
    </row>
    <row r="19" spans="1:24" ht="20.25">
      <c r="A19" s="1588" t="s">
        <v>279</v>
      </c>
      <c r="B19" s="1589"/>
      <c r="C19" s="1589"/>
      <c r="D19" s="1589"/>
      <c r="E19" s="1591" t="s">
        <v>800</v>
      </c>
      <c r="F19" s="1591"/>
      <c r="G19" s="555"/>
      <c r="H19" s="1499" t="s">
        <v>801</v>
      </c>
      <c r="I19" s="1499"/>
      <c r="J19" s="518"/>
      <c r="K19" s="1499" t="s">
        <v>802</v>
      </c>
      <c r="L19" s="1499"/>
      <c r="M19" s="556"/>
      <c r="N19" s="1499" t="s">
        <v>803</v>
      </c>
      <c r="O19" s="1499"/>
      <c r="P19" s="557"/>
      <c r="Q19" s="1570" t="s">
        <v>280</v>
      </c>
      <c r="R19" s="1570"/>
      <c r="S19" s="1568"/>
      <c r="T19" s="1568"/>
      <c r="U19" s="1569"/>
    </row>
    <row r="20" spans="1:24" ht="20.25">
      <c r="A20" s="1592" t="s">
        <v>30</v>
      </c>
      <c r="B20" s="1593"/>
      <c r="C20" s="1593"/>
      <c r="D20" s="1593"/>
      <c r="E20" s="1603" t="s">
        <v>800</v>
      </c>
      <c r="F20" s="1604"/>
      <c r="G20" s="558"/>
      <c r="H20" s="1607" t="s">
        <v>801</v>
      </c>
      <c r="I20" s="1607"/>
      <c r="J20" s="559"/>
      <c r="K20" s="1607" t="s">
        <v>802</v>
      </c>
      <c r="L20" s="1607"/>
      <c r="M20" s="560"/>
      <c r="N20" s="1607" t="s">
        <v>803</v>
      </c>
      <c r="O20" s="1607"/>
      <c r="P20" s="561"/>
      <c r="Q20" s="1571" t="s">
        <v>280</v>
      </c>
      <c r="R20" s="1571"/>
      <c r="S20" s="1605"/>
      <c r="T20" s="1605"/>
      <c r="U20" s="1606"/>
    </row>
    <row r="21" spans="1:24" ht="29.25" customHeight="1">
      <c r="A21" s="1574">
        <f>IF(X21=0,0,W21)</f>
        <v>0</v>
      </c>
      <c r="B21" s="1575" t="s">
        <v>277</v>
      </c>
      <c r="C21" s="1575"/>
      <c r="D21" s="1575"/>
      <c r="E21" s="1576"/>
      <c r="F21" s="1576"/>
      <c r="G21" s="1576"/>
      <c r="H21" s="1544"/>
      <c r="I21" s="1544"/>
      <c r="J21" s="1576"/>
      <c r="K21" s="1576"/>
      <c r="L21" s="1576"/>
      <c r="M21" s="1548"/>
      <c r="N21" s="1549"/>
      <c r="O21" s="1550"/>
      <c r="P21" s="1555"/>
      <c r="Q21" s="1577">
        <f ca="1">IF(X21=0,0,IF(AND(P21='Data Base'!J31,G24&gt;0.5),0,G24*(IF(EXACT(M24,"نفر اول"),INDIRECT(CONCATENATE("'Data Base'!$C",J24)),INDIRECT(CONCATENATE("'Data Base'!$D",J24))))*((100-P24)/100)))</f>
        <v>0</v>
      </c>
      <c r="R21" s="1581">
        <f ca="1">IF(X21=0,0,IF(AND(P21='Data Base'!J31,G25&gt;0.5),0,G25*(IF(EXACT(M25,"نفر اول"),INDIRECT(CONCATENATE("'Data Base'!$C",J25)),INDIRECT(CONCATENATE("'Data Base'!$D",J25))))*((100-P25)/100)))</f>
        <v>0</v>
      </c>
      <c r="S21" s="1584"/>
      <c r="T21" s="1576"/>
      <c r="U21" s="1600"/>
      <c r="W21" s="220">
        <f t="shared" ref="W21" si="1">SUM(W16,X21)</f>
        <v>0</v>
      </c>
      <c r="X21" s="220">
        <f>IF(OR(E21="",P21="",J21="",M21="",D23="",C23="",B23=""),0,1)</f>
        <v>0</v>
      </c>
    </row>
    <row r="22" spans="1:24" ht="21" customHeight="1">
      <c r="A22" s="1574"/>
      <c r="B22" s="553" t="s">
        <v>230</v>
      </c>
      <c r="C22" s="553" t="s">
        <v>231</v>
      </c>
      <c r="D22" s="553" t="s">
        <v>16</v>
      </c>
      <c r="E22" s="1541"/>
      <c r="F22" s="1541"/>
      <c r="G22" s="1541"/>
      <c r="H22" s="1538"/>
      <c r="I22" s="1538"/>
      <c r="J22" s="1541"/>
      <c r="K22" s="1541"/>
      <c r="L22" s="1541"/>
      <c r="M22" s="1548"/>
      <c r="N22" s="1549"/>
      <c r="O22" s="1550"/>
      <c r="P22" s="1555"/>
      <c r="Q22" s="1558"/>
      <c r="R22" s="1598"/>
      <c r="S22" s="1599"/>
      <c r="T22" s="1541"/>
      <c r="U22" s="1601"/>
    </row>
    <row r="23" spans="1:24" ht="21" customHeight="1">
      <c r="A23" s="1574"/>
      <c r="B23" s="562"/>
      <c r="C23" s="562"/>
      <c r="D23" s="562"/>
      <c r="E23" s="1542"/>
      <c r="F23" s="1542"/>
      <c r="G23" s="1542"/>
      <c r="H23" s="1539"/>
      <c r="I23" s="1539"/>
      <c r="J23" s="1542"/>
      <c r="K23" s="1542"/>
      <c r="L23" s="1542"/>
      <c r="M23" s="1548"/>
      <c r="N23" s="1549"/>
      <c r="O23" s="1550"/>
      <c r="P23" s="1555"/>
      <c r="Q23" s="1559"/>
      <c r="R23" s="1579"/>
      <c r="S23" s="1582"/>
      <c r="T23" s="1542"/>
      <c r="U23" s="1602"/>
    </row>
    <row r="24" spans="1:24" ht="20.25">
      <c r="A24" s="1588" t="s">
        <v>279</v>
      </c>
      <c r="B24" s="1589"/>
      <c r="C24" s="1589"/>
      <c r="D24" s="1589"/>
      <c r="E24" s="1591" t="s">
        <v>800</v>
      </c>
      <c r="F24" s="1591"/>
      <c r="G24" s="555"/>
      <c r="H24" s="1499" t="s">
        <v>801</v>
      </c>
      <c r="I24" s="1499"/>
      <c r="J24" s="518"/>
      <c r="K24" s="1499" t="s">
        <v>802</v>
      </c>
      <c r="L24" s="1499"/>
      <c r="M24" s="556"/>
      <c r="N24" s="1499" t="s">
        <v>803</v>
      </c>
      <c r="O24" s="1499"/>
      <c r="P24" s="557"/>
      <c r="Q24" s="1570" t="s">
        <v>280</v>
      </c>
      <c r="R24" s="1570"/>
      <c r="S24" s="1568"/>
      <c r="T24" s="1568"/>
      <c r="U24" s="1569"/>
    </row>
    <row r="25" spans="1:24" ht="20.25">
      <c r="A25" s="1592" t="s">
        <v>30</v>
      </c>
      <c r="B25" s="1593"/>
      <c r="C25" s="1593"/>
      <c r="D25" s="1593"/>
      <c r="E25" s="1603" t="s">
        <v>800</v>
      </c>
      <c r="F25" s="1604"/>
      <c r="G25" s="558"/>
      <c r="H25" s="1607" t="s">
        <v>801</v>
      </c>
      <c r="I25" s="1607"/>
      <c r="J25" s="559"/>
      <c r="K25" s="1607" t="s">
        <v>802</v>
      </c>
      <c r="L25" s="1607"/>
      <c r="M25" s="560"/>
      <c r="N25" s="1607" t="s">
        <v>803</v>
      </c>
      <c r="O25" s="1607"/>
      <c r="P25" s="561"/>
      <c r="Q25" s="1571" t="s">
        <v>280</v>
      </c>
      <c r="R25" s="1571"/>
      <c r="S25" s="1605"/>
      <c r="T25" s="1605"/>
      <c r="U25" s="1606"/>
    </row>
    <row r="26" spans="1:24" ht="29.25" customHeight="1">
      <c r="A26" s="1574">
        <f t="shared" ref="A26" si="2">IF(X26=0,0,W26)</f>
        <v>0</v>
      </c>
      <c r="B26" s="1575"/>
      <c r="C26" s="1575"/>
      <c r="D26" s="1575"/>
      <c r="E26" s="1576"/>
      <c r="F26" s="1576"/>
      <c r="G26" s="1576"/>
      <c r="H26" s="1544"/>
      <c r="I26" s="1544"/>
      <c r="J26" s="1576"/>
      <c r="K26" s="1576"/>
      <c r="L26" s="1576"/>
      <c r="M26" s="1548"/>
      <c r="N26" s="1549"/>
      <c r="O26" s="1550"/>
      <c r="P26" s="1555"/>
      <c r="Q26" s="1577">
        <f ca="1">IF(X26=0,0,IF(AND(P26='Data Base'!J36,G29&gt;0.5),0,G29*(IF(EXACT(M29,"نفر اول"),INDIRECT(CONCATENATE("'Data Base'!$C",J29)),INDIRECT(CONCATENATE("'Data Base'!$D",J29))))*((100-P29)/100)))</f>
        <v>0</v>
      </c>
      <c r="R26" s="1581">
        <f ca="1">IF(X26=0,0,IF(AND(P26='Data Base'!J36,G30&gt;0.5),0,G30*(IF(EXACT(M30,"نفر اول"),INDIRECT(CONCATENATE("'Data Base'!$C",J30)),INDIRECT(CONCATENATE("'Data Base'!$D",J30))))*((100-P30)/100)))</f>
        <v>0</v>
      </c>
      <c r="S26" s="1584"/>
      <c r="T26" s="1576"/>
      <c r="U26" s="1600"/>
      <c r="W26" s="220">
        <f t="shared" ref="W26" si="3">SUM(W21,X26)</f>
        <v>0</v>
      </c>
      <c r="X26" s="220">
        <f>IF(OR(E26="",P26="",J26="",M26="",D28="",C28="",B28=""),0,1)</f>
        <v>0</v>
      </c>
    </row>
    <row r="27" spans="1:24" ht="21" customHeight="1">
      <c r="A27" s="1574"/>
      <c r="B27" s="553" t="s">
        <v>230</v>
      </c>
      <c r="C27" s="553" t="s">
        <v>231</v>
      </c>
      <c r="D27" s="553" t="s">
        <v>16</v>
      </c>
      <c r="E27" s="1541"/>
      <c r="F27" s="1541"/>
      <c r="G27" s="1541"/>
      <c r="H27" s="1538"/>
      <c r="I27" s="1538"/>
      <c r="J27" s="1541"/>
      <c r="K27" s="1541"/>
      <c r="L27" s="1541"/>
      <c r="M27" s="1548"/>
      <c r="N27" s="1549"/>
      <c r="O27" s="1550"/>
      <c r="P27" s="1555"/>
      <c r="Q27" s="1558"/>
      <c r="R27" s="1598"/>
      <c r="S27" s="1599"/>
      <c r="T27" s="1541"/>
      <c r="U27" s="1601"/>
    </row>
    <row r="28" spans="1:24" ht="21" customHeight="1">
      <c r="A28" s="1574"/>
      <c r="B28" s="562"/>
      <c r="C28" s="562"/>
      <c r="D28" s="562"/>
      <c r="E28" s="1542"/>
      <c r="F28" s="1542"/>
      <c r="G28" s="1542"/>
      <c r="H28" s="1539"/>
      <c r="I28" s="1539"/>
      <c r="J28" s="1542"/>
      <c r="K28" s="1542"/>
      <c r="L28" s="1542"/>
      <c r="M28" s="1548"/>
      <c r="N28" s="1549"/>
      <c r="O28" s="1550"/>
      <c r="P28" s="1555"/>
      <c r="Q28" s="1559"/>
      <c r="R28" s="1579"/>
      <c r="S28" s="1582"/>
      <c r="T28" s="1542"/>
      <c r="U28" s="1602"/>
    </row>
    <row r="29" spans="1:24" ht="20.25">
      <c r="A29" s="1588" t="s">
        <v>279</v>
      </c>
      <c r="B29" s="1589"/>
      <c r="C29" s="1589"/>
      <c r="D29" s="1589"/>
      <c r="E29" s="1591" t="s">
        <v>800</v>
      </c>
      <c r="F29" s="1591"/>
      <c r="G29" s="555"/>
      <c r="H29" s="1499" t="s">
        <v>801</v>
      </c>
      <c r="I29" s="1499"/>
      <c r="J29" s="518"/>
      <c r="K29" s="1499" t="s">
        <v>802</v>
      </c>
      <c r="L29" s="1499"/>
      <c r="M29" s="556"/>
      <c r="N29" s="1499" t="s">
        <v>803</v>
      </c>
      <c r="O29" s="1499"/>
      <c r="P29" s="557"/>
      <c r="Q29" s="1570" t="s">
        <v>280</v>
      </c>
      <c r="R29" s="1570"/>
      <c r="S29" s="1568"/>
      <c r="T29" s="1568"/>
      <c r="U29" s="1569"/>
    </row>
    <row r="30" spans="1:24" ht="20.25">
      <c r="A30" s="1592" t="s">
        <v>30</v>
      </c>
      <c r="B30" s="1593"/>
      <c r="C30" s="1593"/>
      <c r="D30" s="1593"/>
      <c r="E30" s="1603" t="s">
        <v>800</v>
      </c>
      <c r="F30" s="1604"/>
      <c r="G30" s="558"/>
      <c r="H30" s="1607" t="s">
        <v>801</v>
      </c>
      <c r="I30" s="1607"/>
      <c r="J30" s="559"/>
      <c r="K30" s="1607" t="s">
        <v>802</v>
      </c>
      <c r="L30" s="1607"/>
      <c r="M30" s="560"/>
      <c r="N30" s="1607" t="s">
        <v>803</v>
      </c>
      <c r="O30" s="1607"/>
      <c r="P30" s="561"/>
      <c r="Q30" s="1571" t="s">
        <v>280</v>
      </c>
      <c r="R30" s="1571"/>
      <c r="S30" s="1605"/>
      <c r="T30" s="1605"/>
      <c r="U30" s="1606"/>
    </row>
    <row r="31" spans="1:24" ht="29.25" customHeight="1">
      <c r="A31" s="1574">
        <f t="shared" ref="A31" si="4">IF(X31=0,0,W31)</f>
        <v>0</v>
      </c>
      <c r="B31" s="1575"/>
      <c r="C31" s="1575"/>
      <c r="D31" s="1575"/>
      <c r="E31" s="1576"/>
      <c r="F31" s="1576"/>
      <c r="G31" s="1576"/>
      <c r="H31" s="1544"/>
      <c r="I31" s="1544"/>
      <c r="J31" s="1576"/>
      <c r="K31" s="1576"/>
      <c r="L31" s="1576"/>
      <c r="M31" s="1548"/>
      <c r="N31" s="1549"/>
      <c r="O31" s="1550"/>
      <c r="P31" s="1555"/>
      <c r="Q31" s="1577">
        <f ca="1">IF(X31=0,0,IF(AND(P31='Data Base'!J41,G34&gt;0.5),0,G34*(IF(EXACT(M34,"نفر اول"),INDIRECT(CONCATENATE("'Data Base'!$C",J34)),INDIRECT(CONCATENATE("'Data Base'!$D",J34))))*((100-P34)/100)))</f>
        <v>0</v>
      </c>
      <c r="R31" s="1581">
        <f ca="1">IF(X31=0,0,IF(AND(P31='Data Base'!J41,G35&gt;0.5),0,G35*(IF(EXACT(M35,"نفر اول"),INDIRECT(CONCATENATE("'Data Base'!$C",J35)),INDIRECT(CONCATENATE("'Data Base'!$D",J35))))*((100-P35)/100)))</f>
        <v>0</v>
      </c>
      <c r="S31" s="1584"/>
      <c r="T31" s="1576"/>
      <c r="U31" s="1600"/>
      <c r="W31" s="220">
        <f t="shared" ref="W31" si="5">SUM(W26,X31)</f>
        <v>0</v>
      </c>
      <c r="X31" s="220">
        <f>IF(OR(E31="",P31="",J31="",M31="",D33="",C33="",B33=""),0,1)</f>
        <v>0</v>
      </c>
    </row>
    <row r="32" spans="1:24" ht="21" customHeight="1">
      <c r="A32" s="1574"/>
      <c r="B32" s="553" t="s">
        <v>230</v>
      </c>
      <c r="C32" s="553" t="s">
        <v>231</v>
      </c>
      <c r="D32" s="553" t="s">
        <v>16</v>
      </c>
      <c r="E32" s="1541"/>
      <c r="F32" s="1541"/>
      <c r="G32" s="1541"/>
      <c r="H32" s="1538"/>
      <c r="I32" s="1538"/>
      <c r="J32" s="1541"/>
      <c r="K32" s="1541"/>
      <c r="L32" s="1541"/>
      <c r="M32" s="1548"/>
      <c r="N32" s="1549"/>
      <c r="O32" s="1550"/>
      <c r="P32" s="1555"/>
      <c r="Q32" s="1558"/>
      <c r="R32" s="1598"/>
      <c r="S32" s="1599"/>
      <c r="T32" s="1541"/>
      <c r="U32" s="1601"/>
    </row>
    <row r="33" spans="1:24" ht="21" customHeight="1">
      <c r="A33" s="1574"/>
      <c r="B33" s="562"/>
      <c r="C33" s="562"/>
      <c r="D33" s="562"/>
      <c r="E33" s="1542"/>
      <c r="F33" s="1542"/>
      <c r="G33" s="1542"/>
      <c r="H33" s="1539"/>
      <c r="I33" s="1539"/>
      <c r="J33" s="1542"/>
      <c r="K33" s="1542"/>
      <c r="L33" s="1542"/>
      <c r="M33" s="1548"/>
      <c r="N33" s="1549"/>
      <c r="O33" s="1550"/>
      <c r="P33" s="1555"/>
      <c r="Q33" s="1559"/>
      <c r="R33" s="1579"/>
      <c r="S33" s="1582"/>
      <c r="T33" s="1542"/>
      <c r="U33" s="1602"/>
    </row>
    <row r="34" spans="1:24" ht="20.25">
      <c r="A34" s="1588" t="s">
        <v>279</v>
      </c>
      <c r="B34" s="1589"/>
      <c r="C34" s="1589"/>
      <c r="D34" s="1589"/>
      <c r="E34" s="1591" t="s">
        <v>800</v>
      </c>
      <c r="F34" s="1591"/>
      <c r="G34" s="555"/>
      <c r="H34" s="1499" t="s">
        <v>801</v>
      </c>
      <c r="I34" s="1499"/>
      <c r="J34" s="518"/>
      <c r="K34" s="1499" t="s">
        <v>802</v>
      </c>
      <c r="L34" s="1499"/>
      <c r="M34" s="556"/>
      <c r="N34" s="1499" t="s">
        <v>803</v>
      </c>
      <c r="O34" s="1499"/>
      <c r="P34" s="557"/>
      <c r="Q34" s="1570" t="s">
        <v>280</v>
      </c>
      <c r="R34" s="1570"/>
      <c r="S34" s="1568"/>
      <c r="T34" s="1568"/>
      <c r="U34" s="1569"/>
    </row>
    <row r="35" spans="1:24" ht="20.25">
      <c r="A35" s="1592" t="s">
        <v>30</v>
      </c>
      <c r="B35" s="1593"/>
      <c r="C35" s="1593"/>
      <c r="D35" s="1608"/>
      <c r="E35" s="1603" t="s">
        <v>800</v>
      </c>
      <c r="F35" s="1604"/>
      <c r="G35" s="558"/>
      <c r="H35" s="1607" t="s">
        <v>801</v>
      </c>
      <c r="I35" s="1607"/>
      <c r="J35" s="559"/>
      <c r="K35" s="1607" t="s">
        <v>802</v>
      </c>
      <c r="L35" s="1607"/>
      <c r="M35" s="560"/>
      <c r="N35" s="1607" t="s">
        <v>803</v>
      </c>
      <c r="O35" s="1607"/>
      <c r="P35" s="561"/>
      <c r="Q35" s="1571" t="s">
        <v>280</v>
      </c>
      <c r="R35" s="1571"/>
      <c r="S35" s="1605"/>
      <c r="T35" s="1605"/>
      <c r="U35" s="1606"/>
    </row>
    <row r="36" spans="1:24" ht="29.25" customHeight="1">
      <c r="A36" s="1574">
        <f t="shared" ref="A36" si="6">IF(X36=0,0,W36)</f>
        <v>0</v>
      </c>
      <c r="B36" s="1575"/>
      <c r="C36" s="1575"/>
      <c r="D36" s="1575"/>
      <c r="E36" s="1576"/>
      <c r="F36" s="1576"/>
      <c r="G36" s="1576"/>
      <c r="H36" s="1544"/>
      <c r="I36" s="1544"/>
      <c r="J36" s="1576"/>
      <c r="K36" s="1576"/>
      <c r="L36" s="1576"/>
      <c r="M36" s="1548"/>
      <c r="N36" s="1549"/>
      <c r="O36" s="1550"/>
      <c r="P36" s="1555"/>
      <c r="Q36" s="1577">
        <f ca="1">IF(X36=0,0,IF(AND(P36='Data Base'!J46,G39&gt;0.5),0,G39*(IF(EXACT(M39,"نفر اول"),INDIRECT(CONCATENATE("'Data Base'!$C",J39)),INDIRECT(CONCATENATE("'Data Base'!$D",J39))))*((100-P39)/100)))</f>
        <v>0</v>
      </c>
      <c r="R36" s="1581">
        <f ca="1">IF(X36=0,0,IF(AND(P36='Data Base'!J46,G40&gt;0.5),0,G40*(IF(EXACT(M40,"نفر اول"),INDIRECT(CONCATENATE("'Data Base'!$C",J40)),INDIRECT(CONCATENATE("'Data Base'!$D",J40))))*((100-P40)/100)))</f>
        <v>0</v>
      </c>
      <c r="S36" s="1584"/>
      <c r="T36" s="1576"/>
      <c r="U36" s="1600"/>
      <c r="W36" s="220">
        <f t="shared" ref="W36" si="7">SUM(W31,X36)</f>
        <v>0</v>
      </c>
      <c r="X36" s="220">
        <f>IF(OR(E36="",P36="",J36="",M36="",D38="",C38="",B38=""),0,1)</f>
        <v>0</v>
      </c>
    </row>
    <row r="37" spans="1:24" ht="21" customHeight="1">
      <c r="A37" s="1574"/>
      <c r="B37" s="553" t="s">
        <v>230</v>
      </c>
      <c r="C37" s="553" t="s">
        <v>231</v>
      </c>
      <c r="D37" s="553" t="s">
        <v>16</v>
      </c>
      <c r="E37" s="1541"/>
      <c r="F37" s="1541"/>
      <c r="G37" s="1541"/>
      <c r="H37" s="1538"/>
      <c r="I37" s="1538"/>
      <c r="J37" s="1541"/>
      <c r="K37" s="1541"/>
      <c r="L37" s="1541"/>
      <c r="M37" s="1548"/>
      <c r="N37" s="1549"/>
      <c r="O37" s="1550"/>
      <c r="P37" s="1555"/>
      <c r="Q37" s="1558"/>
      <c r="R37" s="1598"/>
      <c r="S37" s="1599"/>
      <c r="T37" s="1541"/>
      <c r="U37" s="1601"/>
    </row>
    <row r="38" spans="1:24" ht="21" customHeight="1">
      <c r="A38" s="1574"/>
      <c r="B38" s="562"/>
      <c r="C38" s="562"/>
      <c r="D38" s="562"/>
      <c r="E38" s="1542"/>
      <c r="F38" s="1542"/>
      <c r="G38" s="1542"/>
      <c r="H38" s="1539"/>
      <c r="I38" s="1539"/>
      <c r="J38" s="1542"/>
      <c r="K38" s="1542"/>
      <c r="L38" s="1542"/>
      <c r="M38" s="1548"/>
      <c r="N38" s="1549"/>
      <c r="O38" s="1550"/>
      <c r="P38" s="1555"/>
      <c r="Q38" s="1559"/>
      <c r="R38" s="1579"/>
      <c r="S38" s="1582"/>
      <c r="T38" s="1542"/>
      <c r="U38" s="1602"/>
    </row>
    <row r="39" spans="1:24" ht="20.25">
      <c r="A39" s="1588" t="s">
        <v>279</v>
      </c>
      <c r="B39" s="1589"/>
      <c r="C39" s="1589"/>
      <c r="D39" s="1589"/>
      <c r="E39" s="1591" t="s">
        <v>800</v>
      </c>
      <c r="F39" s="1591"/>
      <c r="G39" s="555"/>
      <c r="H39" s="1499" t="s">
        <v>801</v>
      </c>
      <c r="I39" s="1499"/>
      <c r="J39" s="518"/>
      <c r="K39" s="1499" t="s">
        <v>802</v>
      </c>
      <c r="L39" s="1499"/>
      <c r="M39" s="556"/>
      <c r="N39" s="1499" t="s">
        <v>803</v>
      </c>
      <c r="O39" s="1499"/>
      <c r="P39" s="557"/>
      <c r="Q39" s="1570" t="s">
        <v>280</v>
      </c>
      <c r="R39" s="1570"/>
      <c r="S39" s="1568"/>
      <c r="T39" s="1568"/>
      <c r="U39" s="1569"/>
    </row>
    <row r="40" spans="1:24" ht="20.25">
      <c r="A40" s="1592" t="s">
        <v>30</v>
      </c>
      <c r="B40" s="1593"/>
      <c r="C40" s="1593"/>
      <c r="D40" s="1608"/>
      <c r="E40" s="1603" t="s">
        <v>800</v>
      </c>
      <c r="F40" s="1604"/>
      <c r="G40" s="558"/>
      <c r="H40" s="1607" t="s">
        <v>801</v>
      </c>
      <c r="I40" s="1607"/>
      <c r="J40" s="559"/>
      <c r="K40" s="1607" t="s">
        <v>802</v>
      </c>
      <c r="L40" s="1607"/>
      <c r="M40" s="560"/>
      <c r="N40" s="1607" t="s">
        <v>803</v>
      </c>
      <c r="O40" s="1607"/>
      <c r="P40" s="561"/>
      <c r="Q40" s="1571" t="s">
        <v>280</v>
      </c>
      <c r="R40" s="1571"/>
      <c r="S40" s="1605"/>
      <c r="T40" s="1605"/>
      <c r="U40" s="1606"/>
    </row>
    <row r="41" spans="1:24" ht="29.25" customHeight="1">
      <c r="A41" s="1574">
        <f t="shared" ref="A41" si="8">IF(X41=0,0,W41)</f>
        <v>0</v>
      </c>
      <c r="B41" s="1575"/>
      <c r="C41" s="1575"/>
      <c r="D41" s="1575"/>
      <c r="E41" s="1576"/>
      <c r="F41" s="1576"/>
      <c r="G41" s="1576"/>
      <c r="H41" s="1544"/>
      <c r="I41" s="1544"/>
      <c r="J41" s="1576"/>
      <c r="K41" s="1576"/>
      <c r="L41" s="1576"/>
      <c r="M41" s="1548"/>
      <c r="N41" s="1549"/>
      <c r="O41" s="1550"/>
      <c r="P41" s="1555"/>
      <c r="Q41" s="1577">
        <f ca="1">IF(X41=0,0,IF(AND(P41='Data Base'!J51,G44&gt;0.5),0,G44*(IF(EXACT(M44,"نفر اول"),INDIRECT(CONCATENATE("'Data Base'!$C",J44)),INDIRECT(CONCATENATE("'Data Base'!$D",J44))))*((100-P44)/100)))</f>
        <v>0</v>
      </c>
      <c r="R41" s="1581">
        <f ca="1">IF(X41=0,0,IF(AND(P41='Data Base'!J51,G45&gt;0.5),0,G45*(IF(EXACT(M45,"نفر اول"),INDIRECT(CONCATENATE("'Data Base'!$C",J45)),INDIRECT(CONCATENATE("'Data Base'!$D",J45))))*((100-P45)/100)))</f>
        <v>0</v>
      </c>
      <c r="S41" s="1584"/>
      <c r="T41" s="1576"/>
      <c r="U41" s="1600"/>
      <c r="W41" s="220">
        <f t="shared" ref="W41" si="9">SUM(W36,X41)</f>
        <v>0</v>
      </c>
      <c r="X41" s="220">
        <f>IF(OR(E41="",P41="",J41="",M41="",D43="",C43="",B43=""),0,1)</f>
        <v>0</v>
      </c>
    </row>
    <row r="42" spans="1:24" ht="21" customHeight="1">
      <c r="A42" s="1574"/>
      <c r="B42" s="553" t="s">
        <v>230</v>
      </c>
      <c r="C42" s="553" t="s">
        <v>231</v>
      </c>
      <c r="D42" s="553" t="s">
        <v>16</v>
      </c>
      <c r="E42" s="1541"/>
      <c r="F42" s="1541"/>
      <c r="G42" s="1541"/>
      <c r="H42" s="1538"/>
      <c r="I42" s="1538"/>
      <c r="J42" s="1541"/>
      <c r="K42" s="1541"/>
      <c r="L42" s="1541"/>
      <c r="M42" s="1548"/>
      <c r="N42" s="1549"/>
      <c r="O42" s="1550"/>
      <c r="P42" s="1555"/>
      <c r="Q42" s="1558"/>
      <c r="R42" s="1598"/>
      <c r="S42" s="1599"/>
      <c r="T42" s="1541"/>
      <c r="U42" s="1601"/>
    </row>
    <row r="43" spans="1:24" ht="21" customHeight="1">
      <c r="A43" s="1574"/>
      <c r="B43" s="562"/>
      <c r="C43" s="562"/>
      <c r="D43" s="562"/>
      <c r="E43" s="1542"/>
      <c r="F43" s="1542"/>
      <c r="G43" s="1542"/>
      <c r="H43" s="1539"/>
      <c r="I43" s="1539"/>
      <c r="J43" s="1542"/>
      <c r="K43" s="1542"/>
      <c r="L43" s="1542"/>
      <c r="M43" s="1548"/>
      <c r="N43" s="1549"/>
      <c r="O43" s="1550"/>
      <c r="P43" s="1555"/>
      <c r="Q43" s="1559"/>
      <c r="R43" s="1579"/>
      <c r="S43" s="1582"/>
      <c r="T43" s="1542"/>
      <c r="U43" s="1602"/>
    </row>
    <row r="44" spans="1:24" ht="20.25">
      <c r="A44" s="1588" t="s">
        <v>279</v>
      </c>
      <c r="B44" s="1589"/>
      <c r="C44" s="1589"/>
      <c r="D44" s="1589"/>
      <c r="E44" s="1591" t="s">
        <v>800</v>
      </c>
      <c r="F44" s="1591"/>
      <c r="G44" s="555"/>
      <c r="H44" s="1499" t="s">
        <v>801</v>
      </c>
      <c r="I44" s="1499"/>
      <c r="J44" s="518"/>
      <c r="K44" s="1499" t="s">
        <v>802</v>
      </c>
      <c r="L44" s="1499"/>
      <c r="M44" s="556"/>
      <c r="N44" s="1499" t="s">
        <v>803</v>
      </c>
      <c r="O44" s="1499"/>
      <c r="P44" s="557"/>
      <c r="Q44" s="1570" t="s">
        <v>280</v>
      </c>
      <c r="R44" s="1570"/>
      <c r="S44" s="1568"/>
      <c r="T44" s="1568"/>
      <c r="U44" s="1569"/>
    </row>
    <row r="45" spans="1:24" ht="20.25">
      <c r="A45" s="1592" t="s">
        <v>30</v>
      </c>
      <c r="B45" s="1593"/>
      <c r="C45" s="1593"/>
      <c r="D45" s="1608"/>
      <c r="E45" s="1603" t="s">
        <v>800</v>
      </c>
      <c r="F45" s="1604"/>
      <c r="G45" s="558"/>
      <c r="H45" s="1607" t="s">
        <v>801</v>
      </c>
      <c r="I45" s="1607"/>
      <c r="J45" s="559"/>
      <c r="K45" s="1607" t="s">
        <v>802</v>
      </c>
      <c r="L45" s="1607"/>
      <c r="M45" s="560"/>
      <c r="N45" s="1607" t="s">
        <v>803</v>
      </c>
      <c r="O45" s="1607"/>
      <c r="P45" s="561"/>
      <c r="Q45" s="1571" t="s">
        <v>280</v>
      </c>
      <c r="R45" s="1571"/>
      <c r="S45" s="1605"/>
      <c r="T45" s="1605"/>
      <c r="U45" s="1606"/>
    </row>
    <row r="46" spans="1:24" ht="29.25" customHeight="1">
      <c r="A46" s="1574">
        <f t="shared" ref="A46" si="10">IF(X46=0,0,W46)</f>
        <v>0</v>
      </c>
      <c r="B46" s="1575"/>
      <c r="C46" s="1575"/>
      <c r="D46" s="1575"/>
      <c r="E46" s="1576"/>
      <c r="F46" s="1576"/>
      <c r="G46" s="1576"/>
      <c r="H46" s="1544"/>
      <c r="I46" s="1544"/>
      <c r="J46" s="1576"/>
      <c r="K46" s="1576"/>
      <c r="L46" s="1576"/>
      <c r="M46" s="1548"/>
      <c r="N46" s="1549"/>
      <c r="O46" s="1550"/>
      <c r="P46" s="1555"/>
      <c r="Q46" s="1577">
        <f ca="1">IF(X46=0,0,IF(AND(P46='Data Base'!J56,G49&gt;0.5),0,G49*(IF(EXACT(M49,"نفر اول"),INDIRECT(CONCATENATE("'Data Base'!$C",J49)),INDIRECT(CONCATENATE("'Data Base'!$D",J49))))*((100-P49)/100)))</f>
        <v>0</v>
      </c>
      <c r="R46" s="1581">
        <f ca="1">IF(X46=0,0,IF(AND(P46='Data Base'!J56,G50&gt;0.5),0,G50*(IF(EXACT(M50,"نفر اول"),INDIRECT(CONCATENATE("'Data Base'!$C",J50)),INDIRECT(CONCATENATE("'Data Base'!$D",J50))))*((100-P50)/100)))</f>
        <v>0</v>
      </c>
      <c r="S46" s="1584"/>
      <c r="T46" s="1576"/>
      <c r="U46" s="1600"/>
      <c r="W46" s="220">
        <f t="shared" ref="W46" si="11">SUM(W41,X46)</f>
        <v>0</v>
      </c>
      <c r="X46" s="220">
        <f>IF(OR(E46="",P46="",J46="",M46="",D48="",C48="",B48=""),0,1)</f>
        <v>0</v>
      </c>
    </row>
    <row r="47" spans="1:24" ht="21" customHeight="1">
      <c r="A47" s="1574"/>
      <c r="B47" s="553" t="s">
        <v>230</v>
      </c>
      <c r="C47" s="553" t="s">
        <v>231</v>
      </c>
      <c r="D47" s="553" t="s">
        <v>16</v>
      </c>
      <c r="E47" s="1541"/>
      <c r="F47" s="1541"/>
      <c r="G47" s="1541"/>
      <c r="H47" s="1538"/>
      <c r="I47" s="1538"/>
      <c r="J47" s="1541"/>
      <c r="K47" s="1541"/>
      <c r="L47" s="1541"/>
      <c r="M47" s="1548"/>
      <c r="N47" s="1549"/>
      <c r="O47" s="1550"/>
      <c r="P47" s="1555"/>
      <c r="Q47" s="1558"/>
      <c r="R47" s="1598"/>
      <c r="S47" s="1599"/>
      <c r="T47" s="1541"/>
      <c r="U47" s="1601"/>
    </row>
    <row r="48" spans="1:24" ht="21" customHeight="1">
      <c r="A48" s="1574"/>
      <c r="B48" s="562"/>
      <c r="C48" s="562"/>
      <c r="D48" s="562"/>
      <c r="E48" s="1542"/>
      <c r="F48" s="1542"/>
      <c r="G48" s="1542"/>
      <c r="H48" s="1539"/>
      <c r="I48" s="1539"/>
      <c r="J48" s="1542"/>
      <c r="K48" s="1542"/>
      <c r="L48" s="1542"/>
      <c r="M48" s="1548"/>
      <c r="N48" s="1549"/>
      <c r="O48" s="1550"/>
      <c r="P48" s="1555"/>
      <c r="Q48" s="1559"/>
      <c r="R48" s="1579"/>
      <c r="S48" s="1582"/>
      <c r="T48" s="1542"/>
      <c r="U48" s="1602"/>
    </row>
    <row r="49" spans="1:24" ht="20.25">
      <c r="A49" s="1588" t="s">
        <v>279</v>
      </c>
      <c r="B49" s="1589"/>
      <c r="C49" s="1589"/>
      <c r="D49" s="1589"/>
      <c r="E49" s="1591" t="s">
        <v>800</v>
      </c>
      <c r="F49" s="1591"/>
      <c r="G49" s="555"/>
      <c r="H49" s="1499" t="s">
        <v>801</v>
      </c>
      <c r="I49" s="1499"/>
      <c r="J49" s="518"/>
      <c r="K49" s="1499" t="s">
        <v>802</v>
      </c>
      <c r="L49" s="1499"/>
      <c r="M49" s="556"/>
      <c r="N49" s="1499" t="s">
        <v>803</v>
      </c>
      <c r="O49" s="1499"/>
      <c r="P49" s="557"/>
      <c r="Q49" s="1570" t="s">
        <v>280</v>
      </c>
      <c r="R49" s="1570"/>
      <c r="S49" s="1568"/>
      <c r="T49" s="1568"/>
      <c r="U49" s="1569"/>
    </row>
    <row r="50" spans="1:24" ht="20.25">
      <c r="A50" s="1592" t="s">
        <v>30</v>
      </c>
      <c r="B50" s="1593"/>
      <c r="C50" s="1593"/>
      <c r="D50" s="1608"/>
      <c r="E50" s="1603" t="s">
        <v>800</v>
      </c>
      <c r="F50" s="1604"/>
      <c r="G50" s="558"/>
      <c r="H50" s="1607" t="s">
        <v>801</v>
      </c>
      <c r="I50" s="1607"/>
      <c r="J50" s="559"/>
      <c r="K50" s="1607" t="s">
        <v>802</v>
      </c>
      <c r="L50" s="1607"/>
      <c r="M50" s="560"/>
      <c r="N50" s="1607" t="s">
        <v>803</v>
      </c>
      <c r="O50" s="1607"/>
      <c r="P50" s="561"/>
      <c r="Q50" s="1571" t="s">
        <v>280</v>
      </c>
      <c r="R50" s="1571"/>
      <c r="S50" s="1605"/>
      <c r="T50" s="1605"/>
      <c r="U50" s="1606"/>
    </row>
    <row r="51" spans="1:24" ht="29.25" customHeight="1">
      <c r="A51" s="1574">
        <f t="shared" ref="A51" si="12">IF(X51=0,0,W51)</f>
        <v>0</v>
      </c>
      <c r="B51" s="1575"/>
      <c r="C51" s="1575"/>
      <c r="D51" s="1575"/>
      <c r="E51" s="1576"/>
      <c r="F51" s="1576"/>
      <c r="G51" s="1576"/>
      <c r="H51" s="1544"/>
      <c r="I51" s="1544"/>
      <c r="J51" s="1576"/>
      <c r="K51" s="1576"/>
      <c r="L51" s="1576"/>
      <c r="M51" s="1548"/>
      <c r="N51" s="1549"/>
      <c r="O51" s="1550"/>
      <c r="P51" s="1555"/>
      <c r="Q51" s="1577">
        <f ca="1">IF(X51=0,0,IF(AND(P51='Data Base'!J61,G54&gt;0.5),0,G54*(IF(EXACT(M54,"نفر اول"),INDIRECT(CONCATENATE("'Data Base'!$C",J54)),INDIRECT(CONCATENATE("'Data Base'!$D",J54))))*((100-P54)/100)))</f>
        <v>0</v>
      </c>
      <c r="R51" s="1581">
        <f ca="1">IF(X51=0,0,IF(AND(P51='Data Base'!J61,G55&gt;0.5),0,G55*(IF(EXACT(M55,"نفر اول"),INDIRECT(CONCATENATE("'Data Base'!$C",J55)),INDIRECT(CONCATENATE("'Data Base'!$D",J55))))*((100-P55)/100)))</f>
        <v>0</v>
      </c>
      <c r="S51" s="1584"/>
      <c r="T51" s="1576"/>
      <c r="U51" s="1600"/>
      <c r="W51" s="220">
        <f t="shared" ref="W51" si="13">SUM(W46,X51)</f>
        <v>0</v>
      </c>
      <c r="X51" s="220">
        <f>IF(OR(E51="",P51="",J51="",M51="",D53="",C53="",B53=""),0,1)</f>
        <v>0</v>
      </c>
    </row>
    <row r="52" spans="1:24" ht="21" customHeight="1">
      <c r="A52" s="1574"/>
      <c r="B52" s="553" t="s">
        <v>230</v>
      </c>
      <c r="C52" s="553" t="s">
        <v>231</v>
      </c>
      <c r="D52" s="553" t="s">
        <v>16</v>
      </c>
      <c r="E52" s="1541"/>
      <c r="F52" s="1541"/>
      <c r="G52" s="1541"/>
      <c r="H52" s="1538"/>
      <c r="I52" s="1538"/>
      <c r="J52" s="1541"/>
      <c r="K52" s="1541"/>
      <c r="L52" s="1541"/>
      <c r="M52" s="1548"/>
      <c r="N52" s="1549"/>
      <c r="O52" s="1550"/>
      <c r="P52" s="1555"/>
      <c r="Q52" s="1558"/>
      <c r="R52" s="1598"/>
      <c r="S52" s="1599"/>
      <c r="T52" s="1541"/>
      <c r="U52" s="1601"/>
    </row>
    <row r="53" spans="1:24" ht="21" customHeight="1">
      <c r="A53" s="1574"/>
      <c r="B53" s="562"/>
      <c r="C53" s="562"/>
      <c r="D53" s="562"/>
      <c r="E53" s="1542"/>
      <c r="F53" s="1542"/>
      <c r="G53" s="1542"/>
      <c r="H53" s="1539"/>
      <c r="I53" s="1539"/>
      <c r="J53" s="1542"/>
      <c r="K53" s="1542"/>
      <c r="L53" s="1542"/>
      <c r="M53" s="1548"/>
      <c r="N53" s="1549"/>
      <c r="O53" s="1550"/>
      <c r="P53" s="1555"/>
      <c r="Q53" s="1559"/>
      <c r="R53" s="1579"/>
      <c r="S53" s="1582"/>
      <c r="T53" s="1542"/>
      <c r="U53" s="1602"/>
    </row>
    <row r="54" spans="1:24" ht="20.25">
      <c r="A54" s="1588" t="s">
        <v>279</v>
      </c>
      <c r="B54" s="1589"/>
      <c r="C54" s="1589"/>
      <c r="D54" s="1589"/>
      <c r="E54" s="1591" t="s">
        <v>800</v>
      </c>
      <c r="F54" s="1591"/>
      <c r="G54" s="555"/>
      <c r="H54" s="1499" t="s">
        <v>801</v>
      </c>
      <c r="I54" s="1499"/>
      <c r="J54" s="518"/>
      <c r="K54" s="1499" t="s">
        <v>802</v>
      </c>
      <c r="L54" s="1499"/>
      <c r="M54" s="556"/>
      <c r="N54" s="1499" t="s">
        <v>803</v>
      </c>
      <c r="O54" s="1499"/>
      <c r="P54" s="557"/>
      <c r="Q54" s="1570" t="s">
        <v>280</v>
      </c>
      <c r="R54" s="1570"/>
      <c r="S54" s="1568"/>
      <c r="T54" s="1568"/>
      <c r="U54" s="1569"/>
    </row>
    <row r="55" spans="1:24" ht="20.25">
      <c r="A55" s="1592" t="s">
        <v>30</v>
      </c>
      <c r="B55" s="1593"/>
      <c r="C55" s="1593"/>
      <c r="D55" s="1608"/>
      <c r="E55" s="1603" t="s">
        <v>800</v>
      </c>
      <c r="F55" s="1604"/>
      <c r="G55" s="558"/>
      <c r="H55" s="1607" t="s">
        <v>801</v>
      </c>
      <c r="I55" s="1607"/>
      <c r="J55" s="559"/>
      <c r="K55" s="1607" t="s">
        <v>802</v>
      </c>
      <c r="L55" s="1607"/>
      <c r="M55" s="560"/>
      <c r="N55" s="1607" t="s">
        <v>803</v>
      </c>
      <c r="O55" s="1607"/>
      <c r="P55" s="561"/>
      <c r="Q55" s="1571" t="s">
        <v>280</v>
      </c>
      <c r="R55" s="1571"/>
      <c r="S55" s="1605"/>
      <c r="T55" s="1605"/>
      <c r="U55" s="1606"/>
    </row>
    <row r="56" spans="1:24" ht="29.25" customHeight="1">
      <c r="A56" s="1574">
        <f t="shared" ref="A56" si="14">IF(X56=0,0,W56)</f>
        <v>0</v>
      </c>
      <c r="B56" s="1575"/>
      <c r="C56" s="1575"/>
      <c r="D56" s="1575"/>
      <c r="E56" s="1576"/>
      <c r="F56" s="1576"/>
      <c r="G56" s="1576"/>
      <c r="H56" s="1544"/>
      <c r="I56" s="1544"/>
      <c r="J56" s="1576"/>
      <c r="K56" s="1576"/>
      <c r="L56" s="1576"/>
      <c r="M56" s="1548"/>
      <c r="N56" s="1549"/>
      <c r="O56" s="1550"/>
      <c r="P56" s="1555"/>
      <c r="Q56" s="1577">
        <f ca="1">IF(X56=0,0,IF(AND(P56='Data Base'!J65,G59&gt;0.5),0,G59*(IF(EXACT(M59,"نفر اول"),INDIRECT(CONCATENATE("'Data Base'!$C",J59)),INDIRECT(CONCATENATE("'Data Base'!$D",J59))))*((100-P59)/100)))</f>
        <v>0</v>
      </c>
      <c r="R56" s="1581">
        <f ca="1">IF(X56=0,0,IF(AND(P56='Data Base'!J65,G60&gt;0.5),0,G60*(IF(EXACT(M60,"نفر اول"),INDIRECT(CONCATENATE("'Data Base'!$C",J60)),INDIRECT(CONCATENATE("'Data Base'!$D",J60))))*((100-P60)/100)))</f>
        <v>0</v>
      </c>
      <c r="S56" s="1584"/>
      <c r="T56" s="1576"/>
      <c r="U56" s="1600"/>
      <c r="W56" s="220">
        <f t="shared" ref="W56" si="15">SUM(W51,X56)</f>
        <v>0</v>
      </c>
      <c r="X56" s="220">
        <f>IF(OR(E56="",P56="",J56="",M56="",D58="",C58="",B58=""),0,1)</f>
        <v>0</v>
      </c>
    </row>
    <row r="57" spans="1:24" ht="21" customHeight="1">
      <c r="A57" s="1574"/>
      <c r="B57" s="553" t="s">
        <v>230</v>
      </c>
      <c r="C57" s="553" t="s">
        <v>231</v>
      </c>
      <c r="D57" s="553" t="s">
        <v>16</v>
      </c>
      <c r="E57" s="1541"/>
      <c r="F57" s="1541"/>
      <c r="G57" s="1541"/>
      <c r="H57" s="1538"/>
      <c r="I57" s="1538"/>
      <c r="J57" s="1541"/>
      <c r="K57" s="1541"/>
      <c r="L57" s="1541"/>
      <c r="M57" s="1548"/>
      <c r="N57" s="1549"/>
      <c r="O57" s="1550"/>
      <c r="P57" s="1555"/>
      <c r="Q57" s="1558"/>
      <c r="R57" s="1598"/>
      <c r="S57" s="1599"/>
      <c r="T57" s="1541"/>
      <c r="U57" s="1601"/>
    </row>
    <row r="58" spans="1:24" ht="21" customHeight="1">
      <c r="A58" s="1574"/>
      <c r="B58" s="562"/>
      <c r="C58" s="562"/>
      <c r="D58" s="562"/>
      <c r="E58" s="1542"/>
      <c r="F58" s="1542"/>
      <c r="G58" s="1542"/>
      <c r="H58" s="1539"/>
      <c r="I58" s="1539"/>
      <c r="J58" s="1542"/>
      <c r="K58" s="1542"/>
      <c r="L58" s="1542"/>
      <c r="M58" s="1548"/>
      <c r="N58" s="1549"/>
      <c r="O58" s="1550"/>
      <c r="P58" s="1555"/>
      <c r="Q58" s="1559"/>
      <c r="R58" s="1579"/>
      <c r="S58" s="1582"/>
      <c r="T58" s="1542"/>
      <c r="U58" s="1602"/>
    </row>
    <row r="59" spans="1:24" ht="20.25">
      <c r="A59" s="1588" t="s">
        <v>279</v>
      </c>
      <c r="B59" s="1589"/>
      <c r="C59" s="1589"/>
      <c r="D59" s="1589"/>
      <c r="E59" s="1591" t="s">
        <v>800</v>
      </c>
      <c r="F59" s="1591"/>
      <c r="G59" s="555"/>
      <c r="H59" s="1499" t="s">
        <v>801</v>
      </c>
      <c r="I59" s="1499"/>
      <c r="J59" s="518"/>
      <c r="K59" s="1499" t="s">
        <v>802</v>
      </c>
      <c r="L59" s="1499"/>
      <c r="M59" s="556"/>
      <c r="N59" s="1499" t="s">
        <v>803</v>
      </c>
      <c r="O59" s="1499"/>
      <c r="P59" s="557"/>
      <c r="Q59" s="1570" t="s">
        <v>280</v>
      </c>
      <c r="R59" s="1570"/>
      <c r="S59" s="1568"/>
      <c r="T59" s="1568"/>
      <c r="U59" s="1569"/>
    </row>
    <row r="60" spans="1:24" ht="20.25">
      <c r="A60" s="1592" t="s">
        <v>30</v>
      </c>
      <c r="B60" s="1593"/>
      <c r="C60" s="1593"/>
      <c r="D60" s="1608"/>
      <c r="E60" s="1603" t="s">
        <v>800</v>
      </c>
      <c r="F60" s="1604"/>
      <c r="G60" s="558"/>
      <c r="H60" s="1607" t="s">
        <v>801</v>
      </c>
      <c r="I60" s="1607"/>
      <c r="J60" s="559"/>
      <c r="K60" s="1607" t="s">
        <v>802</v>
      </c>
      <c r="L60" s="1607"/>
      <c r="M60" s="560"/>
      <c r="N60" s="1607" t="s">
        <v>803</v>
      </c>
      <c r="O60" s="1607"/>
      <c r="P60" s="561"/>
      <c r="Q60" s="1571" t="s">
        <v>280</v>
      </c>
      <c r="R60" s="1571"/>
      <c r="S60" s="1605"/>
      <c r="T60" s="1605"/>
      <c r="U60" s="1606"/>
    </row>
    <row r="61" spans="1:24" ht="29.25" customHeight="1">
      <c r="A61" s="1574">
        <f t="shared" ref="A61" si="16">IF(X61=0,0,W61)</f>
        <v>0</v>
      </c>
      <c r="B61" s="1575"/>
      <c r="C61" s="1575"/>
      <c r="D61" s="1575"/>
      <c r="E61" s="1576"/>
      <c r="F61" s="1576"/>
      <c r="G61" s="1576"/>
      <c r="H61" s="1544"/>
      <c r="I61" s="1544"/>
      <c r="J61" s="1576"/>
      <c r="K61" s="1576"/>
      <c r="L61" s="1576"/>
      <c r="M61" s="1548"/>
      <c r="N61" s="1549"/>
      <c r="O61" s="1550"/>
      <c r="P61" s="1555"/>
      <c r="Q61" s="1577">
        <f ca="1">IF(X61=0,0,IF(AND(P61='Data Base'!J70,G64&gt;0.5),0,G64*(IF(EXACT(M64,"نفر اول"),INDIRECT(CONCATENATE("'Data Base'!$C",J64)),INDIRECT(CONCATENATE("'Data Base'!$D",J64))))*((100-P64)/100)))</f>
        <v>0</v>
      </c>
      <c r="R61" s="1581">
        <f ca="1">IF(X61=0,0,IF(AND(P61='Data Base'!J70,G65&gt;0.5),0,G65*(IF(EXACT(M65,"نفر اول"),INDIRECT(CONCATENATE("'Data Base'!$C",J65)),INDIRECT(CONCATENATE("'Data Base'!$D",J65))))*((100-P65)/100)))</f>
        <v>0</v>
      </c>
      <c r="S61" s="1584"/>
      <c r="T61" s="1576"/>
      <c r="U61" s="1600"/>
      <c r="W61" s="220">
        <f t="shared" ref="W61" si="17">SUM(W56,X61)</f>
        <v>0</v>
      </c>
      <c r="X61" s="220">
        <f>IF(OR(E61="",P61="",J61="",M61="",D63="",C63="",B63=""),0,1)</f>
        <v>0</v>
      </c>
    </row>
    <row r="62" spans="1:24" ht="21" customHeight="1">
      <c r="A62" s="1574"/>
      <c r="B62" s="553" t="s">
        <v>230</v>
      </c>
      <c r="C62" s="553" t="s">
        <v>231</v>
      </c>
      <c r="D62" s="553" t="s">
        <v>16</v>
      </c>
      <c r="E62" s="1541"/>
      <c r="F62" s="1541"/>
      <c r="G62" s="1541"/>
      <c r="H62" s="1538"/>
      <c r="I62" s="1538"/>
      <c r="J62" s="1541"/>
      <c r="K62" s="1541"/>
      <c r="L62" s="1541"/>
      <c r="M62" s="1548"/>
      <c r="N62" s="1549"/>
      <c r="O62" s="1550"/>
      <c r="P62" s="1555"/>
      <c r="Q62" s="1558"/>
      <c r="R62" s="1598"/>
      <c r="S62" s="1599"/>
      <c r="T62" s="1541"/>
      <c r="U62" s="1601"/>
    </row>
    <row r="63" spans="1:24" ht="21" customHeight="1">
      <c r="A63" s="1574"/>
      <c r="B63" s="562"/>
      <c r="C63" s="562"/>
      <c r="D63" s="562"/>
      <c r="E63" s="1542"/>
      <c r="F63" s="1542"/>
      <c r="G63" s="1542"/>
      <c r="H63" s="1539"/>
      <c r="I63" s="1539"/>
      <c r="J63" s="1542"/>
      <c r="K63" s="1542"/>
      <c r="L63" s="1542"/>
      <c r="M63" s="1548"/>
      <c r="N63" s="1549"/>
      <c r="O63" s="1550"/>
      <c r="P63" s="1555"/>
      <c r="Q63" s="1559"/>
      <c r="R63" s="1579"/>
      <c r="S63" s="1582"/>
      <c r="T63" s="1542"/>
      <c r="U63" s="1602"/>
    </row>
    <row r="64" spans="1:24" ht="20.25">
      <c r="A64" s="1588" t="s">
        <v>279</v>
      </c>
      <c r="B64" s="1589"/>
      <c r="C64" s="1589"/>
      <c r="D64" s="1589"/>
      <c r="E64" s="1591" t="s">
        <v>800</v>
      </c>
      <c r="F64" s="1591"/>
      <c r="G64" s="555"/>
      <c r="H64" s="1499" t="s">
        <v>801</v>
      </c>
      <c r="I64" s="1499"/>
      <c r="J64" s="518"/>
      <c r="K64" s="1499" t="s">
        <v>802</v>
      </c>
      <c r="L64" s="1499"/>
      <c r="M64" s="556"/>
      <c r="N64" s="1499" t="s">
        <v>803</v>
      </c>
      <c r="O64" s="1499"/>
      <c r="P64" s="557"/>
      <c r="Q64" s="1570" t="s">
        <v>280</v>
      </c>
      <c r="R64" s="1570"/>
      <c r="S64" s="1568"/>
      <c r="T64" s="1568"/>
      <c r="U64" s="1569"/>
    </row>
    <row r="65" spans="1:24" ht="20.25">
      <c r="A65" s="1592" t="s">
        <v>30</v>
      </c>
      <c r="B65" s="1593"/>
      <c r="C65" s="1593"/>
      <c r="D65" s="1608"/>
      <c r="E65" s="1603" t="s">
        <v>800</v>
      </c>
      <c r="F65" s="1604"/>
      <c r="G65" s="558"/>
      <c r="H65" s="1607" t="s">
        <v>801</v>
      </c>
      <c r="I65" s="1607"/>
      <c r="J65" s="559"/>
      <c r="K65" s="1607" t="s">
        <v>802</v>
      </c>
      <c r="L65" s="1607"/>
      <c r="M65" s="560"/>
      <c r="N65" s="1607" t="s">
        <v>803</v>
      </c>
      <c r="O65" s="1607"/>
      <c r="P65" s="561"/>
      <c r="Q65" s="1571" t="s">
        <v>280</v>
      </c>
      <c r="R65" s="1571"/>
      <c r="S65" s="1605"/>
      <c r="T65" s="1605"/>
      <c r="U65" s="1606"/>
    </row>
    <row r="66" spans="1:24" ht="29.25" customHeight="1">
      <c r="A66" s="1574">
        <f t="shared" ref="A66" si="18">IF(X66=0,0,W66)</f>
        <v>0</v>
      </c>
      <c r="B66" s="1575"/>
      <c r="C66" s="1575"/>
      <c r="D66" s="1575"/>
      <c r="E66" s="1576"/>
      <c r="F66" s="1576"/>
      <c r="G66" s="1576"/>
      <c r="H66" s="1544"/>
      <c r="I66" s="1544"/>
      <c r="J66" s="1576"/>
      <c r="K66" s="1576"/>
      <c r="L66" s="1576"/>
      <c r="M66" s="1548"/>
      <c r="N66" s="1549"/>
      <c r="O66" s="1550"/>
      <c r="P66" s="1555"/>
      <c r="Q66" s="1577">
        <f ca="1">IF(X66=0,0,IF(AND(P66='Data Base'!J75,G69&gt;0.5),0,G69*(IF(EXACT(M69,"نفر اول"),INDIRECT(CONCATENATE("'Data Base'!$C",J69)),INDIRECT(CONCATENATE("'Data Base'!$D",J69))))*((100-P69)/100)))</f>
        <v>0</v>
      </c>
      <c r="R66" s="1581">
        <f ca="1">IF(X66=0,0,IF(AND(P66='Data Base'!J75,G70&gt;0.5),0,G70*(IF(EXACT(M70,"نفر اول"),INDIRECT(CONCATENATE("'Data Base'!$C",J70)),INDIRECT(CONCATENATE("'Data Base'!$D",J70))))*((100-P70)/100)))</f>
        <v>0</v>
      </c>
      <c r="S66" s="1584"/>
      <c r="T66" s="1576"/>
      <c r="U66" s="1600"/>
      <c r="W66" s="220">
        <f t="shared" ref="W66" si="19">SUM(W61,X66)</f>
        <v>0</v>
      </c>
      <c r="X66" s="220">
        <f>IF(OR(E66="",P66="",J66="",M66="",D68="",C68="",B68=""),0,1)</f>
        <v>0</v>
      </c>
    </row>
    <row r="67" spans="1:24" ht="21" customHeight="1">
      <c r="A67" s="1574"/>
      <c r="B67" s="553" t="s">
        <v>230</v>
      </c>
      <c r="C67" s="553" t="s">
        <v>231</v>
      </c>
      <c r="D67" s="553" t="s">
        <v>16</v>
      </c>
      <c r="E67" s="1541"/>
      <c r="F67" s="1541"/>
      <c r="G67" s="1541"/>
      <c r="H67" s="1538"/>
      <c r="I67" s="1538"/>
      <c r="J67" s="1541"/>
      <c r="K67" s="1541"/>
      <c r="L67" s="1541"/>
      <c r="M67" s="1548"/>
      <c r="N67" s="1549"/>
      <c r="O67" s="1550"/>
      <c r="P67" s="1555"/>
      <c r="Q67" s="1558"/>
      <c r="R67" s="1598"/>
      <c r="S67" s="1599"/>
      <c r="T67" s="1541"/>
      <c r="U67" s="1601"/>
    </row>
    <row r="68" spans="1:24" ht="21" customHeight="1">
      <c r="A68" s="1574"/>
      <c r="B68" s="562"/>
      <c r="C68" s="562"/>
      <c r="D68" s="562"/>
      <c r="E68" s="1542"/>
      <c r="F68" s="1542"/>
      <c r="G68" s="1542"/>
      <c r="H68" s="1539"/>
      <c r="I68" s="1539"/>
      <c r="J68" s="1542"/>
      <c r="K68" s="1542"/>
      <c r="L68" s="1542"/>
      <c r="M68" s="1548"/>
      <c r="N68" s="1549"/>
      <c r="O68" s="1550"/>
      <c r="P68" s="1555"/>
      <c r="Q68" s="1559"/>
      <c r="R68" s="1579"/>
      <c r="S68" s="1582"/>
      <c r="T68" s="1542"/>
      <c r="U68" s="1602"/>
    </row>
    <row r="69" spans="1:24" ht="20.25">
      <c r="A69" s="1588" t="s">
        <v>279</v>
      </c>
      <c r="B69" s="1589"/>
      <c r="C69" s="1589"/>
      <c r="D69" s="1589"/>
      <c r="E69" s="1591" t="s">
        <v>800</v>
      </c>
      <c r="F69" s="1591"/>
      <c r="G69" s="555"/>
      <c r="H69" s="1499" t="s">
        <v>801</v>
      </c>
      <c r="I69" s="1499"/>
      <c r="J69" s="518"/>
      <c r="K69" s="1499" t="s">
        <v>802</v>
      </c>
      <c r="L69" s="1499"/>
      <c r="M69" s="556"/>
      <c r="N69" s="1499" t="s">
        <v>803</v>
      </c>
      <c r="O69" s="1499"/>
      <c r="P69" s="557"/>
      <c r="Q69" s="1570" t="s">
        <v>280</v>
      </c>
      <c r="R69" s="1570"/>
      <c r="S69" s="1568"/>
      <c r="T69" s="1568"/>
      <c r="U69" s="1569"/>
    </row>
    <row r="70" spans="1:24" ht="20.25">
      <c r="A70" s="1592" t="s">
        <v>30</v>
      </c>
      <c r="B70" s="1593"/>
      <c r="C70" s="1593"/>
      <c r="D70" s="1608"/>
      <c r="E70" s="1603" t="s">
        <v>800</v>
      </c>
      <c r="F70" s="1604"/>
      <c r="G70" s="558"/>
      <c r="H70" s="1607" t="s">
        <v>801</v>
      </c>
      <c r="I70" s="1607"/>
      <c r="J70" s="559"/>
      <c r="K70" s="1607" t="s">
        <v>802</v>
      </c>
      <c r="L70" s="1607"/>
      <c r="M70" s="560"/>
      <c r="N70" s="1607" t="s">
        <v>803</v>
      </c>
      <c r="O70" s="1607"/>
      <c r="P70" s="561"/>
      <c r="Q70" s="1571" t="s">
        <v>280</v>
      </c>
      <c r="R70" s="1571"/>
      <c r="S70" s="1605"/>
      <c r="T70" s="1605"/>
      <c r="U70" s="1606"/>
    </row>
    <row r="71" spans="1:24" ht="29.25" customHeight="1">
      <c r="A71" s="1574">
        <f t="shared" ref="A71" si="20">IF(X71=0,0,W71)</f>
        <v>0</v>
      </c>
      <c r="B71" s="1575"/>
      <c r="C71" s="1575"/>
      <c r="D71" s="1575"/>
      <c r="E71" s="1576"/>
      <c r="F71" s="1576"/>
      <c r="G71" s="1576"/>
      <c r="H71" s="1544"/>
      <c r="I71" s="1544"/>
      <c r="J71" s="1576"/>
      <c r="K71" s="1576"/>
      <c r="L71" s="1576"/>
      <c r="M71" s="1548"/>
      <c r="N71" s="1549"/>
      <c r="O71" s="1550"/>
      <c r="P71" s="1555"/>
      <c r="Q71" s="1577">
        <f ca="1">IF(X71=0,0,IF(AND(P71='Data Base'!J80,G74&gt;0.5),0,G74*(IF(EXACT(M74,"نفر اول"),INDIRECT(CONCATENATE("'Data Base'!$C",J74)),INDIRECT(CONCATENATE("'Data Base'!$D",J74))))*((100-P74)/100)))</f>
        <v>0</v>
      </c>
      <c r="R71" s="1581">
        <f ca="1">IF(X71=0,0,IF(AND(P71='Data Base'!J80,G75&gt;0.5),0,G75*(IF(EXACT(M75,"نفر اول"),INDIRECT(CONCATENATE("'Data Base'!$C",J75)),INDIRECT(CONCATENATE("'Data Base'!$D",J75))))*((100-P75)/100)))</f>
        <v>0</v>
      </c>
      <c r="S71" s="1584"/>
      <c r="T71" s="1576"/>
      <c r="U71" s="1600"/>
      <c r="W71" s="220">
        <f t="shared" ref="W71" si="21">SUM(W66,X71)</f>
        <v>0</v>
      </c>
      <c r="X71" s="220">
        <f>IF(OR(E71="",P71="",J71="",M71="",D73="",C73="",B73=""),0,1)</f>
        <v>0</v>
      </c>
    </row>
    <row r="72" spans="1:24" ht="21" customHeight="1">
      <c r="A72" s="1574"/>
      <c r="B72" s="553" t="s">
        <v>230</v>
      </c>
      <c r="C72" s="553" t="s">
        <v>231</v>
      </c>
      <c r="D72" s="553" t="s">
        <v>16</v>
      </c>
      <c r="E72" s="1541"/>
      <c r="F72" s="1541"/>
      <c r="G72" s="1541"/>
      <c r="H72" s="1538"/>
      <c r="I72" s="1538"/>
      <c r="J72" s="1541"/>
      <c r="K72" s="1541"/>
      <c r="L72" s="1541"/>
      <c r="M72" s="1548"/>
      <c r="N72" s="1549"/>
      <c r="O72" s="1550"/>
      <c r="P72" s="1555"/>
      <c r="Q72" s="1558"/>
      <c r="R72" s="1598"/>
      <c r="S72" s="1599"/>
      <c r="T72" s="1541"/>
      <c r="U72" s="1601"/>
    </row>
    <row r="73" spans="1:24" ht="21" customHeight="1">
      <c r="A73" s="1574"/>
      <c r="B73" s="562"/>
      <c r="C73" s="562"/>
      <c r="D73" s="562"/>
      <c r="E73" s="1542"/>
      <c r="F73" s="1542"/>
      <c r="G73" s="1542"/>
      <c r="H73" s="1539"/>
      <c r="I73" s="1539"/>
      <c r="J73" s="1542"/>
      <c r="K73" s="1542"/>
      <c r="L73" s="1542"/>
      <c r="M73" s="1548"/>
      <c r="N73" s="1549"/>
      <c r="O73" s="1550"/>
      <c r="P73" s="1555"/>
      <c r="Q73" s="1559"/>
      <c r="R73" s="1579"/>
      <c r="S73" s="1582"/>
      <c r="T73" s="1542"/>
      <c r="U73" s="1602"/>
    </row>
    <row r="74" spans="1:24" ht="20.25">
      <c r="A74" s="1588" t="s">
        <v>279</v>
      </c>
      <c r="B74" s="1589"/>
      <c r="C74" s="1589"/>
      <c r="D74" s="1589"/>
      <c r="E74" s="1591" t="s">
        <v>800</v>
      </c>
      <c r="F74" s="1591"/>
      <c r="G74" s="555"/>
      <c r="H74" s="1499" t="s">
        <v>801</v>
      </c>
      <c r="I74" s="1499"/>
      <c r="J74" s="518"/>
      <c r="K74" s="1499" t="s">
        <v>802</v>
      </c>
      <c r="L74" s="1499"/>
      <c r="M74" s="556"/>
      <c r="N74" s="1499" t="s">
        <v>803</v>
      </c>
      <c r="O74" s="1499"/>
      <c r="P74" s="557"/>
      <c r="Q74" s="1570" t="s">
        <v>280</v>
      </c>
      <c r="R74" s="1570"/>
      <c r="S74" s="1568"/>
      <c r="T74" s="1568"/>
      <c r="U74" s="1569"/>
    </row>
    <row r="75" spans="1:24" ht="20.25">
      <c r="A75" s="1592" t="s">
        <v>30</v>
      </c>
      <c r="B75" s="1593"/>
      <c r="C75" s="1593"/>
      <c r="D75" s="1608"/>
      <c r="E75" s="1603" t="s">
        <v>800</v>
      </c>
      <c r="F75" s="1604"/>
      <c r="G75" s="558"/>
      <c r="H75" s="1607" t="s">
        <v>801</v>
      </c>
      <c r="I75" s="1607"/>
      <c r="J75" s="559"/>
      <c r="K75" s="1607" t="s">
        <v>802</v>
      </c>
      <c r="L75" s="1607"/>
      <c r="M75" s="560"/>
      <c r="N75" s="1607" t="s">
        <v>803</v>
      </c>
      <c r="O75" s="1607"/>
      <c r="P75" s="561"/>
      <c r="Q75" s="1571" t="s">
        <v>280</v>
      </c>
      <c r="R75" s="1571"/>
      <c r="S75" s="1605"/>
      <c r="T75" s="1605"/>
      <c r="U75" s="1606"/>
    </row>
    <row r="76" spans="1:24" ht="29.25" customHeight="1">
      <c r="A76" s="1574">
        <f t="shared" ref="A76" si="22">IF(X76=0,0,W76)</f>
        <v>0</v>
      </c>
      <c r="B76" s="1575"/>
      <c r="C76" s="1575"/>
      <c r="D76" s="1575"/>
      <c r="E76" s="1576"/>
      <c r="F76" s="1576"/>
      <c r="G76" s="1576"/>
      <c r="H76" s="1544"/>
      <c r="I76" s="1544"/>
      <c r="J76" s="1576"/>
      <c r="K76" s="1576"/>
      <c r="L76" s="1576"/>
      <c r="M76" s="1548"/>
      <c r="N76" s="1549"/>
      <c r="O76" s="1550"/>
      <c r="P76" s="1555"/>
      <c r="Q76" s="1577">
        <f ca="1">IF(X76=0,0,IF(AND(P76='Data Base'!J85,G79&gt;0.5),0,G79*(IF(EXACT(M79,"نفر اول"),INDIRECT(CONCATENATE("'Data Base'!$C",J79)),INDIRECT(CONCATENATE("'Data Base'!$D",J79))))*((100-P79)/100)))</f>
        <v>0</v>
      </c>
      <c r="R76" s="1581">
        <f ca="1">IF(X76=0,0,IF(AND(P76='Data Base'!J85,G80&gt;0.5),0,G80*(IF(EXACT(M80,"نفر اول"),INDIRECT(CONCATENATE("'Data Base'!$C",J80)),INDIRECT(CONCATENATE("'Data Base'!$D",J80))))*((100-P80)/100)))</f>
        <v>0</v>
      </c>
      <c r="S76" s="1584"/>
      <c r="T76" s="1576"/>
      <c r="U76" s="1600"/>
      <c r="W76" s="220">
        <f t="shared" ref="W76" si="23">SUM(W71,X76)</f>
        <v>0</v>
      </c>
      <c r="X76" s="220">
        <f>IF(OR(E76="",P76="",J76="",M76="",D78="",C78="",B78=""),0,1)</f>
        <v>0</v>
      </c>
    </row>
    <row r="77" spans="1:24" ht="21" customHeight="1">
      <c r="A77" s="1574"/>
      <c r="B77" s="553" t="s">
        <v>230</v>
      </c>
      <c r="C77" s="553" t="s">
        <v>231</v>
      </c>
      <c r="D77" s="553" t="s">
        <v>16</v>
      </c>
      <c r="E77" s="1541"/>
      <c r="F77" s="1541"/>
      <c r="G77" s="1541"/>
      <c r="H77" s="1538"/>
      <c r="I77" s="1538"/>
      <c r="J77" s="1541"/>
      <c r="K77" s="1541"/>
      <c r="L77" s="1541"/>
      <c r="M77" s="1548"/>
      <c r="N77" s="1549"/>
      <c r="O77" s="1550"/>
      <c r="P77" s="1555"/>
      <c r="Q77" s="1558"/>
      <c r="R77" s="1598"/>
      <c r="S77" s="1599"/>
      <c r="T77" s="1541"/>
      <c r="U77" s="1601"/>
    </row>
    <row r="78" spans="1:24" ht="21" customHeight="1">
      <c r="A78" s="1574"/>
      <c r="B78" s="562"/>
      <c r="C78" s="562"/>
      <c r="D78" s="562"/>
      <c r="E78" s="1542"/>
      <c r="F78" s="1542"/>
      <c r="G78" s="1542"/>
      <c r="H78" s="1539"/>
      <c r="I78" s="1539"/>
      <c r="J78" s="1542"/>
      <c r="K78" s="1542"/>
      <c r="L78" s="1542"/>
      <c r="M78" s="1548"/>
      <c r="N78" s="1549"/>
      <c r="O78" s="1550"/>
      <c r="P78" s="1555"/>
      <c r="Q78" s="1559"/>
      <c r="R78" s="1579"/>
      <c r="S78" s="1582"/>
      <c r="T78" s="1542"/>
      <c r="U78" s="1602"/>
    </row>
    <row r="79" spans="1:24" ht="20.25">
      <c r="A79" s="1588" t="s">
        <v>279</v>
      </c>
      <c r="B79" s="1589"/>
      <c r="C79" s="1589"/>
      <c r="D79" s="1589"/>
      <c r="E79" s="1591" t="s">
        <v>800</v>
      </c>
      <c r="F79" s="1591"/>
      <c r="G79" s="555"/>
      <c r="H79" s="1499" t="s">
        <v>801</v>
      </c>
      <c r="I79" s="1499"/>
      <c r="J79" s="518"/>
      <c r="K79" s="1499" t="s">
        <v>802</v>
      </c>
      <c r="L79" s="1499"/>
      <c r="M79" s="556"/>
      <c r="N79" s="1499" t="s">
        <v>803</v>
      </c>
      <c r="O79" s="1499"/>
      <c r="P79" s="557"/>
      <c r="Q79" s="1570" t="s">
        <v>280</v>
      </c>
      <c r="R79" s="1570"/>
      <c r="S79" s="1568"/>
      <c r="T79" s="1568"/>
      <c r="U79" s="1569"/>
    </row>
    <row r="80" spans="1:24" ht="20.25">
      <c r="A80" s="1592" t="s">
        <v>30</v>
      </c>
      <c r="B80" s="1593"/>
      <c r="C80" s="1593"/>
      <c r="D80" s="1608"/>
      <c r="E80" s="1603" t="s">
        <v>800</v>
      </c>
      <c r="F80" s="1604"/>
      <c r="G80" s="558"/>
      <c r="H80" s="1607" t="s">
        <v>801</v>
      </c>
      <c r="I80" s="1607"/>
      <c r="J80" s="559"/>
      <c r="K80" s="1607" t="s">
        <v>802</v>
      </c>
      <c r="L80" s="1607"/>
      <c r="M80" s="560"/>
      <c r="N80" s="1607" t="s">
        <v>803</v>
      </c>
      <c r="O80" s="1607"/>
      <c r="P80" s="561"/>
      <c r="Q80" s="1571" t="s">
        <v>280</v>
      </c>
      <c r="R80" s="1571"/>
      <c r="S80" s="1605"/>
      <c r="T80" s="1605"/>
      <c r="U80" s="1606"/>
    </row>
    <row r="81" spans="1:24" ht="29.25" customHeight="1">
      <c r="A81" s="1574">
        <f t="shared" ref="A81" si="24">IF(X81=0,0,W81)</f>
        <v>0</v>
      </c>
      <c r="B81" s="1575"/>
      <c r="C81" s="1575"/>
      <c r="D81" s="1575"/>
      <c r="E81" s="1576"/>
      <c r="F81" s="1576"/>
      <c r="G81" s="1576"/>
      <c r="H81" s="1544"/>
      <c r="I81" s="1544"/>
      <c r="J81" s="1576"/>
      <c r="K81" s="1576"/>
      <c r="L81" s="1576"/>
      <c r="M81" s="1548"/>
      <c r="N81" s="1549"/>
      <c r="O81" s="1550"/>
      <c r="P81" s="1555"/>
      <c r="Q81" s="1577">
        <f ca="1">IF(X81=0,0,IF(AND(P81='Data Base'!J90,G84&gt;0.5),0,G84*(IF(EXACT(M84,"نفر اول"),INDIRECT(CONCATENATE("'Data Base'!$C",J84)),INDIRECT(CONCATENATE("'Data Base'!$D",J84))))*((100-P84)/100)))</f>
        <v>0</v>
      </c>
      <c r="R81" s="1581">
        <f ca="1">IF(X81=0,0,IF(AND(P81='Data Base'!J90,G85&gt;0.5),0,G85*(IF(EXACT(M85,"نفر اول"),INDIRECT(CONCATENATE("'Data Base'!$C",J85)),INDIRECT(CONCATENATE("'Data Base'!$D",J85))))*((100-P85)/100)))</f>
        <v>0</v>
      </c>
      <c r="S81" s="1584"/>
      <c r="T81" s="1576"/>
      <c r="U81" s="1600"/>
      <c r="W81" s="220">
        <f t="shared" ref="W81" si="25">SUM(W76,X81)</f>
        <v>0</v>
      </c>
      <c r="X81" s="220">
        <f>IF(OR(E81="",P81="",J81="",M81="",D83="",C83="",B83=""),0,1)</f>
        <v>0</v>
      </c>
    </row>
    <row r="82" spans="1:24" ht="21" customHeight="1">
      <c r="A82" s="1574"/>
      <c r="B82" s="553" t="s">
        <v>230</v>
      </c>
      <c r="C82" s="553" t="s">
        <v>231</v>
      </c>
      <c r="D82" s="553" t="s">
        <v>16</v>
      </c>
      <c r="E82" s="1541"/>
      <c r="F82" s="1541"/>
      <c r="G82" s="1541"/>
      <c r="H82" s="1538"/>
      <c r="I82" s="1538"/>
      <c r="J82" s="1541"/>
      <c r="K82" s="1541"/>
      <c r="L82" s="1541"/>
      <c r="M82" s="1548"/>
      <c r="N82" s="1549"/>
      <c r="O82" s="1550"/>
      <c r="P82" s="1555"/>
      <c r="Q82" s="1558"/>
      <c r="R82" s="1598"/>
      <c r="S82" s="1599"/>
      <c r="T82" s="1541"/>
      <c r="U82" s="1601"/>
    </row>
    <row r="83" spans="1:24" ht="21" customHeight="1">
      <c r="A83" s="1574"/>
      <c r="B83" s="562"/>
      <c r="C83" s="562"/>
      <c r="D83" s="562"/>
      <c r="E83" s="1542"/>
      <c r="F83" s="1542"/>
      <c r="G83" s="1542"/>
      <c r="H83" s="1539"/>
      <c r="I83" s="1539"/>
      <c r="J83" s="1542"/>
      <c r="K83" s="1542"/>
      <c r="L83" s="1542"/>
      <c r="M83" s="1548"/>
      <c r="N83" s="1549"/>
      <c r="O83" s="1550"/>
      <c r="P83" s="1555"/>
      <c r="Q83" s="1559"/>
      <c r="R83" s="1579"/>
      <c r="S83" s="1582"/>
      <c r="T83" s="1542"/>
      <c r="U83" s="1602"/>
    </row>
    <row r="84" spans="1:24" ht="20.25">
      <c r="A84" s="1588" t="s">
        <v>279</v>
      </c>
      <c r="B84" s="1589"/>
      <c r="C84" s="1589"/>
      <c r="D84" s="1589"/>
      <c r="E84" s="1591" t="s">
        <v>800</v>
      </c>
      <c r="F84" s="1591"/>
      <c r="G84" s="555"/>
      <c r="H84" s="1499" t="s">
        <v>801</v>
      </c>
      <c r="I84" s="1499"/>
      <c r="J84" s="518"/>
      <c r="K84" s="1499" t="s">
        <v>802</v>
      </c>
      <c r="L84" s="1499"/>
      <c r="M84" s="556"/>
      <c r="N84" s="1499" t="s">
        <v>803</v>
      </c>
      <c r="O84" s="1499"/>
      <c r="P84" s="557"/>
      <c r="Q84" s="1570" t="s">
        <v>280</v>
      </c>
      <c r="R84" s="1570"/>
      <c r="S84" s="1568"/>
      <c r="T84" s="1568"/>
      <c r="U84" s="1569"/>
    </row>
    <row r="85" spans="1:24" ht="20.25">
      <c r="A85" s="1592" t="s">
        <v>30</v>
      </c>
      <c r="B85" s="1593"/>
      <c r="C85" s="1593"/>
      <c r="D85" s="1608"/>
      <c r="E85" s="1603" t="s">
        <v>800</v>
      </c>
      <c r="F85" s="1604"/>
      <c r="G85" s="558"/>
      <c r="H85" s="1607" t="s">
        <v>801</v>
      </c>
      <c r="I85" s="1607"/>
      <c r="J85" s="559"/>
      <c r="K85" s="1607" t="s">
        <v>802</v>
      </c>
      <c r="L85" s="1607"/>
      <c r="M85" s="560"/>
      <c r="N85" s="1607" t="s">
        <v>803</v>
      </c>
      <c r="O85" s="1607"/>
      <c r="P85" s="561"/>
      <c r="Q85" s="1571" t="s">
        <v>280</v>
      </c>
      <c r="R85" s="1571"/>
      <c r="S85" s="1605"/>
      <c r="T85" s="1605"/>
      <c r="U85" s="1606"/>
    </row>
    <row r="86" spans="1:24" ht="29.25" customHeight="1">
      <c r="A86" s="1574">
        <f t="shared" ref="A86" si="26">IF(X86=0,0,W86)</f>
        <v>0</v>
      </c>
      <c r="B86" s="1575"/>
      <c r="C86" s="1575"/>
      <c r="D86" s="1575"/>
      <c r="E86" s="1576"/>
      <c r="F86" s="1576"/>
      <c r="G86" s="1576"/>
      <c r="H86" s="1544"/>
      <c r="I86" s="1544"/>
      <c r="J86" s="1576"/>
      <c r="K86" s="1576"/>
      <c r="L86" s="1576"/>
      <c r="M86" s="1548"/>
      <c r="N86" s="1549"/>
      <c r="O86" s="1550"/>
      <c r="P86" s="1555"/>
      <c r="Q86" s="1577">
        <f ca="1">IF(X86=0,0,IF(AND(P86='Data Base'!J95,G89&gt;0.5),0,G89*(IF(EXACT(M89,"نفر اول"),INDIRECT(CONCATENATE("'Data Base'!$C",J89)),INDIRECT(CONCATENATE("'Data Base'!$D",J89))))*((100-P89)/100)))</f>
        <v>0</v>
      </c>
      <c r="R86" s="1581">
        <f ca="1">IF(X86=0,0,IF(AND(P86='Data Base'!J95,G90&gt;0.5),0,G90*(IF(EXACT(M90,"نفر اول"),INDIRECT(CONCATENATE("'Data Base'!$C",J90)),INDIRECT(CONCATENATE("'Data Base'!$D",J90))))*((100-P90)/100)))</f>
        <v>0</v>
      </c>
      <c r="S86" s="1584"/>
      <c r="T86" s="1576"/>
      <c r="U86" s="1600"/>
      <c r="W86" s="220">
        <f t="shared" ref="W86" si="27">SUM(W81,X86)</f>
        <v>0</v>
      </c>
      <c r="X86" s="220">
        <f>IF(OR(E86="",P86="",J86="",M86="",D88="",C88="",B88=""),0,1)</f>
        <v>0</v>
      </c>
    </row>
    <row r="87" spans="1:24" ht="21" customHeight="1">
      <c r="A87" s="1574"/>
      <c r="B87" s="553" t="s">
        <v>230</v>
      </c>
      <c r="C87" s="553" t="s">
        <v>231</v>
      </c>
      <c r="D87" s="553" t="s">
        <v>16</v>
      </c>
      <c r="E87" s="1541"/>
      <c r="F87" s="1541"/>
      <c r="G87" s="1541"/>
      <c r="H87" s="1538"/>
      <c r="I87" s="1538"/>
      <c r="J87" s="1541"/>
      <c r="K87" s="1541"/>
      <c r="L87" s="1541"/>
      <c r="M87" s="1548"/>
      <c r="N87" s="1549"/>
      <c r="O87" s="1550"/>
      <c r="P87" s="1555"/>
      <c r="Q87" s="1558"/>
      <c r="R87" s="1598"/>
      <c r="S87" s="1599"/>
      <c r="T87" s="1541"/>
      <c r="U87" s="1601"/>
    </row>
    <row r="88" spans="1:24" ht="21" customHeight="1">
      <c r="A88" s="1574"/>
      <c r="B88" s="562"/>
      <c r="C88" s="562"/>
      <c r="D88" s="562"/>
      <c r="E88" s="1542"/>
      <c r="F88" s="1542"/>
      <c r="G88" s="1542"/>
      <c r="H88" s="1539"/>
      <c r="I88" s="1539"/>
      <c r="J88" s="1542"/>
      <c r="K88" s="1542"/>
      <c r="L88" s="1542"/>
      <c r="M88" s="1548"/>
      <c r="N88" s="1549"/>
      <c r="O88" s="1550"/>
      <c r="P88" s="1555"/>
      <c r="Q88" s="1559"/>
      <c r="R88" s="1579"/>
      <c r="S88" s="1582"/>
      <c r="T88" s="1542"/>
      <c r="U88" s="1602"/>
    </row>
    <row r="89" spans="1:24" ht="20.25">
      <c r="A89" s="1588" t="s">
        <v>279</v>
      </c>
      <c r="B89" s="1589"/>
      <c r="C89" s="1589"/>
      <c r="D89" s="1589"/>
      <c r="E89" s="1591" t="s">
        <v>800</v>
      </c>
      <c r="F89" s="1591"/>
      <c r="G89" s="555"/>
      <c r="H89" s="1499" t="s">
        <v>801</v>
      </c>
      <c r="I89" s="1499"/>
      <c r="J89" s="518"/>
      <c r="K89" s="1499" t="s">
        <v>802</v>
      </c>
      <c r="L89" s="1499"/>
      <c r="M89" s="556"/>
      <c r="N89" s="1499" t="s">
        <v>803</v>
      </c>
      <c r="O89" s="1499"/>
      <c r="P89" s="557"/>
      <c r="Q89" s="1570" t="s">
        <v>280</v>
      </c>
      <c r="R89" s="1570"/>
      <c r="S89" s="1568"/>
      <c r="T89" s="1568"/>
      <c r="U89" s="1569"/>
    </row>
    <row r="90" spans="1:24" ht="20.25">
      <c r="A90" s="1592" t="s">
        <v>30</v>
      </c>
      <c r="B90" s="1593"/>
      <c r="C90" s="1593"/>
      <c r="D90" s="1608"/>
      <c r="E90" s="1603" t="s">
        <v>800</v>
      </c>
      <c r="F90" s="1604"/>
      <c r="G90" s="558"/>
      <c r="H90" s="1607" t="s">
        <v>801</v>
      </c>
      <c r="I90" s="1607"/>
      <c r="J90" s="559"/>
      <c r="K90" s="1607" t="s">
        <v>802</v>
      </c>
      <c r="L90" s="1607"/>
      <c r="M90" s="560"/>
      <c r="N90" s="1607" t="s">
        <v>803</v>
      </c>
      <c r="O90" s="1607"/>
      <c r="P90" s="561"/>
      <c r="Q90" s="1571" t="s">
        <v>280</v>
      </c>
      <c r="R90" s="1571"/>
      <c r="S90" s="1605"/>
      <c r="T90" s="1605"/>
      <c r="U90" s="1606"/>
    </row>
    <row r="91" spans="1:24" ht="29.25" customHeight="1">
      <c r="A91" s="1574">
        <f t="shared" ref="A91" si="28">IF(X91=0,0,W91)</f>
        <v>0</v>
      </c>
      <c r="B91" s="1575"/>
      <c r="C91" s="1575"/>
      <c r="D91" s="1575"/>
      <c r="E91" s="1576"/>
      <c r="F91" s="1576"/>
      <c r="G91" s="1576"/>
      <c r="H91" s="1544"/>
      <c r="I91" s="1544"/>
      <c r="J91" s="1576"/>
      <c r="K91" s="1576"/>
      <c r="L91" s="1576"/>
      <c r="M91" s="1548"/>
      <c r="N91" s="1549"/>
      <c r="O91" s="1550"/>
      <c r="P91" s="1555"/>
      <c r="Q91" s="1577">
        <f ca="1">IF(X91=0,0,IF(AND(P91='Data Base'!J100,G94&gt;0.5),0,G94*(IF(EXACT(M94,"نفر اول"),INDIRECT(CONCATENATE("'Data Base'!$C",J94)),INDIRECT(CONCATENATE("'Data Base'!$D",J94))))*((100-P94)/100)))</f>
        <v>0</v>
      </c>
      <c r="R91" s="1581">
        <f ca="1">IF(X91=0,0,IF(AND(P91='Data Base'!J100,G95&gt;0.5),0,G95*(IF(EXACT(M95,"نفر اول"),INDIRECT(CONCATENATE("'Data Base'!$C",J95)),INDIRECT(CONCATENATE("'Data Base'!$D",J95))))*((100-P95)/100)))</f>
        <v>0</v>
      </c>
      <c r="S91" s="1584"/>
      <c r="T91" s="1576"/>
      <c r="U91" s="1600"/>
      <c r="W91" s="220">
        <f t="shared" ref="W91" si="29">SUM(W86,X91)</f>
        <v>0</v>
      </c>
      <c r="X91" s="220">
        <f>IF(OR(E91="",P91="",J91="",M91="",D93="",C93="",B93=""),0,1)</f>
        <v>0</v>
      </c>
    </row>
    <row r="92" spans="1:24" ht="21" customHeight="1">
      <c r="A92" s="1574"/>
      <c r="B92" s="553" t="s">
        <v>230</v>
      </c>
      <c r="C92" s="553" t="s">
        <v>231</v>
      </c>
      <c r="D92" s="553" t="s">
        <v>16</v>
      </c>
      <c r="E92" s="1541"/>
      <c r="F92" s="1541"/>
      <c r="G92" s="1541"/>
      <c r="H92" s="1538"/>
      <c r="I92" s="1538"/>
      <c r="J92" s="1541"/>
      <c r="K92" s="1541"/>
      <c r="L92" s="1541"/>
      <c r="M92" s="1548"/>
      <c r="N92" s="1549"/>
      <c r="O92" s="1550"/>
      <c r="P92" s="1555"/>
      <c r="Q92" s="1558"/>
      <c r="R92" s="1598"/>
      <c r="S92" s="1599"/>
      <c r="T92" s="1541"/>
      <c r="U92" s="1601"/>
    </row>
    <row r="93" spans="1:24" ht="21" customHeight="1">
      <c r="A93" s="1574"/>
      <c r="B93" s="562"/>
      <c r="C93" s="562"/>
      <c r="D93" s="562"/>
      <c r="E93" s="1542"/>
      <c r="F93" s="1542"/>
      <c r="G93" s="1542"/>
      <c r="H93" s="1539"/>
      <c r="I93" s="1539"/>
      <c r="J93" s="1542"/>
      <c r="K93" s="1542"/>
      <c r="L93" s="1542"/>
      <c r="M93" s="1548"/>
      <c r="N93" s="1549"/>
      <c r="O93" s="1550"/>
      <c r="P93" s="1555"/>
      <c r="Q93" s="1559"/>
      <c r="R93" s="1579"/>
      <c r="S93" s="1582"/>
      <c r="T93" s="1542"/>
      <c r="U93" s="1602"/>
    </row>
    <row r="94" spans="1:24" ht="20.25">
      <c r="A94" s="1588" t="s">
        <v>279</v>
      </c>
      <c r="B94" s="1589"/>
      <c r="C94" s="1589"/>
      <c r="D94" s="1589"/>
      <c r="E94" s="1591" t="s">
        <v>800</v>
      </c>
      <c r="F94" s="1591"/>
      <c r="G94" s="555"/>
      <c r="H94" s="1499" t="s">
        <v>801</v>
      </c>
      <c r="I94" s="1499"/>
      <c r="J94" s="518"/>
      <c r="K94" s="1499" t="s">
        <v>802</v>
      </c>
      <c r="L94" s="1499"/>
      <c r="M94" s="556"/>
      <c r="N94" s="1499" t="s">
        <v>803</v>
      </c>
      <c r="O94" s="1499"/>
      <c r="P94" s="557"/>
      <c r="Q94" s="1570" t="s">
        <v>280</v>
      </c>
      <c r="R94" s="1570"/>
      <c r="S94" s="1568"/>
      <c r="T94" s="1568"/>
      <c r="U94" s="1569"/>
    </row>
    <row r="95" spans="1:24" ht="20.25">
      <c r="A95" s="1592" t="s">
        <v>30</v>
      </c>
      <c r="B95" s="1593"/>
      <c r="C95" s="1593"/>
      <c r="D95" s="1608"/>
      <c r="E95" s="1603" t="s">
        <v>800</v>
      </c>
      <c r="F95" s="1604"/>
      <c r="G95" s="558"/>
      <c r="H95" s="1607" t="s">
        <v>801</v>
      </c>
      <c r="I95" s="1607"/>
      <c r="J95" s="559"/>
      <c r="K95" s="1607" t="s">
        <v>802</v>
      </c>
      <c r="L95" s="1607"/>
      <c r="M95" s="560"/>
      <c r="N95" s="1607" t="s">
        <v>803</v>
      </c>
      <c r="O95" s="1607"/>
      <c r="P95" s="561"/>
      <c r="Q95" s="1571" t="s">
        <v>280</v>
      </c>
      <c r="R95" s="1571"/>
      <c r="S95" s="1605"/>
      <c r="T95" s="1605"/>
      <c r="U95" s="1606"/>
    </row>
    <row r="96" spans="1:24" ht="29.25" customHeight="1">
      <c r="A96" s="1574">
        <f t="shared" ref="A96" si="30">IF(X96=0,0,W96)</f>
        <v>0</v>
      </c>
      <c r="B96" s="1575"/>
      <c r="C96" s="1575"/>
      <c r="D96" s="1575"/>
      <c r="E96" s="1576"/>
      <c r="F96" s="1576"/>
      <c r="G96" s="1576"/>
      <c r="H96" s="1544"/>
      <c r="I96" s="1544"/>
      <c r="J96" s="1576"/>
      <c r="K96" s="1576"/>
      <c r="L96" s="1576"/>
      <c r="M96" s="1548"/>
      <c r="N96" s="1549"/>
      <c r="O96" s="1550"/>
      <c r="P96" s="1555"/>
      <c r="Q96" s="1577">
        <f ca="1">IF(X96=0,0,IF(AND(P96='Data Base'!J105,G99&gt;0.5),0,G99*(IF(EXACT(M99,"نفر اول"),INDIRECT(CONCATENATE("'Data Base'!$C",J99)),INDIRECT(CONCATENATE("'Data Base'!$D",J99))))*((100-P99)/100)))</f>
        <v>0</v>
      </c>
      <c r="R96" s="1581">
        <f ca="1">IF(X96=0,0,IF(AND(P96='Data Base'!J105,G100&gt;0.5),0,G100*(IF(EXACT(M100,"نفر اول"),INDIRECT(CONCATENATE("'Data Base'!$C",J100)),INDIRECT(CONCATENATE("'Data Base'!$D",J100))))*((100-P100)/100)))</f>
        <v>0</v>
      </c>
      <c r="S96" s="1584"/>
      <c r="T96" s="1576"/>
      <c r="U96" s="1600"/>
      <c r="W96" s="220">
        <f t="shared" ref="W96" si="31">SUM(W91,X96)</f>
        <v>0</v>
      </c>
      <c r="X96" s="220">
        <f>IF(OR(E96="",P96="",J96="",M96="",D98="",C98="",B98=""),0,1)</f>
        <v>0</v>
      </c>
    </row>
    <row r="97" spans="1:24" ht="21" customHeight="1">
      <c r="A97" s="1574"/>
      <c r="B97" s="553" t="s">
        <v>230</v>
      </c>
      <c r="C97" s="553" t="s">
        <v>231</v>
      </c>
      <c r="D97" s="553" t="s">
        <v>16</v>
      </c>
      <c r="E97" s="1541"/>
      <c r="F97" s="1541"/>
      <c r="G97" s="1541"/>
      <c r="H97" s="1538"/>
      <c r="I97" s="1538"/>
      <c r="J97" s="1541"/>
      <c r="K97" s="1541"/>
      <c r="L97" s="1541"/>
      <c r="M97" s="1548"/>
      <c r="N97" s="1549"/>
      <c r="O97" s="1550"/>
      <c r="P97" s="1555"/>
      <c r="Q97" s="1558"/>
      <c r="R97" s="1598"/>
      <c r="S97" s="1599"/>
      <c r="T97" s="1541"/>
      <c r="U97" s="1601"/>
    </row>
    <row r="98" spans="1:24" ht="21" customHeight="1">
      <c r="A98" s="1574"/>
      <c r="B98" s="562"/>
      <c r="C98" s="562"/>
      <c r="D98" s="562"/>
      <c r="E98" s="1542"/>
      <c r="F98" s="1542"/>
      <c r="G98" s="1542"/>
      <c r="H98" s="1539"/>
      <c r="I98" s="1539"/>
      <c r="J98" s="1542"/>
      <c r="K98" s="1542"/>
      <c r="L98" s="1542"/>
      <c r="M98" s="1548"/>
      <c r="N98" s="1549"/>
      <c r="O98" s="1550"/>
      <c r="P98" s="1555"/>
      <c r="Q98" s="1559"/>
      <c r="R98" s="1579"/>
      <c r="S98" s="1582"/>
      <c r="T98" s="1542"/>
      <c r="U98" s="1602"/>
    </row>
    <row r="99" spans="1:24" ht="20.25">
      <c r="A99" s="1588" t="s">
        <v>279</v>
      </c>
      <c r="B99" s="1589"/>
      <c r="C99" s="1589"/>
      <c r="D99" s="1589"/>
      <c r="E99" s="1591" t="s">
        <v>800</v>
      </c>
      <c r="F99" s="1591"/>
      <c r="G99" s="555"/>
      <c r="H99" s="1499" t="s">
        <v>801</v>
      </c>
      <c r="I99" s="1499"/>
      <c r="J99" s="518"/>
      <c r="K99" s="1499" t="s">
        <v>802</v>
      </c>
      <c r="L99" s="1499"/>
      <c r="M99" s="556"/>
      <c r="N99" s="1499" t="s">
        <v>803</v>
      </c>
      <c r="O99" s="1499"/>
      <c r="P99" s="557"/>
      <c r="Q99" s="1570" t="s">
        <v>280</v>
      </c>
      <c r="R99" s="1570"/>
      <c r="S99" s="1568"/>
      <c r="T99" s="1568"/>
      <c r="U99" s="1569"/>
    </row>
    <row r="100" spans="1:24" ht="20.25">
      <c r="A100" s="1592" t="s">
        <v>30</v>
      </c>
      <c r="B100" s="1593"/>
      <c r="C100" s="1593"/>
      <c r="D100" s="1608"/>
      <c r="E100" s="1603" t="s">
        <v>800</v>
      </c>
      <c r="F100" s="1604"/>
      <c r="G100" s="558"/>
      <c r="H100" s="1607" t="s">
        <v>801</v>
      </c>
      <c r="I100" s="1607"/>
      <c r="J100" s="559"/>
      <c r="K100" s="1607" t="s">
        <v>802</v>
      </c>
      <c r="L100" s="1607"/>
      <c r="M100" s="560"/>
      <c r="N100" s="1607" t="s">
        <v>803</v>
      </c>
      <c r="O100" s="1607"/>
      <c r="P100" s="561"/>
      <c r="Q100" s="1571" t="s">
        <v>280</v>
      </c>
      <c r="R100" s="1571"/>
      <c r="S100" s="1605"/>
      <c r="T100" s="1605"/>
      <c r="U100" s="1606"/>
    </row>
    <row r="101" spans="1:24" ht="29.25" customHeight="1">
      <c r="A101" s="1574">
        <f t="shared" ref="A101" si="32">IF(X101=0,0,W101)</f>
        <v>0</v>
      </c>
      <c r="B101" s="1575"/>
      <c r="C101" s="1575"/>
      <c r="D101" s="1575"/>
      <c r="E101" s="1576"/>
      <c r="F101" s="1576"/>
      <c r="G101" s="1576"/>
      <c r="H101" s="1544"/>
      <c r="I101" s="1544"/>
      <c r="J101" s="1576"/>
      <c r="K101" s="1576"/>
      <c r="L101" s="1576"/>
      <c r="M101" s="1548"/>
      <c r="N101" s="1549"/>
      <c r="O101" s="1550"/>
      <c r="P101" s="1555"/>
      <c r="Q101" s="1577">
        <f ca="1">IF(X101=0,0,IF(AND(P101='Data Base'!J110,G104&gt;0.5),0,G104*(IF(EXACT(M104,"نفر اول"),INDIRECT(CONCATENATE("'Data Base'!$C",J104)),INDIRECT(CONCATENATE("'Data Base'!$D",J104))))*((100-P104)/100)))</f>
        <v>0</v>
      </c>
      <c r="R101" s="1581">
        <f ca="1">IF(X101=0,0,IF(AND(P101='Data Base'!J110,G105&gt;0.5),0,G105*(IF(EXACT(M105,"نفر اول"),INDIRECT(CONCATENATE("'Data Base'!$C",J105)),INDIRECT(CONCATENATE("'Data Base'!$D",J105))))*((100-P105)/100)))</f>
        <v>0</v>
      </c>
      <c r="S101" s="1584"/>
      <c r="T101" s="1576"/>
      <c r="U101" s="1600"/>
      <c r="W101" s="220">
        <f t="shared" ref="W101" si="33">SUM(W96,X101)</f>
        <v>0</v>
      </c>
      <c r="X101" s="220">
        <f>IF(OR(E101="",P101="",J101="",M101="",D103="",C103="",B103=""),0,1)</f>
        <v>0</v>
      </c>
    </row>
    <row r="102" spans="1:24" ht="21" customHeight="1">
      <c r="A102" s="1574"/>
      <c r="B102" s="553" t="s">
        <v>230</v>
      </c>
      <c r="C102" s="553" t="s">
        <v>231</v>
      </c>
      <c r="D102" s="553" t="s">
        <v>16</v>
      </c>
      <c r="E102" s="1541"/>
      <c r="F102" s="1541"/>
      <c r="G102" s="1541"/>
      <c r="H102" s="1538"/>
      <c r="I102" s="1538"/>
      <c r="J102" s="1541"/>
      <c r="K102" s="1541"/>
      <c r="L102" s="1541"/>
      <c r="M102" s="1548"/>
      <c r="N102" s="1549"/>
      <c r="O102" s="1550"/>
      <c r="P102" s="1555"/>
      <c r="Q102" s="1558"/>
      <c r="R102" s="1598"/>
      <c r="S102" s="1599"/>
      <c r="T102" s="1541"/>
      <c r="U102" s="1601"/>
    </row>
    <row r="103" spans="1:24" ht="21" customHeight="1">
      <c r="A103" s="1574"/>
      <c r="B103" s="562"/>
      <c r="C103" s="562"/>
      <c r="D103" s="562"/>
      <c r="E103" s="1542"/>
      <c r="F103" s="1542"/>
      <c r="G103" s="1542"/>
      <c r="H103" s="1539"/>
      <c r="I103" s="1539"/>
      <c r="J103" s="1542"/>
      <c r="K103" s="1542"/>
      <c r="L103" s="1542"/>
      <c r="M103" s="1548"/>
      <c r="N103" s="1549"/>
      <c r="O103" s="1550"/>
      <c r="P103" s="1555"/>
      <c r="Q103" s="1559"/>
      <c r="R103" s="1579"/>
      <c r="S103" s="1582"/>
      <c r="T103" s="1542"/>
      <c r="U103" s="1602"/>
    </row>
    <row r="104" spans="1:24" ht="20.25">
      <c r="A104" s="1588" t="s">
        <v>279</v>
      </c>
      <c r="B104" s="1589"/>
      <c r="C104" s="1589"/>
      <c r="D104" s="1589"/>
      <c r="E104" s="1591" t="s">
        <v>800</v>
      </c>
      <c r="F104" s="1591"/>
      <c r="G104" s="555"/>
      <c r="H104" s="1499" t="s">
        <v>801</v>
      </c>
      <c r="I104" s="1499"/>
      <c r="J104" s="518"/>
      <c r="K104" s="1499" t="s">
        <v>802</v>
      </c>
      <c r="L104" s="1499"/>
      <c r="M104" s="556"/>
      <c r="N104" s="1499" t="s">
        <v>803</v>
      </c>
      <c r="O104" s="1499"/>
      <c r="P104" s="557"/>
      <c r="Q104" s="1570" t="s">
        <v>280</v>
      </c>
      <c r="R104" s="1570"/>
      <c r="S104" s="1568"/>
      <c r="T104" s="1568"/>
      <c r="U104" s="1569"/>
    </row>
    <row r="105" spans="1:24" ht="20.25">
      <c r="A105" s="1592" t="s">
        <v>30</v>
      </c>
      <c r="B105" s="1593"/>
      <c r="C105" s="1593"/>
      <c r="D105" s="1608"/>
      <c r="E105" s="1603" t="s">
        <v>800</v>
      </c>
      <c r="F105" s="1604"/>
      <c r="G105" s="558"/>
      <c r="H105" s="1607" t="s">
        <v>801</v>
      </c>
      <c r="I105" s="1607"/>
      <c r="J105" s="559"/>
      <c r="K105" s="1607" t="s">
        <v>802</v>
      </c>
      <c r="L105" s="1607"/>
      <c r="M105" s="560"/>
      <c r="N105" s="1607" t="s">
        <v>803</v>
      </c>
      <c r="O105" s="1607"/>
      <c r="P105" s="561"/>
      <c r="Q105" s="1571" t="s">
        <v>280</v>
      </c>
      <c r="R105" s="1571"/>
      <c r="S105" s="1605"/>
      <c r="T105" s="1605"/>
      <c r="U105" s="1606"/>
    </row>
    <row r="106" spans="1:24" ht="29.25" customHeight="1">
      <c r="A106" s="1574">
        <f t="shared" ref="A106" si="34">IF(X106=0,0,W106)</f>
        <v>0</v>
      </c>
      <c r="B106" s="1575"/>
      <c r="C106" s="1575"/>
      <c r="D106" s="1575"/>
      <c r="E106" s="1576"/>
      <c r="F106" s="1576"/>
      <c r="G106" s="1576"/>
      <c r="H106" s="1544"/>
      <c r="I106" s="1544"/>
      <c r="J106" s="1576"/>
      <c r="K106" s="1576"/>
      <c r="L106" s="1576"/>
      <c r="M106" s="1548"/>
      <c r="N106" s="1549"/>
      <c r="O106" s="1550"/>
      <c r="P106" s="1555"/>
      <c r="Q106" s="1577">
        <f ca="1">IF(X106=0,0,IF(AND(P106='Data Base'!J115,G109&gt;0.5),0,G109*(IF(EXACT(M109,"نفر اول"),INDIRECT(CONCATENATE("'Data Base'!$C",J109)),INDIRECT(CONCATENATE("'Data Base'!$D",J109))))*((100-P109)/100)))</f>
        <v>0</v>
      </c>
      <c r="R106" s="1581">
        <f ca="1">IF(X106=0,0,IF(AND(P106='Data Base'!J115,G110&gt;0.5),0,G110*(IF(EXACT(M110,"نفر اول"),INDIRECT(CONCATENATE("'Data Base'!$C",J110)),INDIRECT(CONCATENATE("'Data Base'!$D",J110))))*((100-P110)/100)))</f>
        <v>0</v>
      </c>
      <c r="S106" s="1584"/>
      <c r="T106" s="1576"/>
      <c r="U106" s="1600"/>
      <c r="W106" s="220">
        <f t="shared" ref="W106" si="35">SUM(W101,X106)</f>
        <v>0</v>
      </c>
      <c r="X106" s="220">
        <f>IF(OR(E106="",P106="",J106="",M106="",D108="",C108="",B108=""),0,1)</f>
        <v>0</v>
      </c>
    </row>
    <row r="107" spans="1:24" ht="21" customHeight="1">
      <c r="A107" s="1574"/>
      <c r="B107" s="553" t="s">
        <v>230</v>
      </c>
      <c r="C107" s="553" t="s">
        <v>231</v>
      </c>
      <c r="D107" s="553" t="s">
        <v>16</v>
      </c>
      <c r="E107" s="1541"/>
      <c r="F107" s="1541"/>
      <c r="G107" s="1541"/>
      <c r="H107" s="1538"/>
      <c r="I107" s="1538"/>
      <c r="J107" s="1541"/>
      <c r="K107" s="1541"/>
      <c r="L107" s="1541"/>
      <c r="M107" s="1548"/>
      <c r="N107" s="1549"/>
      <c r="O107" s="1550"/>
      <c r="P107" s="1555"/>
      <c r="Q107" s="1558"/>
      <c r="R107" s="1598"/>
      <c r="S107" s="1599"/>
      <c r="T107" s="1541"/>
      <c r="U107" s="1601"/>
    </row>
    <row r="108" spans="1:24" ht="21" customHeight="1">
      <c r="A108" s="1574"/>
      <c r="B108" s="562"/>
      <c r="C108" s="562"/>
      <c r="D108" s="562"/>
      <c r="E108" s="1542"/>
      <c r="F108" s="1542"/>
      <c r="G108" s="1542"/>
      <c r="H108" s="1539"/>
      <c r="I108" s="1539"/>
      <c r="J108" s="1542"/>
      <c r="K108" s="1542"/>
      <c r="L108" s="1542"/>
      <c r="M108" s="1548"/>
      <c r="N108" s="1549"/>
      <c r="O108" s="1550"/>
      <c r="P108" s="1555"/>
      <c r="Q108" s="1559"/>
      <c r="R108" s="1579"/>
      <c r="S108" s="1582"/>
      <c r="T108" s="1542"/>
      <c r="U108" s="1602"/>
    </row>
    <row r="109" spans="1:24" ht="20.25">
      <c r="A109" s="1588" t="s">
        <v>279</v>
      </c>
      <c r="B109" s="1589"/>
      <c r="C109" s="1589"/>
      <c r="D109" s="1589"/>
      <c r="E109" s="1591" t="s">
        <v>800</v>
      </c>
      <c r="F109" s="1591"/>
      <c r="G109" s="555"/>
      <c r="H109" s="1499" t="s">
        <v>801</v>
      </c>
      <c r="I109" s="1499"/>
      <c r="J109" s="518"/>
      <c r="K109" s="1499" t="s">
        <v>802</v>
      </c>
      <c r="L109" s="1499"/>
      <c r="M109" s="556"/>
      <c r="N109" s="1499" t="s">
        <v>803</v>
      </c>
      <c r="O109" s="1499"/>
      <c r="P109" s="557"/>
      <c r="Q109" s="1570" t="s">
        <v>280</v>
      </c>
      <c r="R109" s="1570"/>
      <c r="S109" s="1568"/>
      <c r="T109" s="1568"/>
      <c r="U109" s="1569"/>
    </row>
    <row r="110" spans="1:24" ht="20.25">
      <c r="A110" s="1592" t="s">
        <v>30</v>
      </c>
      <c r="B110" s="1593"/>
      <c r="C110" s="1593"/>
      <c r="D110" s="1608"/>
      <c r="E110" s="1603" t="s">
        <v>800</v>
      </c>
      <c r="F110" s="1604"/>
      <c r="G110" s="558"/>
      <c r="H110" s="1607" t="s">
        <v>801</v>
      </c>
      <c r="I110" s="1607"/>
      <c r="J110" s="559"/>
      <c r="K110" s="1607" t="s">
        <v>802</v>
      </c>
      <c r="L110" s="1607"/>
      <c r="M110" s="560"/>
      <c r="N110" s="1607" t="s">
        <v>803</v>
      </c>
      <c r="O110" s="1607"/>
      <c r="P110" s="561"/>
      <c r="Q110" s="1571" t="s">
        <v>280</v>
      </c>
      <c r="R110" s="1571"/>
      <c r="S110" s="1605"/>
      <c r="T110" s="1605"/>
      <c r="U110" s="1606"/>
    </row>
    <row r="111" spans="1:24" ht="29.25" customHeight="1">
      <c r="A111" s="1574">
        <f t="shared" ref="A111" si="36">IF(X111=0,0,W111)</f>
        <v>0</v>
      </c>
      <c r="B111" s="1575"/>
      <c r="C111" s="1575"/>
      <c r="D111" s="1575"/>
      <c r="E111" s="1576"/>
      <c r="F111" s="1576"/>
      <c r="G111" s="1576"/>
      <c r="H111" s="1544"/>
      <c r="I111" s="1544"/>
      <c r="J111" s="1576"/>
      <c r="K111" s="1576"/>
      <c r="L111" s="1576"/>
      <c r="M111" s="1548"/>
      <c r="N111" s="1549"/>
      <c r="O111" s="1550"/>
      <c r="P111" s="1555"/>
      <c r="Q111" s="1577">
        <f ca="1">IF(X111=0,0,IF(AND(P111='Data Base'!J120,G114&gt;0.5),0,G114*(IF(EXACT(M114,"نفر اول"),INDIRECT(CONCATENATE("'Data Base'!$C",J114)),INDIRECT(CONCATENATE("'Data Base'!$D",J114))))*((100-P114)/100)))</f>
        <v>0</v>
      </c>
      <c r="R111" s="1581">
        <f ca="1">IF(X111=0,0,IF(AND(P111='Data Base'!J120,G115&gt;0.5),0,G115*(IF(EXACT(M115,"نفر اول"),INDIRECT(CONCATENATE("'Data Base'!$C",J115)),INDIRECT(CONCATENATE("'Data Base'!$D",J115))))*((100-P115)/100)))</f>
        <v>0</v>
      </c>
      <c r="S111" s="1584"/>
      <c r="T111" s="1576"/>
      <c r="U111" s="1600"/>
      <c r="W111" s="220">
        <f t="shared" ref="W111" si="37">SUM(W106,X111)</f>
        <v>0</v>
      </c>
      <c r="X111" s="220">
        <f>IF(OR(E111="",P111="",J111="",M111="",D113="",C113="",B113=""),0,1)</f>
        <v>0</v>
      </c>
    </row>
    <row r="112" spans="1:24" ht="21" customHeight="1">
      <c r="A112" s="1574"/>
      <c r="B112" s="553" t="s">
        <v>230</v>
      </c>
      <c r="C112" s="553" t="s">
        <v>231</v>
      </c>
      <c r="D112" s="553" t="s">
        <v>16</v>
      </c>
      <c r="E112" s="1541"/>
      <c r="F112" s="1541"/>
      <c r="G112" s="1541"/>
      <c r="H112" s="1538"/>
      <c r="I112" s="1538"/>
      <c r="J112" s="1541"/>
      <c r="K112" s="1541"/>
      <c r="L112" s="1541"/>
      <c r="M112" s="1548"/>
      <c r="N112" s="1549"/>
      <c r="O112" s="1550"/>
      <c r="P112" s="1555"/>
      <c r="Q112" s="1558"/>
      <c r="R112" s="1598"/>
      <c r="S112" s="1599"/>
      <c r="T112" s="1541"/>
      <c r="U112" s="1601"/>
    </row>
    <row r="113" spans="1:24" ht="21" customHeight="1">
      <c r="A113" s="1574"/>
      <c r="B113" s="562"/>
      <c r="C113" s="562"/>
      <c r="D113" s="562"/>
      <c r="E113" s="1542"/>
      <c r="F113" s="1542"/>
      <c r="G113" s="1542"/>
      <c r="H113" s="1539"/>
      <c r="I113" s="1539"/>
      <c r="J113" s="1542"/>
      <c r="K113" s="1542"/>
      <c r="L113" s="1542"/>
      <c r="M113" s="1548"/>
      <c r="N113" s="1549"/>
      <c r="O113" s="1550"/>
      <c r="P113" s="1555"/>
      <c r="Q113" s="1559"/>
      <c r="R113" s="1579"/>
      <c r="S113" s="1582"/>
      <c r="T113" s="1542"/>
      <c r="U113" s="1602"/>
    </row>
    <row r="114" spans="1:24" ht="20.25">
      <c r="A114" s="1588" t="s">
        <v>279</v>
      </c>
      <c r="B114" s="1589"/>
      <c r="C114" s="1589"/>
      <c r="D114" s="1589"/>
      <c r="E114" s="1591" t="s">
        <v>800</v>
      </c>
      <c r="F114" s="1591"/>
      <c r="G114" s="555"/>
      <c r="H114" s="1499" t="s">
        <v>801</v>
      </c>
      <c r="I114" s="1499"/>
      <c r="J114" s="518"/>
      <c r="K114" s="1499" t="s">
        <v>802</v>
      </c>
      <c r="L114" s="1499"/>
      <c r="M114" s="556"/>
      <c r="N114" s="1499" t="s">
        <v>803</v>
      </c>
      <c r="O114" s="1499"/>
      <c r="P114" s="557"/>
      <c r="Q114" s="1570" t="s">
        <v>280</v>
      </c>
      <c r="R114" s="1570"/>
      <c r="S114" s="1568"/>
      <c r="T114" s="1568"/>
      <c r="U114" s="1569"/>
    </row>
    <row r="115" spans="1:24" ht="20.25">
      <c r="A115" s="1592" t="s">
        <v>30</v>
      </c>
      <c r="B115" s="1593"/>
      <c r="C115" s="1593"/>
      <c r="D115" s="1608"/>
      <c r="E115" s="1603" t="s">
        <v>800</v>
      </c>
      <c r="F115" s="1604"/>
      <c r="G115" s="558"/>
      <c r="H115" s="1607" t="s">
        <v>801</v>
      </c>
      <c r="I115" s="1607"/>
      <c r="J115" s="559"/>
      <c r="K115" s="1607" t="s">
        <v>802</v>
      </c>
      <c r="L115" s="1607"/>
      <c r="M115" s="560"/>
      <c r="N115" s="1607" t="s">
        <v>803</v>
      </c>
      <c r="O115" s="1607"/>
      <c r="P115" s="561"/>
      <c r="Q115" s="1571" t="s">
        <v>280</v>
      </c>
      <c r="R115" s="1571"/>
      <c r="S115" s="1605"/>
      <c r="T115" s="1605"/>
      <c r="U115" s="1606"/>
    </row>
    <row r="116" spans="1:24" ht="29.25" customHeight="1">
      <c r="A116" s="1574">
        <f t="shared" ref="A116" si="38">IF(X116=0,0,W116)</f>
        <v>0</v>
      </c>
      <c r="B116" s="1575"/>
      <c r="C116" s="1575"/>
      <c r="D116" s="1575"/>
      <c r="E116" s="1576"/>
      <c r="F116" s="1576"/>
      <c r="G116" s="1576"/>
      <c r="H116" s="1544"/>
      <c r="I116" s="1544"/>
      <c r="J116" s="1576"/>
      <c r="K116" s="1576"/>
      <c r="L116" s="1576"/>
      <c r="M116" s="1548"/>
      <c r="N116" s="1549"/>
      <c r="O116" s="1550"/>
      <c r="P116" s="1555"/>
      <c r="Q116" s="1577">
        <f ca="1">IF(X116=0,0,IF(AND(P116='Data Base'!J125,G119&gt;0.5),0,G119*(IF(EXACT(M119,"نفر اول"),INDIRECT(CONCATENATE("'Data Base'!$C",J119)),INDIRECT(CONCATENATE("'Data Base'!$D",J119))))*((100-P119)/100)))</f>
        <v>0</v>
      </c>
      <c r="R116" s="1581">
        <f ca="1">IF(X116=0,0,IF(AND(P116='Data Base'!J125,G120&gt;0.5),0,G120*(IF(EXACT(M120,"نفر اول"),INDIRECT(CONCATENATE("'Data Base'!$C",J120)),INDIRECT(CONCATENATE("'Data Base'!$D",J120))))*((100-P120)/100)))</f>
        <v>0</v>
      </c>
      <c r="S116" s="1584"/>
      <c r="T116" s="1576"/>
      <c r="U116" s="1600"/>
      <c r="W116" s="220">
        <f t="shared" ref="W116" si="39">SUM(W111,X116)</f>
        <v>0</v>
      </c>
      <c r="X116" s="220">
        <f>IF(OR(E116="",P116="",J116="",M116="",D118="",C118="",B118=""),0,1)</f>
        <v>0</v>
      </c>
    </row>
    <row r="117" spans="1:24" ht="21" customHeight="1">
      <c r="A117" s="1574"/>
      <c r="B117" s="553" t="s">
        <v>230</v>
      </c>
      <c r="C117" s="553" t="s">
        <v>231</v>
      </c>
      <c r="D117" s="553" t="s">
        <v>16</v>
      </c>
      <c r="E117" s="1541"/>
      <c r="F117" s="1541"/>
      <c r="G117" s="1541"/>
      <c r="H117" s="1538"/>
      <c r="I117" s="1538"/>
      <c r="J117" s="1541"/>
      <c r="K117" s="1541"/>
      <c r="L117" s="1541"/>
      <c r="M117" s="1548"/>
      <c r="N117" s="1549"/>
      <c r="O117" s="1550"/>
      <c r="P117" s="1555"/>
      <c r="Q117" s="1558"/>
      <c r="R117" s="1598"/>
      <c r="S117" s="1599"/>
      <c r="T117" s="1541"/>
      <c r="U117" s="1601"/>
    </row>
    <row r="118" spans="1:24" ht="21" customHeight="1">
      <c r="A118" s="1574"/>
      <c r="B118" s="562"/>
      <c r="C118" s="562"/>
      <c r="D118" s="562"/>
      <c r="E118" s="1542"/>
      <c r="F118" s="1542"/>
      <c r="G118" s="1542"/>
      <c r="H118" s="1539"/>
      <c r="I118" s="1539"/>
      <c r="J118" s="1542"/>
      <c r="K118" s="1542"/>
      <c r="L118" s="1542"/>
      <c r="M118" s="1548"/>
      <c r="N118" s="1549"/>
      <c r="O118" s="1550"/>
      <c r="P118" s="1555"/>
      <c r="Q118" s="1559"/>
      <c r="R118" s="1579"/>
      <c r="S118" s="1582"/>
      <c r="T118" s="1542"/>
      <c r="U118" s="1602"/>
    </row>
    <row r="119" spans="1:24" ht="20.25">
      <c r="A119" s="1588" t="s">
        <v>279</v>
      </c>
      <c r="B119" s="1589"/>
      <c r="C119" s="1589"/>
      <c r="D119" s="1589"/>
      <c r="E119" s="1591" t="s">
        <v>800</v>
      </c>
      <c r="F119" s="1591"/>
      <c r="G119" s="555"/>
      <c r="H119" s="1499" t="s">
        <v>801</v>
      </c>
      <c r="I119" s="1499"/>
      <c r="J119" s="518"/>
      <c r="K119" s="1499" t="s">
        <v>802</v>
      </c>
      <c r="L119" s="1499"/>
      <c r="M119" s="556"/>
      <c r="N119" s="1499" t="s">
        <v>803</v>
      </c>
      <c r="O119" s="1499"/>
      <c r="P119" s="557"/>
      <c r="Q119" s="1570" t="s">
        <v>280</v>
      </c>
      <c r="R119" s="1570"/>
      <c r="S119" s="1568"/>
      <c r="T119" s="1568"/>
      <c r="U119" s="1569"/>
    </row>
    <row r="120" spans="1:24" ht="20.25">
      <c r="A120" s="1592" t="s">
        <v>30</v>
      </c>
      <c r="B120" s="1593"/>
      <c r="C120" s="1593"/>
      <c r="D120" s="1608"/>
      <c r="E120" s="1603" t="s">
        <v>800</v>
      </c>
      <c r="F120" s="1604"/>
      <c r="G120" s="558"/>
      <c r="H120" s="1607" t="s">
        <v>801</v>
      </c>
      <c r="I120" s="1607"/>
      <c r="J120" s="559"/>
      <c r="K120" s="1607" t="s">
        <v>802</v>
      </c>
      <c r="L120" s="1607"/>
      <c r="M120" s="560"/>
      <c r="N120" s="1607" t="s">
        <v>803</v>
      </c>
      <c r="O120" s="1607"/>
      <c r="P120" s="561"/>
      <c r="Q120" s="1571" t="s">
        <v>280</v>
      </c>
      <c r="R120" s="1571"/>
      <c r="S120" s="1605"/>
      <c r="T120" s="1605"/>
      <c r="U120" s="1606"/>
    </row>
    <row r="121" spans="1:24" ht="29.25" customHeight="1">
      <c r="A121" s="1574">
        <f t="shared" ref="A121" si="40">IF(X121=0,0,W121)</f>
        <v>0</v>
      </c>
      <c r="B121" s="1575"/>
      <c r="C121" s="1575"/>
      <c r="D121" s="1575"/>
      <c r="E121" s="1576"/>
      <c r="F121" s="1576"/>
      <c r="G121" s="1576"/>
      <c r="H121" s="1544"/>
      <c r="I121" s="1544"/>
      <c r="J121" s="1576"/>
      <c r="K121" s="1576"/>
      <c r="L121" s="1576"/>
      <c r="M121" s="1548"/>
      <c r="N121" s="1549"/>
      <c r="O121" s="1550"/>
      <c r="P121" s="1555"/>
      <c r="Q121" s="1577">
        <f ca="1">IF(X121=0,0,IF(AND(P121='Data Base'!J130,G124&gt;0.5),0,G124*(IF(EXACT(M124,"نفر اول"),INDIRECT(CONCATENATE("'Data Base'!$C",J124)),INDIRECT(CONCATENATE("'Data Base'!$D",J124))))*((100-P124)/100)))</f>
        <v>0</v>
      </c>
      <c r="R121" s="1581">
        <f ca="1">IF(X121=0,0,IF(AND(P121='Data Base'!J130,G125&gt;0.5),0,G125*(IF(EXACT(M125,"نفر اول"),INDIRECT(CONCATENATE("'Data Base'!$C",J125)),INDIRECT(CONCATENATE("'Data Base'!$D",J125))))*((100-P125)/100)))</f>
        <v>0</v>
      </c>
      <c r="S121" s="1584"/>
      <c r="T121" s="1576"/>
      <c r="U121" s="1600"/>
      <c r="W121" s="220">
        <f t="shared" ref="W121" si="41">SUM(W116,X121)</f>
        <v>0</v>
      </c>
      <c r="X121" s="220">
        <f>IF(OR(E121="",P121="",J121="",M121="",D123="",C123="",B123=""),0,1)</f>
        <v>0</v>
      </c>
    </row>
    <row r="122" spans="1:24" ht="21" customHeight="1">
      <c r="A122" s="1574"/>
      <c r="B122" s="553" t="s">
        <v>230</v>
      </c>
      <c r="C122" s="553" t="s">
        <v>231</v>
      </c>
      <c r="D122" s="553" t="s">
        <v>16</v>
      </c>
      <c r="E122" s="1541"/>
      <c r="F122" s="1541"/>
      <c r="G122" s="1541"/>
      <c r="H122" s="1538"/>
      <c r="I122" s="1538"/>
      <c r="J122" s="1541"/>
      <c r="K122" s="1541"/>
      <c r="L122" s="1541"/>
      <c r="M122" s="1548"/>
      <c r="N122" s="1549"/>
      <c r="O122" s="1550"/>
      <c r="P122" s="1555"/>
      <c r="Q122" s="1558"/>
      <c r="R122" s="1598"/>
      <c r="S122" s="1599"/>
      <c r="T122" s="1541"/>
      <c r="U122" s="1601"/>
    </row>
    <row r="123" spans="1:24" ht="21" customHeight="1">
      <c r="A123" s="1574"/>
      <c r="B123" s="562"/>
      <c r="C123" s="562"/>
      <c r="D123" s="562"/>
      <c r="E123" s="1542"/>
      <c r="F123" s="1542"/>
      <c r="G123" s="1542"/>
      <c r="H123" s="1539"/>
      <c r="I123" s="1539"/>
      <c r="J123" s="1542"/>
      <c r="K123" s="1542"/>
      <c r="L123" s="1542"/>
      <c r="M123" s="1548"/>
      <c r="N123" s="1549"/>
      <c r="O123" s="1550"/>
      <c r="P123" s="1555"/>
      <c r="Q123" s="1559"/>
      <c r="R123" s="1579"/>
      <c r="S123" s="1582"/>
      <c r="T123" s="1542"/>
      <c r="U123" s="1602"/>
    </row>
    <row r="124" spans="1:24" ht="20.25">
      <c r="A124" s="1588" t="s">
        <v>279</v>
      </c>
      <c r="B124" s="1589"/>
      <c r="C124" s="1589"/>
      <c r="D124" s="1589"/>
      <c r="E124" s="1591" t="s">
        <v>800</v>
      </c>
      <c r="F124" s="1591"/>
      <c r="G124" s="555"/>
      <c r="H124" s="1499" t="s">
        <v>801</v>
      </c>
      <c r="I124" s="1499"/>
      <c r="J124" s="518"/>
      <c r="K124" s="1499" t="s">
        <v>802</v>
      </c>
      <c r="L124" s="1499"/>
      <c r="M124" s="556"/>
      <c r="N124" s="1499" t="s">
        <v>803</v>
      </c>
      <c r="O124" s="1499"/>
      <c r="P124" s="557"/>
      <c r="Q124" s="1570" t="s">
        <v>280</v>
      </c>
      <c r="R124" s="1570"/>
      <c r="S124" s="1568"/>
      <c r="T124" s="1568"/>
      <c r="U124" s="1569"/>
    </row>
    <row r="125" spans="1:24" ht="20.25">
      <c r="A125" s="1592" t="s">
        <v>30</v>
      </c>
      <c r="B125" s="1593"/>
      <c r="C125" s="1593"/>
      <c r="D125" s="1608"/>
      <c r="E125" s="1603" t="s">
        <v>800</v>
      </c>
      <c r="F125" s="1604"/>
      <c r="G125" s="558"/>
      <c r="H125" s="1607" t="s">
        <v>801</v>
      </c>
      <c r="I125" s="1607"/>
      <c r="J125" s="559"/>
      <c r="K125" s="1607" t="s">
        <v>802</v>
      </c>
      <c r="L125" s="1607"/>
      <c r="M125" s="560"/>
      <c r="N125" s="1607" t="s">
        <v>803</v>
      </c>
      <c r="O125" s="1607"/>
      <c r="P125" s="561"/>
      <c r="Q125" s="1571" t="s">
        <v>280</v>
      </c>
      <c r="R125" s="1571"/>
      <c r="S125" s="1605"/>
      <c r="T125" s="1605"/>
      <c r="U125" s="1606"/>
    </row>
    <row r="126" spans="1:24" ht="29.25" customHeight="1">
      <c r="A126" s="1574">
        <f t="shared" ref="A126" si="42">IF(X126=0,0,W126)</f>
        <v>0</v>
      </c>
      <c r="B126" s="1575"/>
      <c r="C126" s="1575"/>
      <c r="D126" s="1575"/>
      <c r="E126" s="1576"/>
      <c r="F126" s="1576"/>
      <c r="G126" s="1576"/>
      <c r="H126" s="1544"/>
      <c r="I126" s="1544"/>
      <c r="J126" s="1576"/>
      <c r="K126" s="1576"/>
      <c r="L126" s="1576"/>
      <c r="M126" s="1548"/>
      <c r="N126" s="1549"/>
      <c r="O126" s="1550"/>
      <c r="P126" s="1555"/>
      <c r="Q126" s="1577">
        <f ca="1">IF(X126=0,0,IF(AND(P126='Data Base'!J135,G129&gt;0.5),0,G129*(IF(EXACT(M129,"نفر اول"),INDIRECT(CONCATENATE("'Data Base'!$C",J129)),INDIRECT(CONCATENATE("'Data Base'!$D",J129))))*((100-P129)/100)))</f>
        <v>0</v>
      </c>
      <c r="R126" s="1581">
        <f ca="1">IF(X126=0,0,IF(AND(P126='Data Base'!J135,G130&gt;0.5),0,G130*(IF(EXACT(M130,"نفر اول"),INDIRECT(CONCATENATE("'Data Base'!$C",J130)),INDIRECT(CONCATENATE("'Data Base'!$D",J130))))*((100-P130)/100)))</f>
        <v>0</v>
      </c>
      <c r="S126" s="1584"/>
      <c r="T126" s="1576"/>
      <c r="U126" s="1600"/>
      <c r="W126" s="220">
        <f t="shared" ref="W126" si="43">SUM(W121,X126)</f>
        <v>0</v>
      </c>
      <c r="X126" s="220">
        <f>IF(OR(E126="",P126="",J126="",M126="",D128="",C128="",B128=""),0,1)</f>
        <v>0</v>
      </c>
    </row>
    <row r="127" spans="1:24" ht="21" customHeight="1">
      <c r="A127" s="1574"/>
      <c r="B127" s="553" t="s">
        <v>230</v>
      </c>
      <c r="C127" s="553" t="s">
        <v>231</v>
      </c>
      <c r="D127" s="553" t="s">
        <v>16</v>
      </c>
      <c r="E127" s="1541"/>
      <c r="F127" s="1541"/>
      <c r="G127" s="1541"/>
      <c r="H127" s="1538"/>
      <c r="I127" s="1538"/>
      <c r="J127" s="1541"/>
      <c r="K127" s="1541"/>
      <c r="L127" s="1541"/>
      <c r="M127" s="1548"/>
      <c r="N127" s="1549"/>
      <c r="O127" s="1550"/>
      <c r="P127" s="1555"/>
      <c r="Q127" s="1558"/>
      <c r="R127" s="1598"/>
      <c r="S127" s="1599"/>
      <c r="T127" s="1541"/>
      <c r="U127" s="1601"/>
    </row>
    <row r="128" spans="1:24" ht="21" customHeight="1">
      <c r="A128" s="1574"/>
      <c r="B128" s="562"/>
      <c r="C128" s="562"/>
      <c r="D128" s="562"/>
      <c r="E128" s="1542"/>
      <c r="F128" s="1542"/>
      <c r="G128" s="1542"/>
      <c r="H128" s="1539"/>
      <c r="I128" s="1539"/>
      <c r="J128" s="1542"/>
      <c r="K128" s="1542"/>
      <c r="L128" s="1542"/>
      <c r="M128" s="1548"/>
      <c r="N128" s="1549"/>
      <c r="O128" s="1550"/>
      <c r="P128" s="1555"/>
      <c r="Q128" s="1559"/>
      <c r="R128" s="1579"/>
      <c r="S128" s="1582"/>
      <c r="T128" s="1542"/>
      <c r="U128" s="1602"/>
    </row>
    <row r="129" spans="1:24" ht="20.25">
      <c r="A129" s="1588" t="s">
        <v>279</v>
      </c>
      <c r="B129" s="1589"/>
      <c r="C129" s="1589"/>
      <c r="D129" s="1589"/>
      <c r="E129" s="1591" t="s">
        <v>800</v>
      </c>
      <c r="F129" s="1591"/>
      <c r="G129" s="555"/>
      <c r="H129" s="1499" t="s">
        <v>801</v>
      </c>
      <c r="I129" s="1499"/>
      <c r="J129" s="518"/>
      <c r="K129" s="1499" t="s">
        <v>802</v>
      </c>
      <c r="L129" s="1499"/>
      <c r="M129" s="556"/>
      <c r="N129" s="1499" t="s">
        <v>803</v>
      </c>
      <c r="O129" s="1499"/>
      <c r="P129" s="557"/>
      <c r="Q129" s="1570" t="s">
        <v>280</v>
      </c>
      <c r="R129" s="1570"/>
      <c r="S129" s="1568"/>
      <c r="T129" s="1568"/>
      <c r="U129" s="1569"/>
    </row>
    <row r="130" spans="1:24" ht="20.25">
      <c r="A130" s="1592" t="s">
        <v>30</v>
      </c>
      <c r="B130" s="1593"/>
      <c r="C130" s="1593"/>
      <c r="D130" s="1608"/>
      <c r="E130" s="1603" t="s">
        <v>800</v>
      </c>
      <c r="F130" s="1604"/>
      <c r="G130" s="558"/>
      <c r="H130" s="1607" t="s">
        <v>801</v>
      </c>
      <c r="I130" s="1607"/>
      <c r="J130" s="559"/>
      <c r="K130" s="1607" t="s">
        <v>802</v>
      </c>
      <c r="L130" s="1607"/>
      <c r="M130" s="560"/>
      <c r="N130" s="1607" t="s">
        <v>803</v>
      </c>
      <c r="O130" s="1607"/>
      <c r="P130" s="561"/>
      <c r="Q130" s="1571" t="s">
        <v>280</v>
      </c>
      <c r="R130" s="1571"/>
      <c r="S130" s="1605"/>
      <c r="T130" s="1605"/>
      <c r="U130" s="1606"/>
    </row>
    <row r="131" spans="1:24" ht="29.25" customHeight="1">
      <c r="A131" s="1574">
        <f t="shared" ref="A131" si="44">IF(X131=0,0,W131)</f>
        <v>0</v>
      </c>
      <c r="B131" s="1575"/>
      <c r="C131" s="1575"/>
      <c r="D131" s="1575"/>
      <c r="E131" s="1576"/>
      <c r="F131" s="1576"/>
      <c r="G131" s="1576"/>
      <c r="H131" s="1544"/>
      <c r="I131" s="1544"/>
      <c r="J131" s="1576"/>
      <c r="K131" s="1576"/>
      <c r="L131" s="1576"/>
      <c r="M131" s="1548"/>
      <c r="N131" s="1549"/>
      <c r="O131" s="1550"/>
      <c r="P131" s="1555"/>
      <c r="Q131" s="1577">
        <f ca="1">IF(X131=0,0,IF(AND(P131='Data Base'!J140,G134&gt;0.5),0,G134*(IF(EXACT(M134,"نفر اول"),INDIRECT(CONCATENATE("'Data Base'!$C",J134)),INDIRECT(CONCATENATE("'Data Base'!$D",J134))))*((100-P134)/100)))</f>
        <v>0</v>
      </c>
      <c r="R131" s="1581">
        <f ca="1">IF(X131=0,0,IF(AND(P131='Data Base'!J140,G135&gt;0.5),0,G135*(IF(EXACT(M135,"نفر اول"),INDIRECT(CONCATENATE("'Data Base'!$C",J135)),INDIRECT(CONCATENATE("'Data Base'!$D",J135))))*((100-P135)/100)))</f>
        <v>0</v>
      </c>
      <c r="S131" s="1584"/>
      <c r="T131" s="1576"/>
      <c r="U131" s="1600"/>
      <c r="W131" s="220">
        <f t="shared" ref="W131" si="45">SUM(W126,X131)</f>
        <v>0</v>
      </c>
      <c r="X131" s="220">
        <f>IF(OR(E131="",P131="",J131="",M131="",D133="",C133="",B133=""),0,1)</f>
        <v>0</v>
      </c>
    </row>
    <row r="132" spans="1:24" ht="21" customHeight="1">
      <c r="A132" s="1574"/>
      <c r="B132" s="553" t="s">
        <v>230</v>
      </c>
      <c r="C132" s="553" t="s">
        <v>231</v>
      </c>
      <c r="D132" s="553" t="s">
        <v>16</v>
      </c>
      <c r="E132" s="1541"/>
      <c r="F132" s="1541"/>
      <c r="G132" s="1541"/>
      <c r="H132" s="1538"/>
      <c r="I132" s="1538"/>
      <c r="J132" s="1541"/>
      <c r="K132" s="1541"/>
      <c r="L132" s="1541"/>
      <c r="M132" s="1548"/>
      <c r="N132" s="1549"/>
      <c r="O132" s="1550"/>
      <c r="P132" s="1555"/>
      <c r="Q132" s="1558"/>
      <c r="R132" s="1598"/>
      <c r="S132" s="1599"/>
      <c r="T132" s="1541"/>
      <c r="U132" s="1601"/>
    </row>
    <row r="133" spans="1:24" ht="21" customHeight="1">
      <c r="A133" s="1574"/>
      <c r="B133" s="562"/>
      <c r="C133" s="562"/>
      <c r="D133" s="562"/>
      <c r="E133" s="1542"/>
      <c r="F133" s="1542"/>
      <c r="G133" s="1542"/>
      <c r="H133" s="1539"/>
      <c r="I133" s="1539"/>
      <c r="J133" s="1542"/>
      <c r="K133" s="1542"/>
      <c r="L133" s="1542"/>
      <c r="M133" s="1548"/>
      <c r="N133" s="1549"/>
      <c r="O133" s="1550"/>
      <c r="P133" s="1555"/>
      <c r="Q133" s="1559"/>
      <c r="R133" s="1579"/>
      <c r="S133" s="1582"/>
      <c r="T133" s="1542"/>
      <c r="U133" s="1602"/>
    </row>
    <row r="134" spans="1:24" ht="20.25">
      <c r="A134" s="1588" t="s">
        <v>279</v>
      </c>
      <c r="B134" s="1589"/>
      <c r="C134" s="1589"/>
      <c r="D134" s="1589"/>
      <c r="E134" s="1591" t="s">
        <v>800</v>
      </c>
      <c r="F134" s="1591"/>
      <c r="G134" s="555"/>
      <c r="H134" s="1499" t="s">
        <v>801</v>
      </c>
      <c r="I134" s="1499"/>
      <c r="J134" s="518"/>
      <c r="K134" s="1499" t="s">
        <v>802</v>
      </c>
      <c r="L134" s="1499"/>
      <c r="M134" s="556"/>
      <c r="N134" s="1499" t="s">
        <v>803</v>
      </c>
      <c r="O134" s="1499"/>
      <c r="P134" s="557"/>
      <c r="Q134" s="1570" t="s">
        <v>280</v>
      </c>
      <c r="R134" s="1570"/>
      <c r="S134" s="1568"/>
      <c r="T134" s="1568"/>
      <c r="U134" s="1569"/>
    </row>
    <row r="135" spans="1:24" ht="20.25">
      <c r="A135" s="1592" t="s">
        <v>30</v>
      </c>
      <c r="B135" s="1593"/>
      <c r="C135" s="1593"/>
      <c r="D135" s="1608"/>
      <c r="E135" s="1603" t="s">
        <v>800</v>
      </c>
      <c r="F135" s="1604"/>
      <c r="G135" s="558"/>
      <c r="H135" s="1607" t="s">
        <v>801</v>
      </c>
      <c r="I135" s="1607"/>
      <c r="J135" s="559"/>
      <c r="K135" s="1607" t="s">
        <v>802</v>
      </c>
      <c r="L135" s="1607"/>
      <c r="M135" s="560"/>
      <c r="N135" s="1607" t="s">
        <v>803</v>
      </c>
      <c r="O135" s="1607"/>
      <c r="P135" s="561"/>
      <c r="Q135" s="1571" t="s">
        <v>280</v>
      </c>
      <c r="R135" s="1571"/>
      <c r="S135" s="1605"/>
      <c r="T135" s="1605"/>
      <c r="U135" s="1606"/>
    </row>
    <row r="136" spans="1:24" ht="29.25" customHeight="1">
      <c r="A136" s="1574">
        <f t="shared" ref="A136" si="46">IF(X136=0,0,W136)</f>
        <v>0</v>
      </c>
      <c r="B136" s="1575"/>
      <c r="C136" s="1575"/>
      <c r="D136" s="1575"/>
      <c r="E136" s="1576"/>
      <c r="F136" s="1576"/>
      <c r="G136" s="1576"/>
      <c r="H136" s="1544"/>
      <c r="I136" s="1544"/>
      <c r="J136" s="1576"/>
      <c r="K136" s="1576"/>
      <c r="L136" s="1576"/>
      <c r="M136" s="1548"/>
      <c r="N136" s="1549"/>
      <c r="O136" s="1550"/>
      <c r="P136" s="1555"/>
      <c r="Q136" s="1577">
        <f ca="1">IF(X136=0,0,IF(AND(P136='Data Base'!J145,G139&gt;0.5),0,G139*(IF(EXACT(M139,"نفر اول"),INDIRECT(CONCATENATE("'Data Base'!$C",J139)),INDIRECT(CONCATENATE("'Data Base'!$D",J139))))*((100-P139)/100)))</f>
        <v>0</v>
      </c>
      <c r="R136" s="1581">
        <f ca="1">IF(X136=0,0,IF(AND(P136='Data Base'!J145,G140&gt;0.5),0,G140*(IF(EXACT(M140,"نفر اول"),INDIRECT(CONCATENATE("'Data Base'!$C",J140)),INDIRECT(CONCATENATE("'Data Base'!$D",J140))))*((100-P140)/100)))</f>
        <v>0</v>
      </c>
      <c r="S136" s="1584"/>
      <c r="T136" s="1576"/>
      <c r="U136" s="1600"/>
      <c r="W136" s="220">
        <f t="shared" ref="W136" si="47">SUM(W131,X136)</f>
        <v>0</v>
      </c>
      <c r="X136" s="220">
        <f>IF(OR(E136="",P136="",J136="",M136="",D138="",C138="",B138=""),0,1)</f>
        <v>0</v>
      </c>
    </row>
    <row r="137" spans="1:24" ht="21" customHeight="1">
      <c r="A137" s="1574"/>
      <c r="B137" s="553" t="s">
        <v>230</v>
      </c>
      <c r="C137" s="553" t="s">
        <v>231</v>
      </c>
      <c r="D137" s="553" t="s">
        <v>16</v>
      </c>
      <c r="E137" s="1541"/>
      <c r="F137" s="1541"/>
      <c r="G137" s="1541"/>
      <c r="H137" s="1538"/>
      <c r="I137" s="1538"/>
      <c r="J137" s="1541"/>
      <c r="K137" s="1541"/>
      <c r="L137" s="1541"/>
      <c r="M137" s="1548"/>
      <c r="N137" s="1549"/>
      <c r="O137" s="1550"/>
      <c r="P137" s="1555"/>
      <c r="Q137" s="1558"/>
      <c r="R137" s="1598"/>
      <c r="S137" s="1599"/>
      <c r="T137" s="1541"/>
      <c r="U137" s="1601"/>
    </row>
    <row r="138" spans="1:24" ht="21" customHeight="1">
      <c r="A138" s="1574"/>
      <c r="B138" s="562"/>
      <c r="C138" s="562"/>
      <c r="D138" s="562"/>
      <c r="E138" s="1542"/>
      <c r="F138" s="1542"/>
      <c r="G138" s="1542"/>
      <c r="H138" s="1539"/>
      <c r="I138" s="1539"/>
      <c r="J138" s="1542"/>
      <c r="K138" s="1542"/>
      <c r="L138" s="1542"/>
      <c r="M138" s="1548"/>
      <c r="N138" s="1549"/>
      <c r="O138" s="1550"/>
      <c r="P138" s="1555"/>
      <c r="Q138" s="1559"/>
      <c r="R138" s="1579"/>
      <c r="S138" s="1582"/>
      <c r="T138" s="1542"/>
      <c r="U138" s="1602"/>
    </row>
    <row r="139" spans="1:24" ht="20.25">
      <c r="A139" s="1588" t="s">
        <v>279</v>
      </c>
      <c r="B139" s="1589"/>
      <c r="C139" s="1589"/>
      <c r="D139" s="1589"/>
      <c r="E139" s="1591" t="s">
        <v>800</v>
      </c>
      <c r="F139" s="1591"/>
      <c r="G139" s="555"/>
      <c r="H139" s="1499" t="s">
        <v>801</v>
      </c>
      <c r="I139" s="1499"/>
      <c r="J139" s="518"/>
      <c r="K139" s="1499" t="s">
        <v>802</v>
      </c>
      <c r="L139" s="1499"/>
      <c r="M139" s="556"/>
      <c r="N139" s="1499" t="s">
        <v>803</v>
      </c>
      <c r="O139" s="1499"/>
      <c r="P139" s="557"/>
      <c r="Q139" s="1570" t="s">
        <v>280</v>
      </c>
      <c r="R139" s="1570"/>
      <c r="S139" s="1568"/>
      <c r="T139" s="1568"/>
      <c r="U139" s="1569"/>
    </row>
    <row r="140" spans="1:24" ht="20.25">
      <c r="A140" s="1592" t="s">
        <v>30</v>
      </c>
      <c r="B140" s="1593"/>
      <c r="C140" s="1593"/>
      <c r="D140" s="1608"/>
      <c r="E140" s="1603" t="s">
        <v>800</v>
      </c>
      <c r="F140" s="1604"/>
      <c r="G140" s="558"/>
      <c r="H140" s="1607" t="s">
        <v>801</v>
      </c>
      <c r="I140" s="1607"/>
      <c r="J140" s="559"/>
      <c r="K140" s="1607" t="s">
        <v>802</v>
      </c>
      <c r="L140" s="1607"/>
      <c r="M140" s="560"/>
      <c r="N140" s="1607" t="s">
        <v>803</v>
      </c>
      <c r="O140" s="1607"/>
      <c r="P140" s="561"/>
      <c r="Q140" s="1571" t="s">
        <v>280</v>
      </c>
      <c r="R140" s="1571"/>
      <c r="S140" s="1605"/>
      <c r="T140" s="1605"/>
      <c r="U140" s="1606"/>
    </row>
    <row r="141" spans="1:24" ht="29.25" customHeight="1">
      <c r="A141" s="1574">
        <f t="shared" ref="A141" si="48">IF(X141=0,0,W141)</f>
        <v>0</v>
      </c>
      <c r="B141" s="1575"/>
      <c r="C141" s="1575"/>
      <c r="D141" s="1575"/>
      <c r="E141" s="1576"/>
      <c r="F141" s="1576"/>
      <c r="G141" s="1576"/>
      <c r="H141" s="1544"/>
      <c r="I141" s="1544"/>
      <c r="J141" s="1576"/>
      <c r="K141" s="1576"/>
      <c r="L141" s="1576"/>
      <c r="M141" s="1548"/>
      <c r="N141" s="1549"/>
      <c r="O141" s="1550"/>
      <c r="P141" s="1555"/>
      <c r="Q141" s="1577">
        <f ca="1">IF(X141=0,0,IF(AND(P141='Data Base'!J150,G144&gt;0.5),0,G144*(IF(EXACT(M144,"نفر اول"),INDIRECT(CONCATENATE("'Data Base'!$C",J144)),INDIRECT(CONCATENATE("'Data Base'!$D",J144))))*((100-P144)/100)))</f>
        <v>0</v>
      </c>
      <c r="R141" s="1581">
        <f ca="1">IF(X141=0,0,IF(AND(P141='Data Base'!J150,G145&gt;0.5),0,G145*(IF(EXACT(M145,"نفر اول"),INDIRECT(CONCATENATE("'Data Base'!$C",J145)),INDIRECT(CONCATENATE("'Data Base'!$D",J145))))*((100-P145)/100)))</f>
        <v>0</v>
      </c>
      <c r="S141" s="1584"/>
      <c r="T141" s="1576"/>
      <c r="U141" s="1600"/>
      <c r="W141" s="220">
        <f t="shared" ref="W141" si="49">SUM(W136,X141)</f>
        <v>0</v>
      </c>
      <c r="X141" s="220">
        <f>IF(OR(E141="",P141="",J141="",M141="",D143="",C143="",B143=""),0,1)</f>
        <v>0</v>
      </c>
    </row>
    <row r="142" spans="1:24" ht="21" customHeight="1">
      <c r="A142" s="1574"/>
      <c r="B142" s="553" t="s">
        <v>230</v>
      </c>
      <c r="C142" s="553" t="s">
        <v>231</v>
      </c>
      <c r="D142" s="553" t="s">
        <v>16</v>
      </c>
      <c r="E142" s="1541"/>
      <c r="F142" s="1541"/>
      <c r="G142" s="1541"/>
      <c r="H142" s="1538"/>
      <c r="I142" s="1538"/>
      <c r="J142" s="1541"/>
      <c r="K142" s="1541"/>
      <c r="L142" s="1541"/>
      <c r="M142" s="1548"/>
      <c r="N142" s="1549"/>
      <c r="O142" s="1550"/>
      <c r="P142" s="1555"/>
      <c r="Q142" s="1558"/>
      <c r="R142" s="1598"/>
      <c r="S142" s="1599"/>
      <c r="T142" s="1541"/>
      <c r="U142" s="1601"/>
    </row>
    <row r="143" spans="1:24" ht="21" customHeight="1">
      <c r="A143" s="1574"/>
      <c r="B143" s="562"/>
      <c r="C143" s="562"/>
      <c r="D143" s="562"/>
      <c r="E143" s="1542"/>
      <c r="F143" s="1542"/>
      <c r="G143" s="1542"/>
      <c r="H143" s="1539"/>
      <c r="I143" s="1539"/>
      <c r="J143" s="1542"/>
      <c r="K143" s="1542"/>
      <c r="L143" s="1542"/>
      <c r="M143" s="1548"/>
      <c r="N143" s="1549"/>
      <c r="O143" s="1550"/>
      <c r="P143" s="1555"/>
      <c r="Q143" s="1559"/>
      <c r="R143" s="1579"/>
      <c r="S143" s="1582"/>
      <c r="T143" s="1542"/>
      <c r="U143" s="1602"/>
    </row>
    <row r="144" spans="1:24" ht="20.25">
      <c r="A144" s="1588" t="s">
        <v>279</v>
      </c>
      <c r="B144" s="1589"/>
      <c r="C144" s="1589"/>
      <c r="D144" s="1589"/>
      <c r="E144" s="1591" t="s">
        <v>800</v>
      </c>
      <c r="F144" s="1591"/>
      <c r="G144" s="555"/>
      <c r="H144" s="1499" t="s">
        <v>801</v>
      </c>
      <c r="I144" s="1499"/>
      <c r="J144" s="518"/>
      <c r="K144" s="1499" t="s">
        <v>802</v>
      </c>
      <c r="L144" s="1499"/>
      <c r="M144" s="556"/>
      <c r="N144" s="1499" t="s">
        <v>803</v>
      </c>
      <c r="O144" s="1499"/>
      <c r="P144" s="557"/>
      <c r="Q144" s="1570" t="s">
        <v>280</v>
      </c>
      <c r="R144" s="1570"/>
      <c r="S144" s="1568"/>
      <c r="T144" s="1568"/>
      <c r="U144" s="1569"/>
    </row>
    <row r="145" spans="1:24" ht="20.25">
      <c r="A145" s="1592" t="s">
        <v>30</v>
      </c>
      <c r="B145" s="1593"/>
      <c r="C145" s="1593"/>
      <c r="D145" s="1608"/>
      <c r="E145" s="1603" t="s">
        <v>800</v>
      </c>
      <c r="F145" s="1604"/>
      <c r="G145" s="558"/>
      <c r="H145" s="1607" t="s">
        <v>801</v>
      </c>
      <c r="I145" s="1607"/>
      <c r="J145" s="559"/>
      <c r="K145" s="1607" t="s">
        <v>802</v>
      </c>
      <c r="L145" s="1607"/>
      <c r="M145" s="560"/>
      <c r="N145" s="1607" t="s">
        <v>803</v>
      </c>
      <c r="O145" s="1607"/>
      <c r="P145" s="561"/>
      <c r="Q145" s="1571" t="s">
        <v>280</v>
      </c>
      <c r="R145" s="1571"/>
      <c r="S145" s="1605"/>
      <c r="T145" s="1605"/>
      <c r="U145" s="1606"/>
    </row>
    <row r="146" spans="1:24" ht="29.25" customHeight="1">
      <c r="A146" s="1574">
        <f t="shared" ref="A146" si="50">IF(X146=0,0,W146)</f>
        <v>0</v>
      </c>
      <c r="B146" s="1575"/>
      <c r="C146" s="1575"/>
      <c r="D146" s="1575"/>
      <c r="E146" s="1576"/>
      <c r="F146" s="1576"/>
      <c r="G146" s="1576"/>
      <c r="H146" s="1544"/>
      <c r="I146" s="1544"/>
      <c r="J146" s="1576"/>
      <c r="K146" s="1576"/>
      <c r="L146" s="1576"/>
      <c r="M146" s="1548"/>
      <c r="N146" s="1549"/>
      <c r="O146" s="1550"/>
      <c r="P146" s="1555"/>
      <c r="Q146" s="1577">
        <f ca="1">IF(X146=0,0,IF(AND(P146='Data Base'!J155,G149&gt;0.5),0,G149*(IF(EXACT(M149,"نفر اول"),INDIRECT(CONCATENATE("'Data Base'!$C",J149)),INDIRECT(CONCATENATE("'Data Base'!$D",J149))))*((100-P149)/100)))</f>
        <v>0</v>
      </c>
      <c r="R146" s="1581">
        <f ca="1">IF(X146=0,0,IF(AND(P146='Data Base'!J155,G150&gt;0.5),0,G150*(IF(EXACT(M150,"نفر اول"),INDIRECT(CONCATENATE("'Data Base'!$C",J150)),INDIRECT(CONCATENATE("'Data Base'!$D",J150))))*((100-P150)/100)))</f>
        <v>0</v>
      </c>
      <c r="S146" s="1584"/>
      <c r="T146" s="1576"/>
      <c r="U146" s="1600"/>
      <c r="W146" s="220">
        <f t="shared" ref="W146" si="51">SUM(W141,X146)</f>
        <v>0</v>
      </c>
      <c r="X146" s="220">
        <f>IF(OR(E146="",P146="",J146="",M146="",D148="",C148="",B148=""),0,1)</f>
        <v>0</v>
      </c>
    </row>
    <row r="147" spans="1:24" ht="21" customHeight="1">
      <c r="A147" s="1574"/>
      <c r="B147" s="553" t="s">
        <v>230</v>
      </c>
      <c r="C147" s="553" t="s">
        <v>231</v>
      </c>
      <c r="D147" s="553" t="s">
        <v>16</v>
      </c>
      <c r="E147" s="1541"/>
      <c r="F147" s="1541"/>
      <c r="G147" s="1541"/>
      <c r="H147" s="1538"/>
      <c r="I147" s="1538"/>
      <c r="J147" s="1541"/>
      <c r="K147" s="1541"/>
      <c r="L147" s="1541"/>
      <c r="M147" s="1548"/>
      <c r="N147" s="1549"/>
      <c r="O147" s="1550"/>
      <c r="P147" s="1555"/>
      <c r="Q147" s="1558"/>
      <c r="R147" s="1598"/>
      <c r="S147" s="1599"/>
      <c r="T147" s="1541"/>
      <c r="U147" s="1601"/>
    </row>
    <row r="148" spans="1:24" ht="21" customHeight="1">
      <c r="A148" s="1574"/>
      <c r="B148" s="562"/>
      <c r="C148" s="562"/>
      <c r="D148" s="562"/>
      <c r="E148" s="1542"/>
      <c r="F148" s="1542"/>
      <c r="G148" s="1542"/>
      <c r="H148" s="1539"/>
      <c r="I148" s="1539"/>
      <c r="J148" s="1542"/>
      <c r="K148" s="1542"/>
      <c r="L148" s="1542"/>
      <c r="M148" s="1548"/>
      <c r="N148" s="1549"/>
      <c r="O148" s="1550"/>
      <c r="P148" s="1555"/>
      <c r="Q148" s="1559"/>
      <c r="R148" s="1579"/>
      <c r="S148" s="1582"/>
      <c r="T148" s="1542"/>
      <c r="U148" s="1602"/>
    </row>
    <row r="149" spans="1:24" ht="20.25">
      <c r="A149" s="1588" t="s">
        <v>279</v>
      </c>
      <c r="B149" s="1589"/>
      <c r="C149" s="1589"/>
      <c r="D149" s="1589"/>
      <c r="E149" s="1591" t="s">
        <v>800</v>
      </c>
      <c r="F149" s="1591"/>
      <c r="G149" s="555"/>
      <c r="H149" s="1499" t="s">
        <v>801</v>
      </c>
      <c r="I149" s="1499"/>
      <c r="J149" s="518"/>
      <c r="K149" s="1499" t="s">
        <v>802</v>
      </c>
      <c r="L149" s="1499"/>
      <c r="M149" s="556"/>
      <c r="N149" s="1499" t="s">
        <v>803</v>
      </c>
      <c r="O149" s="1499"/>
      <c r="P149" s="557"/>
      <c r="Q149" s="1570" t="s">
        <v>280</v>
      </c>
      <c r="R149" s="1570"/>
      <c r="S149" s="1568"/>
      <c r="T149" s="1568"/>
      <c r="U149" s="1569"/>
    </row>
    <row r="150" spans="1:24" ht="20.25">
      <c r="A150" s="1592" t="s">
        <v>30</v>
      </c>
      <c r="B150" s="1593"/>
      <c r="C150" s="1593"/>
      <c r="D150" s="1608"/>
      <c r="E150" s="1603" t="s">
        <v>800</v>
      </c>
      <c r="F150" s="1604"/>
      <c r="G150" s="558"/>
      <c r="H150" s="1607" t="s">
        <v>801</v>
      </c>
      <c r="I150" s="1607"/>
      <c r="J150" s="559"/>
      <c r="K150" s="1607" t="s">
        <v>802</v>
      </c>
      <c r="L150" s="1607"/>
      <c r="M150" s="560"/>
      <c r="N150" s="1607" t="s">
        <v>803</v>
      </c>
      <c r="O150" s="1607"/>
      <c r="P150" s="561"/>
      <c r="Q150" s="1571" t="s">
        <v>280</v>
      </c>
      <c r="R150" s="1571"/>
      <c r="S150" s="1605"/>
      <c r="T150" s="1605"/>
      <c r="U150" s="1606"/>
    </row>
    <row r="151" spans="1:24" ht="29.25" customHeight="1">
      <c r="A151" s="1574">
        <f t="shared" ref="A151" si="52">IF(X151=0,0,W151)</f>
        <v>0</v>
      </c>
      <c r="B151" s="1575"/>
      <c r="C151" s="1575"/>
      <c r="D151" s="1575"/>
      <c r="E151" s="1576"/>
      <c r="F151" s="1576"/>
      <c r="G151" s="1576"/>
      <c r="H151" s="1544"/>
      <c r="I151" s="1544"/>
      <c r="J151" s="1576"/>
      <c r="K151" s="1576"/>
      <c r="L151" s="1576"/>
      <c r="M151" s="1548"/>
      <c r="N151" s="1549"/>
      <c r="O151" s="1550"/>
      <c r="P151" s="1555"/>
      <c r="Q151" s="1577">
        <f ca="1">IF(X151=0,0,IF(AND(P151='Data Base'!J160,G154&gt;0.5),0,G154*(IF(EXACT(M154,"نفر اول"),INDIRECT(CONCATENATE("'Data Base'!$C",J154)),INDIRECT(CONCATENATE("'Data Base'!$D",J154))))*((100-P154)/100)))</f>
        <v>0</v>
      </c>
      <c r="R151" s="1581">
        <f ca="1">IF(X151=0,0,IF(AND(P151='Data Base'!J160,G155&gt;0.5),0,G155*(IF(EXACT(M155,"نفر اول"),INDIRECT(CONCATENATE("'Data Base'!$C",J155)),INDIRECT(CONCATENATE("'Data Base'!$D",J155))))*((100-P155)/100)))</f>
        <v>0</v>
      </c>
      <c r="S151" s="1584"/>
      <c r="T151" s="1576"/>
      <c r="U151" s="1600"/>
      <c r="W151" s="220">
        <f t="shared" ref="W151" si="53">SUM(W146,X151)</f>
        <v>0</v>
      </c>
      <c r="X151" s="220">
        <f>IF(OR(E151="",P151="",J151="",M151="",D153="",C153="",B153=""),0,1)</f>
        <v>0</v>
      </c>
    </row>
    <row r="152" spans="1:24" ht="21" customHeight="1">
      <c r="A152" s="1574"/>
      <c r="B152" s="553" t="s">
        <v>230</v>
      </c>
      <c r="C152" s="553" t="s">
        <v>231</v>
      </c>
      <c r="D152" s="553" t="s">
        <v>16</v>
      </c>
      <c r="E152" s="1541"/>
      <c r="F152" s="1541"/>
      <c r="G152" s="1541"/>
      <c r="H152" s="1538"/>
      <c r="I152" s="1538"/>
      <c r="J152" s="1541"/>
      <c r="K152" s="1541"/>
      <c r="L152" s="1541"/>
      <c r="M152" s="1548"/>
      <c r="N152" s="1549"/>
      <c r="O152" s="1550"/>
      <c r="P152" s="1555"/>
      <c r="Q152" s="1558"/>
      <c r="R152" s="1598"/>
      <c r="S152" s="1599"/>
      <c r="T152" s="1541"/>
      <c r="U152" s="1601"/>
    </row>
    <row r="153" spans="1:24" ht="21" customHeight="1">
      <c r="A153" s="1574"/>
      <c r="B153" s="562"/>
      <c r="C153" s="562"/>
      <c r="D153" s="562"/>
      <c r="E153" s="1542"/>
      <c r="F153" s="1542"/>
      <c r="G153" s="1542"/>
      <c r="H153" s="1539"/>
      <c r="I153" s="1539"/>
      <c r="J153" s="1542"/>
      <c r="K153" s="1542"/>
      <c r="L153" s="1542"/>
      <c r="M153" s="1548"/>
      <c r="N153" s="1549"/>
      <c r="O153" s="1550"/>
      <c r="P153" s="1555"/>
      <c r="Q153" s="1559"/>
      <c r="R153" s="1579"/>
      <c r="S153" s="1582"/>
      <c r="T153" s="1542"/>
      <c r="U153" s="1602"/>
    </row>
    <row r="154" spans="1:24" ht="20.25">
      <c r="A154" s="1588" t="s">
        <v>279</v>
      </c>
      <c r="B154" s="1589"/>
      <c r="C154" s="1589"/>
      <c r="D154" s="1589"/>
      <c r="E154" s="1591" t="s">
        <v>800</v>
      </c>
      <c r="F154" s="1591"/>
      <c r="G154" s="555"/>
      <c r="H154" s="1499" t="s">
        <v>801</v>
      </c>
      <c r="I154" s="1499"/>
      <c r="J154" s="518"/>
      <c r="K154" s="1499" t="s">
        <v>802</v>
      </c>
      <c r="L154" s="1499"/>
      <c r="M154" s="556"/>
      <c r="N154" s="1499" t="s">
        <v>803</v>
      </c>
      <c r="O154" s="1499"/>
      <c r="P154" s="557"/>
      <c r="Q154" s="1570" t="s">
        <v>280</v>
      </c>
      <c r="R154" s="1570"/>
      <c r="S154" s="1568"/>
      <c r="T154" s="1568"/>
      <c r="U154" s="1569"/>
    </row>
    <row r="155" spans="1:24" ht="20.25">
      <c r="A155" s="1592" t="s">
        <v>30</v>
      </c>
      <c r="B155" s="1593"/>
      <c r="C155" s="1593"/>
      <c r="D155" s="1608"/>
      <c r="E155" s="1603" t="s">
        <v>800</v>
      </c>
      <c r="F155" s="1604"/>
      <c r="G155" s="558"/>
      <c r="H155" s="1607" t="s">
        <v>801</v>
      </c>
      <c r="I155" s="1607"/>
      <c r="J155" s="559"/>
      <c r="K155" s="1607" t="s">
        <v>802</v>
      </c>
      <c r="L155" s="1607"/>
      <c r="M155" s="560"/>
      <c r="N155" s="1607" t="s">
        <v>803</v>
      </c>
      <c r="O155" s="1607"/>
      <c r="P155" s="561"/>
      <c r="Q155" s="1571" t="s">
        <v>280</v>
      </c>
      <c r="R155" s="1571"/>
      <c r="S155" s="1605"/>
      <c r="T155" s="1605"/>
      <c r="U155" s="1606"/>
    </row>
    <row r="156" spans="1:24" ht="29.25" customHeight="1">
      <c r="A156" s="1574">
        <f t="shared" ref="A156" si="54">IF(X156=0,0,W156)</f>
        <v>0</v>
      </c>
      <c r="B156" s="1575"/>
      <c r="C156" s="1575"/>
      <c r="D156" s="1575"/>
      <c r="E156" s="1576"/>
      <c r="F156" s="1576"/>
      <c r="G156" s="1576"/>
      <c r="H156" s="1544"/>
      <c r="I156" s="1544"/>
      <c r="J156" s="1576"/>
      <c r="K156" s="1576"/>
      <c r="L156" s="1576"/>
      <c r="M156" s="1548"/>
      <c r="N156" s="1549"/>
      <c r="O156" s="1550"/>
      <c r="P156" s="1555"/>
      <c r="Q156" s="1577">
        <f ca="1">IF(X156=0,0,IF(AND(P156='Data Base'!J165,G159&gt;0.5),0,G159*(IF(EXACT(M159,"نفر اول"),INDIRECT(CONCATENATE("'Data Base'!$C",J159)),INDIRECT(CONCATENATE("'Data Base'!$D",J159))))*((100-P159)/100)))</f>
        <v>0</v>
      </c>
      <c r="R156" s="1581">
        <f ca="1">IF(X156=0,0,IF(AND(P156='Data Base'!J165,G160&gt;0.5),0,G160*(IF(EXACT(M160,"نفر اول"),INDIRECT(CONCATENATE("'Data Base'!$C",J160)),INDIRECT(CONCATENATE("'Data Base'!$D",J160))))*((100-P160)/100)))</f>
        <v>0</v>
      </c>
      <c r="S156" s="1584"/>
      <c r="T156" s="1576"/>
      <c r="U156" s="1600"/>
      <c r="W156" s="220">
        <f t="shared" ref="W156" si="55">SUM(W151,X156)</f>
        <v>0</v>
      </c>
      <c r="X156" s="220">
        <f>IF(OR(E156="",P156="",J156="",M156="",D158="",C158="",B158=""),0,1)</f>
        <v>0</v>
      </c>
    </row>
    <row r="157" spans="1:24" ht="21" customHeight="1">
      <c r="A157" s="1574"/>
      <c r="B157" s="553" t="s">
        <v>230</v>
      </c>
      <c r="C157" s="553" t="s">
        <v>231</v>
      </c>
      <c r="D157" s="553" t="s">
        <v>16</v>
      </c>
      <c r="E157" s="1541"/>
      <c r="F157" s="1541"/>
      <c r="G157" s="1541"/>
      <c r="H157" s="1538"/>
      <c r="I157" s="1538"/>
      <c r="J157" s="1541"/>
      <c r="K157" s="1541"/>
      <c r="L157" s="1541"/>
      <c r="M157" s="1548"/>
      <c r="N157" s="1549"/>
      <c r="O157" s="1550"/>
      <c r="P157" s="1555"/>
      <c r="Q157" s="1558"/>
      <c r="R157" s="1598"/>
      <c r="S157" s="1599"/>
      <c r="T157" s="1541"/>
      <c r="U157" s="1601"/>
    </row>
    <row r="158" spans="1:24" ht="21" customHeight="1">
      <c r="A158" s="1574"/>
      <c r="B158" s="562"/>
      <c r="C158" s="562"/>
      <c r="D158" s="562"/>
      <c r="E158" s="1542"/>
      <c r="F158" s="1542"/>
      <c r="G158" s="1542"/>
      <c r="H158" s="1539"/>
      <c r="I158" s="1539"/>
      <c r="J158" s="1542"/>
      <c r="K158" s="1542"/>
      <c r="L158" s="1542"/>
      <c r="M158" s="1548"/>
      <c r="N158" s="1549"/>
      <c r="O158" s="1550"/>
      <c r="P158" s="1555"/>
      <c r="Q158" s="1559"/>
      <c r="R158" s="1579"/>
      <c r="S158" s="1582"/>
      <c r="T158" s="1542"/>
      <c r="U158" s="1602"/>
    </row>
    <row r="159" spans="1:24" ht="20.25">
      <c r="A159" s="1588" t="s">
        <v>279</v>
      </c>
      <c r="B159" s="1589"/>
      <c r="C159" s="1589"/>
      <c r="D159" s="1589"/>
      <c r="E159" s="1591" t="s">
        <v>800</v>
      </c>
      <c r="F159" s="1591"/>
      <c r="G159" s="555"/>
      <c r="H159" s="1499" t="s">
        <v>801</v>
      </c>
      <c r="I159" s="1499"/>
      <c r="J159" s="518"/>
      <c r="K159" s="1499" t="s">
        <v>802</v>
      </c>
      <c r="L159" s="1499"/>
      <c r="M159" s="556"/>
      <c r="N159" s="1499" t="s">
        <v>803</v>
      </c>
      <c r="O159" s="1499"/>
      <c r="P159" s="557"/>
      <c r="Q159" s="1570" t="s">
        <v>280</v>
      </c>
      <c r="R159" s="1570"/>
      <c r="S159" s="1568"/>
      <c r="T159" s="1568"/>
      <c r="U159" s="1569"/>
    </row>
    <row r="160" spans="1:24" ht="20.25">
      <c r="A160" s="1592" t="s">
        <v>30</v>
      </c>
      <c r="B160" s="1593"/>
      <c r="C160" s="1593"/>
      <c r="D160" s="1608"/>
      <c r="E160" s="1603" t="s">
        <v>800</v>
      </c>
      <c r="F160" s="1604"/>
      <c r="G160" s="558"/>
      <c r="H160" s="1607" t="s">
        <v>801</v>
      </c>
      <c r="I160" s="1607"/>
      <c r="J160" s="559"/>
      <c r="K160" s="1607" t="s">
        <v>802</v>
      </c>
      <c r="L160" s="1607"/>
      <c r="M160" s="560"/>
      <c r="N160" s="1607" t="s">
        <v>803</v>
      </c>
      <c r="O160" s="1607"/>
      <c r="P160" s="561"/>
      <c r="Q160" s="1571" t="s">
        <v>280</v>
      </c>
      <c r="R160" s="1571"/>
      <c r="S160" s="1605"/>
      <c r="T160" s="1605"/>
      <c r="U160" s="1606"/>
    </row>
    <row r="161" spans="1:24" ht="29.25" customHeight="1">
      <c r="A161" s="1574">
        <f t="shared" ref="A161" si="56">IF(X161=0,0,W161)</f>
        <v>0</v>
      </c>
      <c r="B161" s="1575"/>
      <c r="C161" s="1575"/>
      <c r="D161" s="1575"/>
      <c r="E161" s="1576"/>
      <c r="F161" s="1576"/>
      <c r="G161" s="1576"/>
      <c r="H161" s="1544"/>
      <c r="I161" s="1544"/>
      <c r="J161" s="1576"/>
      <c r="K161" s="1576"/>
      <c r="L161" s="1576"/>
      <c r="M161" s="1548"/>
      <c r="N161" s="1549"/>
      <c r="O161" s="1550"/>
      <c r="P161" s="1555"/>
      <c r="Q161" s="1577">
        <f ca="1">IF(X161=0,0,IF(AND(P161='Data Base'!J170,G164&gt;0.5),0,G164*(IF(EXACT(M164,"نفر اول"),INDIRECT(CONCATENATE("'Data Base'!$C",J164)),INDIRECT(CONCATENATE("'Data Base'!$D",J164))))*((100-P164)/100)))</f>
        <v>0</v>
      </c>
      <c r="R161" s="1581">
        <f ca="1">IF(X161=0,0,IF(AND(P161='Data Base'!J170,G165&gt;0.5),0,G165*(IF(EXACT(M165,"نفر اول"),INDIRECT(CONCATENATE("'Data Base'!$C",J165)),INDIRECT(CONCATENATE("'Data Base'!$D",J165))))*((100-P165)/100)))</f>
        <v>0</v>
      </c>
      <c r="S161" s="1584"/>
      <c r="T161" s="1576"/>
      <c r="U161" s="1600"/>
      <c r="W161" s="220">
        <f t="shared" ref="W161" si="57">SUM(W156,X161)</f>
        <v>0</v>
      </c>
      <c r="X161" s="220">
        <f>IF(OR(E161="",P161="",J161="",M161="",D163="",C163="",B163=""),0,1)</f>
        <v>0</v>
      </c>
    </row>
    <row r="162" spans="1:24" ht="21" customHeight="1">
      <c r="A162" s="1574"/>
      <c r="B162" s="553" t="s">
        <v>230</v>
      </c>
      <c r="C162" s="553" t="s">
        <v>231</v>
      </c>
      <c r="D162" s="553" t="s">
        <v>16</v>
      </c>
      <c r="E162" s="1541"/>
      <c r="F162" s="1541"/>
      <c r="G162" s="1541"/>
      <c r="H162" s="1538"/>
      <c r="I162" s="1538"/>
      <c r="J162" s="1541"/>
      <c r="K162" s="1541"/>
      <c r="L162" s="1541"/>
      <c r="M162" s="1548"/>
      <c r="N162" s="1549"/>
      <c r="O162" s="1550"/>
      <c r="P162" s="1555"/>
      <c r="Q162" s="1558"/>
      <c r="R162" s="1598"/>
      <c r="S162" s="1599"/>
      <c r="T162" s="1541"/>
      <c r="U162" s="1601"/>
    </row>
    <row r="163" spans="1:24" ht="21" customHeight="1">
      <c r="A163" s="1574"/>
      <c r="B163" s="562"/>
      <c r="C163" s="562"/>
      <c r="D163" s="562"/>
      <c r="E163" s="1542"/>
      <c r="F163" s="1542"/>
      <c r="G163" s="1542"/>
      <c r="H163" s="1539"/>
      <c r="I163" s="1539"/>
      <c r="J163" s="1542"/>
      <c r="K163" s="1542"/>
      <c r="L163" s="1542"/>
      <c r="M163" s="1548"/>
      <c r="N163" s="1549"/>
      <c r="O163" s="1550"/>
      <c r="P163" s="1555"/>
      <c r="Q163" s="1559"/>
      <c r="R163" s="1579"/>
      <c r="S163" s="1582"/>
      <c r="T163" s="1542"/>
      <c r="U163" s="1602"/>
    </row>
    <row r="164" spans="1:24" ht="20.25">
      <c r="A164" s="1588" t="s">
        <v>279</v>
      </c>
      <c r="B164" s="1589"/>
      <c r="C164" s="1589"/>
      <c r="D164" s="1589"/>
      <c r="E164" s="1591" t="s">
        <v>800</v>
      </c>
      <c r="F164" s="1591"/>
      <c r="G164" s="555"/>
      <c r="H164" s="1499" t="s">
        <v>801</v>
      </c>
      <c r="I164" s="1499"/>
      <c r="J164" s="518"/>
      <c r="K164" s="1499" t="s">
        <v>802</v>
      </c>
      <c r="L164" s="1499"/>
      <c r="M164" s="556"/>
      <c r="N164" s="1499" t="s">
        <v>803</v>
      </c>
      <c r="O164" s="1499"/>
      <c r="P164" s="557"/>
      <c r="Q164" s="1570" t="s">
        <v>280</v>
      </c>
      <c r="R164" s="1570"/>
      <c r="S164" s="1568"/>
      <c r="T164" s="1568"/>
      <c r="U164" s="1569"/>
    </row>
    <row r="165" spans="1:24" ht="20.25">
      <c r="A165" s="1592" t="s">
        <v>30</v>
      </c>
      <c r="B165" s="1593"/>
      <c r="C165" s="1593"/>
      <c r="D165" s="1608"/>
      <c r="E165" s="1603" t="s">
        <v>800</v>
      </c>
      <c r="F165" s="1604"/>
      <c r="G165" s="558"/>
      <c r="H165" s="1607" t="s">
        <v>801</v>
      </c>
      <c r="I165" s="1607"/>
      <c r="J165" s="559"/>
      <c r="K165" s="1607" t="s">
        <v>802</v>
      </c>
      <c r="L165" s="1607"/>
      <c r="M165" s="560"/>
      <c r="N165" s="1607" t="s">
        <v>803</v>
      </c>
      <c r="O165" s="1607"/>
      <c r="P165" s="561"/>
      <c r="Q165" s="1571" t="s">
        <v>280</v>
      </c>
      <c r="R165" s="1571"/>
      <c r="S165" s="1605"/>
      <c r="T165" s="1605"/>
      <c r="U165" s="1606"/>
    </row>
    <row r="166" spans="1:24" ht="29.25" customHeight="1">
      <c r="A166" s="1574">
        <f t="shared" ref="A166" si="58">IF(X166=0,0,W166)</f>
        <v>0</v>
      </c>
      <c r="B166" s="1575"/>
      <c r="C166" s="1575"/>
      <c r="D166" s="1575"/>
      <c r="E166" s="1576"/>
      <c r="F166" s="1576"/>
      <c r="G166" s="1576"/>
      <c r="H166" s="1544"/>
      <c r="I166" s="1544"/>
      <c r="J166" s="1576"/>
      <c r="K166" s="1576"/>
      <c r="L166" s="1576"/>
      <c r="M166" s="1548"/>
      <c r="N166" s="1549"/>
      <c r="O166" s="1550"/>
      <c r="P166" s="1555"/>
      <c r="Q166" s="1577">
        <f ca="1">IF(X166=0,0,IF(AND(P166='Data Base'!J175,G169&gt;0.5),0,G169*(IF(EXACT(M169,"نفر اول"),INDIRECT(CONCATENATE("'Data Base'!$C",J169)),INDIRECT(CONCATENATE("'Data Base'!$D",J169))))*((100-P169)/100)))</f>
        <v>0</v>
      </c>
      <c r="R166" s="1581">
        <f ca="1">IF(X166=0,0,IF(AND(P166='Data Base'!J175,G170&gt;0.5),0,G170*(IF(EXACT(M170,"نفر اول"),INDIRECT(CONCATENATE("'Data Base'!$C",J170)),INDIRECT(CONCATENATE("'Data Base'!$D",J170))))*((100-P170)/100)))</f>
        <v>0</v>
      </c>
      <c r="S166" s="1584"/>
      <c r="T166" s="1576"/>
      <c r="U166" s="1600"/>
      <c r="W166" s="220">
        <f t="shared" ref="W166" si="59">SUM(W161,X166)</f>
        <v>0</v>
      </c>
      <c r="X166" s="220">
        <f>IF(OR(E166="",P166="",J166="",M166="",D168="",C168="",B168=""),0,1)</f>
        <v>0</v>
      </c>
    </row>
    <row r="167" spans="1:24" ht="21" customHeight="1">
      <c r="A167" s="1574"/>
      <c r="B167" s="553" t="s">
        <v>230</v>
      </c>
      <c r="C167" s="553" t="s">
        <v>231</v>
      </c>
      <c r="D167" s="553" t="s">
        <v>16</v>
      </c>
      <c r="E167" s="1541"/>
      <c r="F167" s="1541"/>
      <c r="G167" s="1541"/>
      <c r="H167" s="1538"/>
      <c r="I167" s="1538"/>
      <c r="J167" s="1541"/>
      <c r="K167" s="1541"/>
      <c r="L167" s="1541"/>
      <c r="M167" s="1548"/>
      <c r="N167" s="1549"/>
      <c r="O167" s="1550"/>
      <c r="P167" s="1555"/>
      <c r="Q167" s="1558"/>
      <c r="R167" s="1598"/>
      <c r="S167" s="1599"/>
      <c r="T167" s="1541"/>
      <c r="U167" s="1601"/>
    </row>
    <row r="168" spans="1:24" ht="21" customHeight="1">
      <c r="A168" s="1574"/>
      <c r="B168" s="562"/>
      <c r="C168" s="562"/>
      <c r="D168" s="562"/>
      <c r="E168" s="1542"/>
      <c r="F168" s="1542"/>
      <c r="G168" s="1542"/>
      <c r="H168" s="1539"/>
      <c r="I168" s="1539"/>
      <c r="J168" s="1542"/>
      <c r="K168" s="1542"/>
      <c r="L168" s="1542"/>
      <c r="M168" s="1548"/>
      <c r="N168" s="1549"/>
      <c r="O168" s="1550"/>
      <c r="P168" s="1555"/>
      <c r="Q168" s="1559"/>
      <c r="R168" s="1579"/>
      <c r="S168" s="1582"/>
      <c r="T168" s="1542"/>
      <c r="U168" s="1602"/>
    </row>
    <row r="169" spans="1:24" ht="20.25">
      <c r="A169" s="1588" t="s">
        <v>279</v>
      </c>
      <c r="B169" s="1589"/>
      <c r="C169" s="1589"/>
      <c r="D169" s="1589"/>
      <c r="E169" s="1591" t="s">
        <v>800</v>
      </c>
      <c r="F169" s="1591"/>
      <c r="G169" s="555"/>
      <c r="H169" s="1499" t="s">
        <v>801</v>
      </c>
      <c r="I169" s="1499"/>
      <c r="J169" s="518"/>
      <c r="K169" s="1499" t="s">
        <v>802</v>
      </c>
      <c r="L169" s="1499"/>
      <c r="M169" s="556"/>
      <c r="N169" s="1499" t="s">
        <v>803</v>
      </c>
      <c r="O169" s="1499"/>
      <c r="P169" s="557"/>
      <c r="Q169" s="1570" t="s">
        <v>280</v>
      </c>
      <c r="R169" s="1570"/>
      <c r="S169" s="1568"/>
      <c r="T169" s="1568"/>
      <c r="U169" s="1569"/>
    </row>
    <row r="170" spans="1:24" ht="20.25">
      <c r="A170" s="1592" t="s">
        <v>30</v>
      </c>
      <c r="B170" s="1593"/>
      <c r="C170" s="1593"/>
      <c r="D170" s="1608"/>
      <c r="E170" s="1603" t="s">
        <v>800</v>
      </c>
      <c r="F170" s="1604"/>
      <c r="G170" s="558"/>
      <c r="H170" s="1607" t="s">
        <v>801</v>
      </c>
      <c r="I170" s="1607"/>
      <c r="J170" s="559"/>
      <c r="K170" s="1607" t="s">
        <v>802</v>
      </c>
      <c r="L170" s="1607"/>
      <c r="M170" s="560"/>
      <c r="N170" s="1607" t="s">
        <v>803</v>
      </c>
      <c r="O170" s="1607"/>
      <c r="P170" s="561"/>
      <c r="Q170" s="1571" t="s">
        <v>280</v>
      </c>
      <c r="R170" s="1571"/>
      <c r="S170" s="1605"/>
      <c r="T170" s="1605"/>
      <c r="U170" s="1606"/>
    </row>
    <row r="171" spans="1:24" ht="29.25" customHeight="1">
      <c r="A171" s="1574">
        <f t="shared" ref="A171" si="60">IF(X171=0,0,W171)</f>
        <v>0</v>
      </c>
      <c r="B171" s="1575"/>
      <c r="C171" s="1575"/>
      <c r="D171" s="1575"/>
      <c r="E171" s="1576"/>
      <c r="F171" s="1576"/>
      <c r="G171" s="1576"/>
      <c r="H171" s="1544"/>
      <c r="I171" s="1544"/>
      <c r="J171" s="1576"/>
      <c r="K171" s="1576"/>
      <c r="L171" s="1576"/>
      <c r="M171" s="1548"/>
      <c r="N171" s="1549"/>
      <c r="O171" s="1550"/>
      <c r="P171" s="1555"/>
      <c r="Q171" s="1577">
        <f ca="1">IF(X171=0,0,IF(AND(P171='Data Base'!J180,G174&gt;0.5),0,G174*(IF(EXACT(M174,"نفر اول"),INDIRECT(CONCATENATE("'Data Base'!$C",J174)),INDIRECT(CONCATENATE("'Data Base'!$D",J174))))*((100-P174)/100)))</f>
        <v>0</v>
      </c>
      <c r="R171" s="1581">
        <f ca="1">IF(X171=0,0,IF(AND(P171='Data Base'!J180,G175&gt;0.5),0,G175*(IF(EXACT(M175,"نفر اول"),INDIRECT(CONCATENATE("'Data Base'!$C",J175)),INDIRECT(CONCATENATE("'Data Base'!$D",J175))))*((100-P175)/100)))</f>
        <v>0</v>
      </c>
      <c r="S171" s="1584"/>
      <c r="T171" s="1576"/>
      <c r="U171" s="1600"/>
      <c r="W171" s="220">
        <f t="shared" ref="W171" si="61">SUM(W166,X171)</f>
        <v>0</v>
      </c>
      <c r="X171" s="220">
        <f>IF(OR(E171="",P171="",J171="",M171="",D173="",C173="",B173=""),0,1)</f>
        <v>0</v>
      </c>
    </row>
    <row r="172" spans="1:24" ht="21" customHeight="1">
      <c r="A172" s="1574"/>
      <c r="B172" s="553" t="s">
        <v>230</v>
      </c>
      <c r="C172" s="553" t="s">
        <v>231</v>
      </c>
      <c r="D172" s="553" t="s">
        <v>16</v>
      </c>
      <c r="E172" s="1541"/>
      <c r="F172" s="1541"/>
      <c r="G172" s="1541"/>
      <c r="H172" s="1538"/>
      <c r="I172" s="1538"/>
      <c r="J172" s="1541"/>
      <c r="K172" s="1541"/>
      <c r="L172" s="1541"/>
      <c r="M172" s="1548"/>
      <c r="N172" s="1549"/>
      <c r="O172" s="1550"/>
      <c r="P172" s="1555"/>
      <c r="Q172" s="1558"/>
      <c r="R172" s="1598"/>
      <c r="S172" s="1599"/>
      <c r="T172" s="1541"/>
      <c r="U172" s="1601"/>
    </row>
    <row r="173" spans="1:24" ht="21" customHeight="1">
      <c r="A173" s="1574"/>
      <c r="B173" s="562"/>
      <c r="C173" s="562"/>
      <c r="D173" s="562"/>
      <c r="E173" s="1542"/>
      <c r="F173" s="1542"/>
      <c r="G173" s="1542"/>
      <c r="H173" s="1539"/>
      <c r="I173" s="1539"/>
      <c r="J173" s="1542"/>
      <c r="K173" s="1542"/>
      <c r="L173" s="1542"/>
      <c r="M173" s="1548"/>
      <c r="N173" s="1549"/>
      <c r="O173" s="1550"/>
      <c r="P173" s="1555"/>
      <c r="Q173" s="1559"/>
      <c r="R173" s="1579"/>
      <c r="S173" s="1582"/>
      <c r="T173" s="1542"/>
      <c r="U173" s="1602"/>
    </row>
    <row r="174" spans="1:24" ht="20.25">
      <c r="A174" s="1588" t="s">
        <v>279</v>
      </c>
      <c r="B174" s="1589"/>
      <c r="C174" s="1589"/>
      <c r="D174" s="1589"/>
      <c r="E174" s="1591" t="s">
        <v>800</v>
      </c>
      <c r="F174" s="1591"/>
      <c r="G174" s="555"/>
      <c r="H174" s="1499" t="s">
        <v>801</v>
      </c>
      <c r="I174" s="1499"/>
      <c r="J174" s="518"/>
      <c r="K174" s="1499" t="s">
        <v>802</v>
      </c>
      <c r="L174" s="1499"/>
      <c r="M174" s="556"/>
      <c r="N174" s="1499" t="s">
        <v>803</v>
      </c>
      <c r="O174" s="1499"/>
      <c r="P174" s="557"/>
      <c r="Q174" s="1570" t="s">
        <v>280</v>
      </c>
      <c r="R174" s="1570"/>
      <c r="S174" s="1568"/>
      <c r="T174" s="1568"/>
      <c r="U174" s="1569"/>
    </row>
    <row r="175" spans="1:24" ht="20.25">
      <c r="A175" s="1592" t="s">
        <v>30</v>
      </c>
      <c r="B175" s="1593"/>
      <c r="C175" s="1593"/>
      <c r="D175" s="1608"/>
      <c r="E175" s="1603" t="s">
        <v>800</v>
      </c>
      <c r="F175" s="1604"/>
      <c r="G175" s="558"/>
      <c r="H175" s="1607" t="s">
        <v>801</v>
      </c>
      <c r="I175" s="1607"/>
      <c r="J175" s="559"/>
      <c r="K175" s="1607" t="s">
        <v>802</v>
      </c>
      <c r="L175" s="1607"/>
      <c r="M175" s="560"/>
      <c r="N175" s="1607" t="s">
        <v>803</v>
      </c>
      <c r="O175" s="1607"/>
      <c r="P175" s="561"/>
      <c r="Q175" s="1571" t="s">
        <v>280</v>
      </c>
      <c r="R175" s="1571"/>
      <c r="S175" s="1605"/>
      <c r="T175" s="1605"/>
      <c r="U175" s="1606"/>
    </row>
    <row r="176" spans="1:24" ht="29.25" customHeight="1">
      <c r="A176" s="1574">
        <f t="shared" ref="A176" si="62">IF(X176=0,0,W176)</f>
        <v>0</v>
      </c>
      <c r="B176" s="1575"/>
      <c r="C176" s="1575"/>
      <c r="D176" s="1575"/>
      <c r="E176" s="1576"/>
      <c r="F176" s="1576"/>
      <c r="G176" s="1576"/>
      <c r="H176" s="1544"/>
      <c r="I176" s="1544"/>
      <c r="J176" s="1576"/>
      <c r="K176" s="1576"/>
      <c r="L176" s="1576"/>
      <c r="M176" s="1548"/>
      <c r="N176" s="1549"/>
      <c r="O176" s="1550"/>
      <c r="P176" s="1555"/>
      <c r="Q176" s="1577">
        <f ca="1">IF(X176=0,0,IF(AND(P176='Data Base'!J185,G179&gt;0.5),0,G179*(IF(EXACT(M179,"نفر اول"),INDIRECT(CONCATENATE("'Data Base'!$C",J179)),INDIRECT(CONCATENATE("'Data Base'!$D",J179))))*((100-P179)/100)))</f>
        <v>0</v>
      </c>
      <c r="R176" s="1581">
        <f ca="1">IF(X176=0,0,IF(AND(P176='Data Base'!J185,G180&gt;0.5),0,G180*(IF(EXACT(M180,"نفر اول"),INDIRECT(CONCATENATE("'Data Base'!$C",J180)),INDIRECT(CONCATENATE("'Data Base'!$D",J180))))*((100-P180)/100)))</f>
        <v>0</v>
      </c>
      <c r="S176" s="1584"/>
      <c r="T176" s="1576"/>
      <c r="U176" s="1600"/>
      <c r="W176" s="220">
        <f t="shared" ref="W176" si="63">SUM(W171,X176)</f>
        <v>0</v>
      </c>
      <c r="X176" s="220">
        <f>IF(OR(E176="",P176="",J176="",M176="",D178="",C178="",B178=""),0,1)</f>
        <v>0</v>
      </c>
    </row>
    <row r="177" spans="1:24" ht="22.5" customHeight="1">
      <c r="A177" s="1574"/>
      <c r="B177" s="553" t="s">
        <v>230</v>
      </c>
      <c r="C177" s="553" t="s">
        <v>231</v>
      </c>
      <c r="D177" s="553" t="s">
        <v>16</v>
      </c>
      <c r="E177" s="1541"/>
      <c r="F177" s="1541"/>
      <c r="G177" s="1541"/>
      <c r="H177" s="1538"/>
      <c r="I177" s="1538"/>
      <c r="J177" s="1541"/>
      <c r="K177" s="1541"/>
      <c r="L177" s="1541"/>
      <c r="M177" s="1548"/>
      <c r="N177" s="1549"/>
      <c r="O177" s="1550"/>
      <c r="P177" s="1555"/>
      <c r="Q177" s="1558"/>
      <c r="R177" s="1598"/>
      <c r="S177" s="1599"/>
      <c r="T177" s="1541"/>
      <c r="U177" s="1601"/>
    </row>
    <row r="178" spans="1:24" ht="22.5" customHeight="1">
      <c r="A178" s="1574"/>
      <c r="B178" s="562"/>
      <c r="C178" s="562"/>
      <c r="D178" s="562"/>
      <c r="E178" s="1542"/>
      <c r="F178" s="1542"/>
      <c r="G178" s="1542"/>
      <c r="H178" s="1539"/>
      <c r="I178" s="1539"/>
      <c r="J178" s="1542"/>
      <c r="K178" s="1542"/>
      <c r="L178" s="1542"/>
      <c r="M178" s="1548"/>
      <c r="N178" s="1549"/>
      <c r="O178" s="1550"/>
      <c r="P178" s="1555"/>
      <c r="Q178" s="1559"/>
      <c r="R178" s="1579"/>
      <c r="S178" s="1582"/>
      <c r="T178" s="1542"/>
      <c r="U178" s="1602"/>
    </row>
    <row r="179" spans="1:24" ht="20.25">
      <c r="A179" s="1588" t="s">
        <v>279</v>
      </c>
      <c r="B179" s="1589"/>
      <c r="C179" s="1589"/>
      <c r="D179" s="1589"/>
      <c r="E179" s="1591" t="s">
        <v>800</v>
      </c>
      <c r="F179" s="1591"/>
      <c r="G179" s="555"/>
      <c r="H179" s="1499" t="s">
        <v>801</v>
      </c>
      <c r="I179" s="1499"/>
      <c r="J179" s="518"/>
      <c r="K179" s="1499" t="s">
        <v>802</v>
      </c>
      <c r="L179" s="1499"/>
      <c r="M179" s="556"/>
      <c r="N179" s="1499" t="s">
        <v>803</v>
      </c>
      <c r="O179" s="1499"/>
      <c r="P179" s="557"/>
      <c r="Q179" s="1570" t="s">
        <v>280</v>
      </c>
      <c r="R179" s="1570"/>
      <c r="S179" s="1568"/>
      <c r="T179" s="1568"/>
      <c r="U179" s="1569"/>
    </row>
    <row r="180" spans="1:24" ht="20.25">
      <c r="A180" s="1592" t="s">
        <v>30</v>
      </c>
      <c r="B180" s="1593"/>
      <c r="C180" s="1593"/>
      <c r="D180" s="1608"/>
      <c r="E180" s="1603" t="s">
        <v>800</v>
      </c>
      <c r="F180" s="1604"/>
      <c r="G180" s="558"/>
      <c r="H180" s="1607" t="s">
        <v>801</v>
      </c>
      <c r="I180" s="1607"/>
      <c r="J180" s="559"/>
      <c r="K180" s="1607" t="s">
        <v>802</v>
      </c>
      <c r="L180" s="1607"/>
      <c r="M180" s="560"/>
      <c r="N180" s="1607" t="s">
        <v>803</v>
      </c>
      <c r="O180" s="1607"/>
      <c r="P180" s="561"/>
      <c r="Q180" s="1571" t="s">
        <v>280</v>
      </c>
      <c r="R180" s="1571"/>
      <c r="S180" s="1605"/>
      <c r="T180" s="1605"/>
      <c r="U180" s="1606"/>
    </row>
    <row r="181" spans="1:24" ht="42" customHeight="1">
      <c r="A181" s="1574">
        <f t="shared" ref="A181" si="64">IF(X181=0,0,W181)</f>
        <v>0</v>
      </c>
      <c r="B181" s="1575"/>
      <c r="C181" s="1575"/>
      <c r="D181" s="1575"/>
      <c r="E181" s="1576"/>
      <c r="F181" s="1576"/>
      <c r="G181" s="1576"/>
      <c r="H181" s="1544"/>
      <c r="I181" s="1544"/>
      <c r="J181" s="1576"/>
      <c r="K181" s="1576"/>
      <c r="L181" s="1576"/>
      <c r="M181" s="1548"/>
      <c r="N181" s="1549"/>
      <c r="O181" s="1550"/>
      <c r="P181" s="1555"/>
      <c r="Q181" s="1577">
        <f ca="1">IF(X181=0,0,IF(AND(P181='Data Base'!J190,G184&gt;0.5),0,G184*(IF(EXACT(M184,"نفر اول"),INDIRECT(CONCATENATE("'Data Base'!$C",J184)),INDIRECT(CONCATENATE("'Data Base'!$D",J184))))*((100-P184)/100)))</f>
        <v>0</v>
      </c>
      <c r="R181" s="1581">
        <f ca="1">IF(X181=0,0,IF(AND(P181='Data Base'!J190,G185&gt;0.5),0,G185*(IF(EXACT(M185,"نفر اول"),INDIRECT(CONCATENATE("'Data Base'!$C",J185)),INDIRECT(CONCATENATE("'Data Base'!$D",J185))))*((100-P185)/100)))</f>
        <v>0</v>
      </c>
      <c r="S181" s="1584"/>
      <c r="T181" s="1576"/>
      <c r="U181" s="1600"/>
      <c r="W181" s="220">
        <f t="shared" ref="W181" si="65">SUM(W176,X181)</f>
        <v>0</v>
      </c>
      <c r="X181" s="220">
        <f>IF(OR(E181="",P181="",J181="",M181="",D183="",C183="",B183=""),0,1)</f>
        <v>0</v>
      </c>
    </row>
    <row r="182" spans="1:24" ht="22.5" customHeight="1">
      <c r="A182" s="1574"/>
      <c r="B182" s="553" t="s">
        <v>230</v>
      </c>
      <c r="C182" s="553" t="s">
        <v>231</v>
      </c>
      <c r="D182" s="553" t="s">
        <v>16</v>
      </c>
      <c r="E182" s="1541"/>
      <c r="F182" s="1541"/>
      <c r="G182" s="1541"/>
      <c r="H182" s="1538"/>
      <c r="I182" s="1538"/>
      <c r="J182" s="1541"/>
      <c r="K182" s="1541"/>
      <c r="L182" s="1541"/>
      <c r="M182" s="1548"/>
      <c r="N182" s="1549"/>
      <c r="O182" s="1550"/>
      <c r="P182" s="1555"/>
      <c r="Q182" s="1558"/>
      <c r="R182" s="1598"/>
      <c r="S182" s="1599"/>
      <c r="T182" s="1541"/>
      <c r="U182" s="1601"/>
    </row>
    <row r="183" spans="1:24" ht="22.5" customHeight="1">
      <c r="A183" s="1574"/>
      <c r="B183" s="562"/>
      <c r="C183" s="562"/>
      <c r="D183" s="562"/>
      <c r="E183" s="1542"/>
      <c r="F183" s="1542"/>
      <c r="G183" s="1542"/>
      <c r="H183" s="1539"/>
      <c r="I183" s="1539"/>
      <c r="J183" s="1542"/>
      <c r="K183" s="1542"/>
      <c r="L183" s="1542"/>
      <c r="M183" s="1548"/>
      <c r="N183" s="1549"/>
      <c r="O183" s="1550"/>
      <c r="P183" s="1555"/>
      <c r="Q183" s="1559"/>
      <c r="R183" s="1579"/>
      <c r="S183" s="1582"/>
      <c r="T183" s="1542"/>
      <c r="U183" s="1602"/>
    </row>
    <row r="184" spans="1:24" ht="21" customHeight="1">
      <c r="A184" s="1588" t="s">
        <v>279</v>
      </c>
      <c r="B184" s="1589"/>
      <c r="C184" s="1589"/>
      <c r="D184" s="1589"/>
      <c r="E184" s="1591" t="s">
        <v>800</v>
      </c>
      <c r="F184" s="1591"/>
      <c r="G184" s="555"/>
      <c r="H184" s="1499" t="s">
        <v>801</v>
      </c>
      <c r="I184" s="1499"/>
      <c r="J184" s="518"/>
      <c r="K184" s="1499" t="s">
        <v>802</v>
      </c>
      <c r="L184" s="1499"/>
      <c r="M184" s="556"/>
      <c r="N184" s="1499" t="s">
        <v>803</v>
      </c>
      <c r="O184" s="1499"/>
      <c r="P184" s="557"/>
      <c r="Q184" s="1570" t="s">
        <v>280</v>
      </c>
      <c r="R184" s="1570"/>
      <c r="S184" s="1568"/>
      <c r="T184" s="1568"/>
      <c r="U184" s="1569"/>
    </row>
    <row r="185" spans="1:24" ht="21" customHeight="1">
      <c r="A185" s="1592" t="s">
        <v>30</v>
      </c>
      <c r="B185" s="1593"/>
      <c r="C185" s="1593"/>
      <c r="D185" s="1608"/>
      <c r="E185" s="1603" t="s">
        <v>800</v>
      </c>
      <c r="F185" s="1604"/>
      <c r="G185" s="558"/>
      <c r="H185" s="1607" t="s">
        <v>801</v>
      </c>
      <c r="I185" s="1607"/>
      <c r="J185" s="559"/>
      <c r="K185" s="1607" t="s">
        <v>802</v>
      </c>
      <c r="L185" s="1607"/>
      <c r="M185" s="560"/>
      <c r="N185" s="1607" t="s">
        <v>803</v>
      </c>
      <c r="O185" s="1607"/>
      <c r="P185" s="561"/>
      <c r="Q185" s="1571" t="s">
        <v>280</v>
      </c>
      <c r="R185" s="1571"/>
      <c r="S185" s="1605"/>
      <c r="T185" s="1605"/>
      <c r="U185" s="1606"/>
    </row>
    <row r="186" spans="1:24" ht="21" customHeight="1">
      <c r="A186" s="1574">
        <f t="shared" ref="A186" si="66">IF(X186=0,0,W186)</f>
        <v>0</v>
      </c>
      <c r="B186" s="1575"/>
      <c r="C186" s="1575"/>
      <c r="D186" s="1575"/>
      <c r="E186" s="1576"/>
      <c r="F186" s="1576"/>
      <c r="G186" s="1576"/>
      <c r="H186" s="1544"/>
      <c r="I186" s="1544"/>
      <c r="J186" s="1576"/>
      <c r="K186" s="1576"/>
      <c r="L186" s="1576"/>
      <c r="M186" s="1548"/>
      <c r="N186" s="1549"/>
      <c r="O186" s="1550"/>
      <c r="P186" s="1555"/>
      <c r="Q186" s="1577">
        <f ca="1">IF(X186=0,0,IF(AND(P186='Data Base'!J195,G189&gt;0.5),0,G189*(IF(EXACT(M189,"نفر اول"),INDIRECT(CONCATENATE("'Data Base'!$C",J189)),INDIRECT(CONCATENATE("'Data Base'!$D",J189))))*((100-P189)/100)))</f>
        <v>0</v>
      </c>
      <c r="R186" s="1581">
        <f ca="1">IF(X186=0,0,IF(AND(P186='Data Base'!J195,G190&gt;0.5),0,G190*(IF(EXACT(M190,"نفر اول"),INDIRECT(CONCATENATE("'Data Base'!$C",J190)),INDIRECT(CONCATENATE("'Data Base'!$D",J190))))*((100-P190)/100)))</f>
        <v>0</v>
      </c>
      <c r="S186" s="1584"/>
      <c r="T186" s="1576"/>
      <c r="U186" s="1600"/>
      <c r="W186" s="220">
        <f t="shared" ref="W186" si="67">SUM(W181,X186)</f>
        <v>0</v>
      </c>
      <c r="X186" s="220">
        <f>IF(OR(E186="",P186="",J186="",M186="",D188="",C188="",B188=""),0,1)</f>
        <v>0</v>
      </c>
    </row>
    <row r="187" spans="1:24" ht="21" customHeight="1">
      <c r="A187" s="1574"/>
      <c r="B187" s="553" t="s">
        <v>230</v>
      </c>
      <c r="C187" s="553" t="s">
        <v>231</v>
      </c>
      <c r="D187" s="553" t="s">
        <v>16</v>
      </c>
      <c r="E187" s="1541"/>
      <c r="F187" s="1541"/>
      <c r="G187" s="1541"/>
      <c r="H187" s="1538"/>
      <c r="I187" s="1538"/>
      <c r="J187" s="1541"/>
      <c r="K187" s="1541"/>
      <c r="L187" s="1541"/>
      <c r="M187" s="1548"/>
      <c r="N187" s="1549"/>
      <c r="O187" s="1550"/>
      <c r="P187" s="1555"/>
      <c r="Q187" s="1558"/>
      <c r="R187" s="1598"/>
      <c r="S187" s="1599"/>
      <c r="T187" s="1541"/>
      <c r="U187" s="1601"/>
    </row>
    <row r="188" spans="1:24" ht="21" customHeight="1">
      <c r="A188" s="1574"/>
      <c r="B188" s="562"/>
      <c r="C188" s="562"/>
      <c r="D188" s="562"/>
      <c r="E188" s="1542"/>
      <c r="F188" s="1542"/>
      <c r="G188" s="1542"/>
      <c r="H188" s="1539"/>
      <c r="I188" s="1539"/>
      <c r="J188" s="1542"/>
      <c r="K188" s="1542"/>
      <c r="L188" s="1542"/>
      <c r="M188" s="1548"/>
      <c r="N188" s="1549"/>
      <c r="O188" s="1550"/>
      <c r="P188" s="1555"/>
      <c r="Q188" s="1559"/>
      <c r="R188" s="1579"/>
      <c r="S188" s="1582"/>
      <c r="T188" s="1542"/>
      <c r="U188" s="1602"/>
    </row>
    <row r="189" spans="1:24" ht="21" customHeight="1">
      <c r="A189" s="1588" t="s">
        <v>279</v>
      </c>
      <c r="B189" s="1589"/>
      <c r="C189" s="1589"/>
      <c r="D189" s="1589"/>
      <c r="E189" s="1591" t="s">
        <v>800</v>
      </c>
      <c r="F189" s="1591"/>
      <c r="G189" s="555"/>
      <c r="H189" s="1499" t="s">
        <v>801</v>
      </c>
      <c r="I189" s="1499"/>
      <c r="J189" s="518"/>
      <c r="K189" s="1499" t="s">
        <v>802</v>
      </c>
      <c r="L189" s="1499"/>
      <c r="M189" s="556"/>
      <c r="N189" s="1499" t="s">
        <v>803</v>
      </c>
      <c r="O189" s="1499"/>
      <c r="P189" s="557"/>
      <c r="Q189" s="1570" t="s">
        <v>280</v>
      </c>
      <c r="R189" s="1570"/>
      <c r="S189" s="1568"/>
      <c r="T189" s="1568"/>
      <c r="U189" s="1569"/>
    </row>
    <row r="190" spans="1:24" ht="21" customHeight="1">
      <c r="A190" s="1592" t="s">
        <v>30</v>
      </c>
      <c r="B190" s="1593"/>
      <c r="C190" s="1593"/>
      <c r="D190" s="1608"/>
      <c r="E190" s="1603" t="s">
        <v>800</v>
      </c>
      <c r="F190" s="1604"/>
      <c r="G190" s="558"/>
      <c r="H190" s="1607" t="s">
        <v>801</v>
      </c>
      <c r="I190" s="1607"/>
      <c r="J190" s="559"/>
      <c r="K190" s="1607" t="s">
        <v>802</v>
      </c>
      <c r="L190" s="1607"/>
      <c r="M190" s="560"/>
      <c r="N190" s="1607" t="s">
        <v>803</v>
      </c>
      <c r="O190" s="1607"/>
      <c r="P190" s="561"/>
      <c r="Q190" s="1571" t="s">
        <v>280</v>
      </c>
      <c r="R190" s="1571"/>
      <c r="S190" s="1605"/>
      <c r="T190" s="1605"/>
      <c r="U190" s="1606"/>
    </row>
    <row r="191" spans="1:24" ht="21" customHeight="1">
      <c r="A191" s="1574">
        <f t="shared" ref="A191" si="68">IF(X191=0,0,W191)</f>
        <v>0</v>
      </c>
      <c r="B191" s="1575"/>
      <c r="C191" s="1575"/>
      <c r="D191" s="1575"/>
      <c r="E191" s="1576"/>
      <c r="F191" s="1576"/>
      <c r="G191" s="1576"/>
      <c r="H191" s="1544"/>
      <c r="I191" s="1544"/>
      <c r="J191" s="1576"/>
      <c r="K191" s="1576"/>
      <c r="L191" s="1576"/>
      <c r="M191" s="1548"/>
      <c r="N191" s="1549"/>
      <c r="O191" s="1550"/>
      <c r="P191" s="1555"/>
      <c r="Q191" s="1577">
        <f ca="1">IF(X191=0,0,IF(AND(P191='Data Base'!J200,G194&gt;0.5),0,G194*(IF(EXACT(M194,"نفر اول"),INDIRECT(CONCATENATE("'Data Base'!$C",J194)),INDIRECT(CONCATENATE("'Data Base'!$D",J194))))*((100-P194)/100)))</f>
        <v>0</v>
      </c>
      <c r="R191" s="1581">
        <f ca="1">IF(X191=0,0,IF(AND(P191='Data Base'!J200,G195&gt;0.5),0,G195*(IF(EXACT(M195,"نفر اول"),INDIRECT(CONCATENATE("'Data Base'!$C",J195)),INDIRECT(CONCATENATE("'Data Base'!$D",J195))))*((100-P195)/100)))</f>
        <v>0</v>
      </c>
      <c r="S191" s="1584"/>
      <c r="T191" s="1576"/>
      <c r="U191" s="1600"/>
      <c r="W191" s="220">
        <f t="shared" ref="W191" si="69">SUM(W186,X191)</f>
        <v>0</v>
      </c>
      <c r="X191" s="220">
        <f>IF(OR(E191="",P191="",J191="",M191="",D193="",C193="",B193=""),0,1)</f>
        <v>0</v>
      </c>
    </row>
    <row r="192" spans="1:24" ht="21" customHeight="1">
      <c r="A192" s="1574"/>
      <c r="B192" s="553" t="s">
        <v>230</v>
      </c>
      <c r="C192" s="553" t="s">
        <v>231</v>
      </c>
      <c r="D192" s="553" t="s">
        <v>16</v>
      </c>
      <c r="E192" s="1541"/>
      <c r="F192" s="1541"/>
      <c r="G192" s="1541"/>
      <c r="H192" s="1538"/>
      <c r="I192" s="1538"/>
      <c r="J192" s="1541"/>
      <c r="K192" s="1541"/>
      <c r="L192" s="1541"/>
      <c r="M192" s="1548"/>
      <c r="N192" s="1549"/>
      <c r="O192" s="1550"/>
      <c r="P192" s="1555"/>
      <c r="Q192" s="1558"/>
      <c r="R192" s="1598"/>
      <c r="S192" s="1599"/>
      <c r="T192" s="1541"/>
      <c r="U192" s="1601"/>
    </row>
    <row r="193" spans="1:24" ht="21" customHeight="1">
      <c r="A193" s="1574"/>
      <c r="B193" s="562"/>
      <c r="C193" s="562"/>
      <c r="D193" s="562"/>
      <c r="E193" s="1542"/>
      <c r="F193" s="1542"/>
      <c r="G193" s="1542"/>
      <c r="H193" s="1539"/>
      <c r="I193" s="1539"/>
      <c r="J193" s="1542"/>
      <c r="K193" s="1542"/>
      <c r="L193" s="1542"/>
      <c r="M193" s="1548"/>
      <c r="N193" s="1549"/>
      <c r="O193" s="1550"/>
      <c r="P193" s="1555"/>
      <c r="Q193" s="1559"/>
      <c r="R193" s="1579"/>
      <c r="S193" s="1582"/>
      <c r="T193" s="1542"/>
      <c r="U193" s="1602"/>
    </row>
    <row r="194" spans="1:24" ht="21" customHeight="1">
      <c r="A194" s="1588" t="s">
        <v>279</v>
      </c>
      <c r="B194" s="1589"/>
      <c r="C194" s="1589"/>
      <c r="D194" s="1589"/>
      <c r="E194" s="1591" t="s">
        <v>800</v>
      </c>
      <c r="F194" s="1591"/>
      <c r="G194" s="555"/>
      <c r="H194" s="1499" t="s">
        <v>801</v>
      </c>
      <c r="I194" s="1499"/>
      <c r="J194" s="518"/>
      <c r="K194" s="1499" t="s">
        <v>802</v>
      </c>
      <c r="L194" s="1499"/>
      <c r="M194" s="556"/>
      <c r="N194" s="1499" t="s">
        <v>803</v>
      </c>
      <c r="O194" s="1499"/>
      <c r="P194" s="557"/>
      <c r="Q194" s="1570" t="s">
        <v>280</v>
      </c>
      <c r="R194" s="1570"/>
      <c r="S194" s="1568"/>
      <c r="T194" s="1568"/>
      <c r="U194" s="1569"/>
    </row>
    <row r="195" spans="1:24" ht="21" customHeight="1">
      <c r="A195" s="1592" t="s">
        <v>30</v>
      </c>
      <c r="B195" s="1593"/>
      <c r="C195" s="1593"/>
      <c r="D195" s="1608"/>
      <c r="E195" s="1603" t="s">
        <v>800</v>
      </c>
      <c r="F195" s="1604"/>
      <c r="G195" s="558"/>
      <c r="H195" s="1607" t="s">
        <v>801</v>
      </c>
      <c r="I195" s="1607"/>
      <c r="J195" s="559"/>
      <c r="K195" s="1607" t="s">
        <v>802</v>
      </c>
      <c r="L195" s="1607"/>
      <c r="M195" s="560"/>
      <c r="N195" s="1607" t="s">
        <v>803</v>
      </c>
      <c r="O195" s="1607"/>
      <c r="P195" s="561"/>
      <c r="Q195" s="1571" t="s">
        <v>280</v>
      </c>
      <c r="R195" s="1571"/>
      <c r="S195" s="1605"/>
      <c r="T195" s="1605"/>
      <c r="U195" s="1606"/>
    </row>
    <row r="196" spans="1:24" ht="21" customHeight="1">
      <c r="A196" s="1574">
        <f t="shared" ref="A196" si="70">IF(X196=0,0,W196)</f>
        <v>0</v>
      </c>
      <c r="B196" s="1575"/>
      <c r="C196" s="1575"/>
      <c r="D196" s="1575"/>
      <c r="E196" s="1576"/>
      <c r="F196" s="1576"/>
      <c r="G196" s="1576"/>
      <c r="H196" s="1544"/>
      <c r="I196" s="1544"/>
      <c r="J196" s="1576"/>
      <c r="K196" s="1576"/>
      <c r="L196" s="1576"/>
      <c r="M196" s="1548"/>
      <c r="N196" s="1549"/>
      <c r="O196" s="1550"/>
      <c r="P196" s="1555"/>
      <c r="Q196" s="1577">
        <f ca="1">IF(X196=0,0,IF(AND(P196='Data Base'!J205,G199&gt;0.5),0,G199*(IF(EXACT(M199,"نفر اول"),INDIRECT(CONCATENATE("'Data Base'!$C",J199)),INDIRECT(CONCATENATE("'Data Base'!$D",J199))))*((100-P199)/100)))</f>
        <v>0</v>
      </c>
      <c r="R196" s="1581">
        <f ca="1">IF(X196=0,0,IF(AND(P196='Data Base'!J205,G200&gt;0.5),0,G200*(IF(EXACT(M200,"نفر اول"),INDIRECT(CONCATENATE("'Data Base'!$C",J200)),INDIRECT(CONCATENATE("'Data Base'!$D",J200))))*((100-P200)/100)))</f>
        <v>0</v>
      </c>
      <c r="S196" s="1584"/>
      <c r="T196" s="1576"/>
      <c r="U196" s="1600"/>
      <c r="W196" s="220">
        <f t="shared" ref="W196" si="71">SUM(W191,X196)</f>
        <v>0</v>
      </c>
      <c r="X196" s="220">
        <f>IF(OR(E196="",P196="",J196="",M196="",D198="",C198="",B198=""),0,1)</f>
        <v>0</v>
      </c>
    </row>
    <row r="197" spans="1:24" ht="21" customHeight="1">
      <c r="A197" s="1574"/>
      <c r="B197" s="553" t="s">
        <v>230</v>
      </c>
      <c r="C197" s="553" t="s">
        <v>231</v>
      </c>
      <c r="D197" s="553" t="s">
        <v>16</v>
      </c>
      <c r="E197" s="1541"/>
      <c r="F197" s="1541"/>
      <c r="G197" s="1541"/>
      <c r="H197" s="1538"/>
      <c r="I197" s="1538"/>
      <c r="J197" s="1541"/>
      <c r="K197" s="1541"/>
      <c r="L197" s="1541"/>
      <c r="M197" s="1548"/>
      <c r="N197" s="1549"/>
      <c r="O197" s="1550"/>
      <c r="P197" s="1555"/>
      <c r="Q197" s="1558"/>
      <c r="R197" s="1598"/>
      <c r="S197" s="1599"/>
      <c r="T197" s="1541"/>
      <c r="U197" s="1601"/>
    </row>
    <row r="198" spans="1:24" ht="21" customHeight="1">
      <c r="A198" s="1574"/>
      <c r="B198" s="562"/>
      <c r="C198" s="562"/>
      <c r="D198" s="562"/>
      <c r="E198" s="1542"/>
      <c r="F198" s="1542"/>
      <c r="G198" s="1542"/>
      <c r="H198" s="1539"/>
      <c r="I198" s="1539"/>
      <c r="J198" s="1542"/>
      <c r="K198" s="1542"/>
      <c r="L198" s="1542"/>
      <c r="M198" s="1548"/>
      <c r="N198" s="1549"/>
      <c r="O198" s="1550"/>
      <c r="P198" s="1555"/>
      <c r="Q198" s="1559"/>
      <c r="R198" s="1579"/>
      <c r="S198" s="1582"/>
      <c r="T198" s="1542"/>
      <c r="U198" s="1602"/>
    </row>
    <row r="199" spans="1:24" ht="21" customHeight="1">
      <c r="A199" s="1588" t="s">
        <v>279</v>
      </c>
      <c r="B199" s="1589"/>
      <c r="C199" s="1589"/>
      <c r="D199" s="1589"/>
      <c r="E199" s="1591" t="s">
        <v>800</v>
      </c>
      <c r="F199" s="1591"/>
      <c r="G199" s="555"/>
      <c r="H199" s="1499" t="s">
        <v>801</v>
      </c>
      <c r="I199" s="1499"/>
      <c r="J199" s="518"/>
      <c r="K199" s="1499" t="s">
        <v>802</v>
      </c>
      <c r="L199" s="1499"/>
      <c r="M199" s="556"/>
      <c r="N199" s="1499" t="s">
        <v>803</v>
      </c>
      <c r="O199" s="1499"/>
      <c r="P199" s="557"/>
      <c r="Q199" s="1570" t="s">
        <v>280</v>
      </c>
      <c r="R199" s="1570"/>
      <c r="S199" s="1568"/>
      <c r="T199" s="1568"/>
      <c r="U199" s="1569"/>
    </row>
    <row r="200" spans="1:24" ht="21" customHeight="1">
      <c r="A200" s="1592" t="s">
        <v>30</v>
      </c>
      <c r="B200" s="1593"/>
      <c r="C200" s="1593"/>
      <c r="D200" s="1608"/>
      <c r="E200" s="1603" t="s">
        <v>800</v>
      </c>
      <c r="F200" s="1604"/>
      <c r="G200" s="558"/>
      <c r="H200" s="1607" t="s">
        <v>801</v>
      </c>
      <c r="I200" s="1607"/>
      <c r="J200" s="559"/>
      <c r="K200" s="1607" t="s">
        <v>802</v>
      </c>
      <c r="L200" s="1607"/>
      <c r="M200" s="560"/>
      <c r="N200" s="1607" t="s">
        <v>803</v>
      </c>
      <c r="O200" s="1607"/>
      <c r="P200" s="561"/>
      <c r="Q200" s="1571" t="s">
        <v>280</v>
      </c>
      <c r="R200" s="1571"/>
      <c r="S200" s="1605"/>
      <c r="T200" s="1605"/>
      <c r="U200" s="1606"/>
    </row>
    <row r="201" spans="1:24" ht="21" customHeight="1">
      <c r="A201" s="1574">
        <f t="shared" ref="A201" si="72">IF(X201=0,0,W201)</f>
        <v>0</v>
      </c>
      <c r="B201" s="1575"/>
      <c r="C201" s="1575"/>
      <c r="D201" s="1575"/>
      <c r="E201" s="1576"/>
      <c r="F201" s="1576"/>
      <c r="G201" s="1576"/>
      <c r="H201" s="1544"/>
      <c r="I201" s="1544"/>
      <c r="J201" s="1576"/>
      <c r="K201" s="1576"/>
      <c r="L201" s="1576"/>
      <c r="M201" s="1548"/>
      <c r="N201" s="1549"/>
      <c r="O201" s="1550"/>
      <c r="P201" s="1555"/>
      <c r="Q201" s="1577">
        <f ca="1">IF(X201=0,0,IF(AND(P201='Data Base'!J210,G204&gt;0.5),0,G204*(IF(EXACT(M204,"نفر اول"),INDIRECT(CONCATENATE("'Data Base'!$C",J204)),INDIRECT(CONCATENATE("'Data Base'!$D",J204))))*((100-P204)/100)))</f>
        <v>0</v>
      </c>
      <c r="R201" s="1581">
        <f ca="1">IF(X201=0,0,IF(AND(P201='Data Base'!J210,G205&gt;0.5),0,G205*(IF(EXACT(M205,"نفر اول"),INDIRECT(CONCATENATE("'Data Base'!$C",J205)),INDIRECT(CONCATENATE("'Data Base'!$D",J205))))*((100-P205)/100)))</f>
        <v>0</v>
      </c>
      <c r="S201" s="1584"/>
      <c r="T201" s="1576"/>
      <c r="U201" s="1600"/>
      <c r="W201" s="220">
        <f t="shared" ref="W201" si="73">SUM(W196,X201)</f>
        <v>0</v>
      </c>
      <c r="X201" s="220">
        <f>IF(OR(E201="",P201="",J201="",M201="",D203="",C203="",B203=""),0,1)</f>
        <v>0</v>
      </c>
    </row>
    <row r="202" spans="1:24" ht="21" customHeight="1">
      <c r="A202" s="1574"/>
      <c r="B202" s="553" t="s">
        <v>230</v>
      </c>
      <c r="C202" s="553" t="s">
        <v>231</v>
      </c>
      <c r="D202" s="553" t="s">
        <v>16</v>
      </c>
      <c r="E202" s="1541"/>
      <c r="F202" s="1541"/>
      <c r="G202" s="1541"/>
      <c r="H202" s="1538"/>
      <c r="I202" s="1538"/>
      <c r="J202" s="1541"/>
      <c r="K202" s="1541"/>
      <c r="L202" s="1541"/>
      <c r="M202" s="1548"/>
      <c r="N202" s="1549"/>
      <c r="O202" s="1550"/>
      <c r="P202" s="1555"/>
      <c r="Q202" s="1558"/>
      <c r="R202" s="1598"/>
      <c r="S202" s="1599"/>
      <c r="T202" s="1541"/>
      <c r="U202" s="1601"/>
    </row>
    <row r="203" spans="1:24" ht="21" customHeight="1">
      <c r="A203" s="1574"/>
      <c r="B203" s="562"/>
      <c r="C203" s="562"/>
      <c r="D203" s="562"/>
      <c r="E203" s="1542"/>
      <c r="F203" s="1542"/>
      <c r="G203" s="1542"/>
      <c r="H203" s="1539"/>
      <c r="I203" s="1539"/>
      <c r="J203" s="1542"/>
      <c r="K203" s="1542"/>
      <c r="L203" s="1542"/>
      <c r="M203" s="1548"/>
      <c r="N203" s="1549"/>
      <c r="O203" s="1550"/>
      <c r="P203" s="1555"/>
      <c r="Q203" s="1559"/>
      <c r="R203" s="1579"/>
      <c r="S203" s="1582"/>
      <c r="T203" s="1542"/>
      <c r="U203" s="1602"/>
    </row>
    <row r="204" spans="1:24" ht="21" customHeight="1">
      <c r="A204" s="1588" t="s">
        <v>279</v>
      </c>
      <c r="B204" s="1589"/>
      <c r="C204" s="1589"/>
      <c r="D204" s="1589"/>
      <c r="E204" s="1591" t="s">
        <v>800</v>
      </c>
      <c r="F204" s="1591"/>
      <c r="G204" s="555"/>
      <c r="H204" s="1499" t="s">
        <v>801</v>
      </c>
      <c r="I204" s="1499"/>
      <c r="J204" s="518"/>
      <c r="K204" s="1499" t="s">
        <v>802</v>
      </c>
      <c r="L204" s="1499"/>
      <c r="M204" s="556"/>
      <c r="N204" s="1499" t="s">
        <v>803</v>
      </c>
      <c r="O204" s="1499"/>
      <c r="P204" s="557"/>
      <c r="Q204" s="1570" t="s">
        <v>280</v>
      </c>
      <c r="R204" s="1570"/>
      <c r="S204" s="1568"/>
      <c r="T204" s="1568"/>
      <c r="U204" s="1569"/>
    </row>
    <row r="205" spans="1:24" ht="21" customHeight="1">
      <c r="A205" s="1592" t="s">
        <v>30</v>
      </c>
      <c r="B205" s="1593"/>
      <c r="C205" s="1593"/>
      <c r="D205" s="1608"/>
      <c r="E205" s="1603" t="s">
        <v>800</v>
      </c>
      <c r="F205" s="1604"/>
      <c r="G205" s="558"/>
      <c r="H205" s="1607" t="s">
        <v>801</v>
      </c>
      <c r="I205" s="1607"/>
      <c r="J205" s="559"/>
      <c r="K205" s="1607" t="s">
        <v>802</v>
      </c>
      <c r="L205" s="1607"/>
      <c r="M205" s="560"/>
      <c r="N205" s="1607" t="s">
        <v>803</v>
      </c>
      <c r="O205" s="1607"/>
      <c r="P205" s="561"/>
      <c r="Q205" s="1571" t="s">
        <v>280</v>
      </c>
      <c r="R205" s="1571"/>
      <c r="S205" s="1605"/>
      <c r="T205" s="1605"/>
      <c r="U205" s="1606"/>
    </row>
    <row r="206" spans="1:24" ht="21" customHeight="1">
      <c r="A206" s="1574">
        <f t="shared" ref="A206" si="74">IF(X206=0,0,W206)</f>
        <v>0</v>
      </c>
      <c r="B206" s="1575"/>
      <c r="C206" s="1575"/>
      <c r="D206" s="1575"/>
      <c r="E206" s="1576"/>
      <c r="F206" s="1576"/>
      <c r="G206" s="1576"/>
      <c r="H206" s="1544"/>
      <c r="I206" s="1544"/>
      <c r="J206" s="1576"/>
      <c r="K206" s="1576"/>
      <c r="L206" s="1576"/>
      <c r="M206" s="1548"/>
      <c r="N206" s="1549"/>
      <c r="O206" s="1550"/>
      <c r="P206" s="1555"/>
      <c r="Q206" s="1577">
        <f ca="1">IF(X206=0,0,IF(AND(P206='Data Base'!J215,G209&gt;0.5),0,G209*(IF(EXACT(M209,"نفر اول"),INDIRECT(CONCATENATE("'Data Base'!$C",J209)),INDIRECT(CONCATENATE("'Data Base'!$D",J209))))*((100-P209)/100)))</f>
        <v>0</v>
      </c>
      <c r="R206" s="1581">
        <f ca="1">IF(X206=0,0,IF(AND(P206='Data Base'!J215,G210&gt;0.5),0,G210*(IF(EXACT(M210,"نفر اول"),INDIRECT(CONCATENATE("'Data Base'!$C",J210)),INDIRECT(CONCATENATE("'Data Base'!$D",J210))))*((100-P210)/100)))</f>
        <v>0</v>
      </c>
      <c r="S206" s="1584"/>
      <c r="T206" s="1576"/>
      <c r="U206" s="1600"/>
      <c r="W206" s="220">
        <f t="shared" ref="W206" si="75">SUM(W201,X206)</f>
        <v>0</v>
      </c>
      <c r="X206" s="220">
        <f>IF(OR(E206="",P206="",J206="",M206="",D208="",C208="",B208=""),0,1)</f>
        <v>0</v>
      </c>
    </row>
    <row r="207" spans="1:24" ht="21" customHeight="1">
      <c r="A207" s="1574"/>
      <c r="B207" s="553" t="s">
        <v>230</v>
      </c>
      <c r="C207" s="553" t="s">
        <v>231</v>
      </c>
      <c r="D207" s="553" t="s">
        <v>16</v>
      </c>
      <c r="E207" s="1541"/>
      <c r="F207" s="1541"/>
      <c r="G207" s="1541"/>
      <c r="H207" s="1538"/>
      <c r="I207" s="1538"/>
      <c r="J207" s="1541"/>
      <c r="K207" s="1541"/>
      <c r="L207" s="1541"/>
      <c r="M207" s="1548"/>
      <c r="N207" s="1549"/>
      <c r="O207" s="1550"/>
      <c r="P207" s="1555"/>
      <c r="Q207" s="1558"/>
      <c r="R207" s="1598"/>
      <c r="S207" s="1599"/>
      <c r="T207" s="1541"/>
      <c r="U207" s="1601"/>
    </row>
    <row r="208" spans="1:24" ht="21" customHeight="1">
      <c r="A208" s="1574"/>
      <c r="B208" s="562"/>
      <c r="C208" s="562"/>
      <c r="D208" s="562"/>
      <c r="E208" s="1542"/>
      <c r="F208" s="1542"/>
      <c r="G208" s="1542"/>
      <c r="H208" s="1539"/>
      <c r="I208" s="1539"/>
      <c r="J208" s="1542"/>
      <c r="K208" s="1542"/>
      <c r="L208" s="1542"/>
      <c r="M208" s="1548"/>
      <c r="N208" s="1549"/>
      <c r="O208" s="1550"/>
      <c r="P208" s="1555"/>
      <c r="Q208" s="1559"/>
      <c r="R208" s="1579"/>
      <c r="S208" s="1582"/>
      <c r="T208" s="1542"/>
      <c r="U208" s="1602"/>
    </row>
    <row r="209" spans="1:24" ht="21" customHeight="1">
      <c r="A209" s="1588" t="s">
        <v>279</v>
      </c>
      <c r="B209" s="1589"/>
      <c r="C209" s="1589"/>
      <c r="D209" s="1589"/>
      <c r="E209" s="1591" t="s">
        <v>800</v>
      </c>
      <c r="F209" s="1591"/>
      <c r="G209" s="555"/>
      <c r="H209" s="1499" t="s">
        <v>801</v>
      </c>
      <c r="I209" s="1499"/>
      <c r="J209" s="518"/>
      <c r="K209" s="1499" t="s">
        <v>802</v>
      </c>
      <c r="L209" s="1499"/>
      <c r="M209" s="556"/>
      <c r="N209" s="1499" t="s">
        <v>803</v>
      </c>
      <c r="O209" s="1499"/>
      <c r="P209" s="557"/>
      <c r="Q209" s="1570" t="s">
        <v>280</v>
      </c>
      <c r="R209" s="1570"/>
      <c r="S209" s="1568"/>
      <c r="T209" s="1568"/>
      <c r="U209" s="1569"/>
    </row>
    <row r="210" spans="1:24" ht="21" customHeight="1">
      <c r="A210" s="1592" t="s">
        <v>30</v>
      </c>
      <c r="B210" s="1593"/>
      <c r="C210" s="1593"/>
      <c r="D210" s="1608"/>
      <c r="E210" s="1603" t="s">
        <v>800</v>
      </c>
      <c r="F210" s="1604"/>
      <c r="G210" s="558"/>
      <c r="H210" s="1607" t="s">
        <v>801</v>
      </c>
      <c r="I210" s="1607"/>
      <c r="J210" s="559"/>
      <c r="K210" s="1607" t="s">
        <v>802</v>
      </c>
      <c r="L210" s="1607"/>
      <c r="M210" s="560"/>
      <c r="N210" s="1607" t="s">
        <v>803</v>
      </c>
      <c r="O210" s="1607"/>
      <c r="P210" s="561"/>
      <c r="Q210" s="1571" t="s">
        <v>280</v>
      </c>
      <c r="R210" s="1571"/>
      <c r="S210" s="1605"/>
      <c r="T210" s="1605"/>
      <c r="U210" s="1606"/>
    </row>
    <row r="211" spans="1:24" ht="21" customHeight="1">
      <c r="A211" s="1574">
        <f t="shared" ref="A211" si="76">IF(X211=0,0,W211)</f>
        <v>0</v>
      </c>
      <c r="B211" s="1575"/>
      <c r="C211" s="1575"/>
      <c r="D211" s="1575"/>
      <c r="E211" s="1576"/>
      <c r="F211" s="1576"/>
      <c r="G211" s="1576"/>
      <c r="H211" s="1544"/>
      <c r="I211" s="1544"/>
      <c r="J211" s="1576"/>
      <c r="K211" s="1576"/>
      <c r="L211" s="1576"/>
      <c r="M211" s="1548"/>
      <c r="N211" s="1549"/>
      <c r="O211" s="1550"/>
      <c r="P211" s="1555"/>
      <c r="Q211" s="1577">
        <f ca="1">IF(X211=0,0,IF(AND(P211='Data Base'!J220,G214&gt;0.5),0,G214*(IF(EXACT(M214,"نفر اول"),INDIRECT(CONCATENATE("'Data Base'!$C",J214)),INDIRECT(CONCATENATE("'Data Base'!$D",J214))))*((100-P214)/100)))</f>
        <v>0</v>
      </c>
      <c r="R211" s="1581">
        <f ca="1">IF(X211=0,0,IF(AND(P211='Data Base'!J220,G215&gt;0.5),0,G215*(IF(EXACT(M215,"نفر اول"),INDIRECT(CONCATENATE("'Data Base'!$C",J215)),INDIRECT(CONCATENATE("'Data Base'!$D",J215))))*((100-P215)/100)))</f>
        <v>0</v>
      </c>
      <c r="S211" s="1584"/>
      <c r="T211" s="1576"/>
      <c r="U211" s="1600"/>
      <c r="W211" s="220">
        <f t="shared" ref="W211" si="77">SUM(W206,X211)</f>
        <v>0</v>
      </c>
      <c r="X211" s="220">
        <f>IF(OR(E211="",P211="",J211="",M211="",D213="",C213="",B213=""),0,1)</f>
        <v>0</v>
      </c>
    </row>
    <row r="212" spans="1:24" ht="21" customHeight="1">
      <c r="A212" s="1574"/>
      <c r="B212" s="553" t="s">
        <v>230</v>
      </c>
      <c r="C212" s="553" t="s">
        <v>231</v>
      </c>
      <c r="D212" s="553" t="s">
        <v>16</v>
      </c>
      <c r="E212" s="1541"/>
      <c r="F212" s="1541"/>
      <c r="G212" s="1541"/>
      <c r="H212" s="1538"/>
      <c r="I212" s="1538"/>
      <c r="J212" s="1541"/>
      <c r="K212" s="1541"/>
      <c r="L212" s="1541"/>
      <c r="M212" s="1548"/>
      <c r="N212" s="1549"/>
      <c r="O212" s="1550"/>
      <c r="P212" s="1555"/>
      <c r="Q212" s="1558"/>
      <c r="R212" s="1598"/>
      <c r="S212" s="1599"/>
      <c r="T212" s="1541"/>
      <c r="U212" s="1601"/>
    </row>
    <row r="213" spans="1:24" ht="21" customHeight="1">
      <c r="A213" s="1574"/>
      <c r="B213" s="562"/>
      <c r="C213" s="562"/>
      <c r="D213" s="562"/>
      <c r="E213" s="1542"/>
      <c r="F213" s="1542"/>
      <c r="G213" s="1542"/>
      <c r="H213" s="1539"/>
      <c r="I213" s="1539"/>
      <c r="J213" s="1542"/>
      <c r="K213" s="1542"/>
      <c r="L213" s="1542"/>
      <c r="M213" s="1548"/>
      <c r="N213" s="1549"/>
      <c r="O213" s="1550"/>
      <c r="P213" s="1555"/>
      <c r="Q213" s="1559"/>
      <c r="R213" s="1579"/>
      <c r="S213" s="1582"/>
      <c r="T213" s="1542"/>
      <c r="U213" s="1602"/>
    </row>
    <row r="214" spans="1:24" ht="21" customHeight="1">
      <c r="A214" s="1588" t="s">
        <v>279</v>
      </c>
      <c r="B214" s="1589"/>
      <c r="C214" s="1589"/>
      <c r="D214" s="1589"/>
      <c r="E214" s="1591" t="s">
        <v>800</v>
      </c>
      <c r="F214" s="1591"/>
      <c r="G214" s="555"/>
      <c r="H214" s="1499" t="s">
        <v>801</v>
      </c>
      <c r="I214" s="1499"/>
      <c r="J214" s="518"/>
      <c r="K214" s="1499" t="s">
        <v>802</v>
      </c>
      <c r="L214" s="1499"/>
      <c r="M214" s="556"/>
      <c r="N214" s="1499" t="s">
        <v>803</v>
      </c>
      <c r="O214" s="1499"/>
      <c r="P214" s="557"/>
      <c r="Q214" s="1570" t="s">
        <v>280</v>
      </c>
      <c r="R214" s="1570"/>
      <c r="S214" s="1568"/>
      <c r="T214" s="1568"/>
      <c r="U214" s="1569"/>
    </row>
    <row r="215" spans="1:24" ht="21" customHeight="1">
      <c r="A215" s="1592" t="s">
        <v>30</v>
      </c>
      <c r="B215" s="1593"/>
      <c r="C215" s="1593"/>
      <c r="D215" s="1608"/>
      <c r="E215" s="1603" t="s">
        <v>800</v>
      </c>
      <c r="F215" s="1604"/>
      <c r="G215" s="558"/>
      <c r="H215" s="1607" t="s">
        <v>801</v>
      </c>
      <c r="I215" s="1607"/>
      <c r="J215" s="559"/>
      <c r="K215" s="1607" t="s">
        <v>802</v>
      </c>
      <c r="L215" s="1607"/>
      <c r="M215" s="560"/>
      <c r="N215" s="1607" t="s">
        <v>803</v>
      </c>
      <c r="O215" s="1607"/>
      <c r="P215" s="561"/>
      <c r="Q215" s="1571" t="s">
        <v>280</v>
      </c>
      <c r="R215" s="1571"/>
      <c r="S215" s="1605"/>
      <c r="T215" s="1605"/>
      <c r="U215" s="1606"/>
    </row>
    <row r="216" spans="1:24" ht="21" customHeight="1">
      <c r="A216" s="1574">
        <f t="shared" ref="A216" si="78">IF(X216=0,0,W216)</f>
        <v>0</v>
      </c>
      <c r="B216" s="1575"/>
      <c r="C216" s="1575"/>
      <c r="D216" s="1575"/>
      <c r="E216" s="1576"/>
      <c r="F216" s="1576"/>
      <c r="G216" s="1576"/>
      <c r="H216" s="1544"/>
      <c r="I216" s="1544"/>
      <c r="J216" s="1576"/>
      <c r="K216" s="1576"/>
      <c r="L216" s="1576"/>
      <c r="M216" s="1548"/>
      <c r="N216" s="1549"/>
      <c r="O216" s="1550"/>
      <c r="P216" s="1555"/>
      <c r="Q216" s="1577">
        <f ca="1">IF(X216=0,0,IF(AND(P216='Data Base'!J225,G219&gt;0.5),0,G219*(IF(EXACT(M219,"نفر اول"),INDIRECT(CONCATENATE("'Data Base'!$C",J219)),INDIRECT(CONCATENATE("'Data Base'!$D",J219))))*((100-P219)/100)))</f>
        <v>0</v>
      </c>
      <c r="R216" s="1581">
        <f ca="1">IF(X216=0,0,IF(AND(P216='Data Base'!J225,G220&gt;0.5),0,G220*(IF(EXACT(M220,"نفر اول"),INDIRECT(CONCATENATE("'Data Base'!$C",J220)),INDIRECT(CONCATENATE("'Data Base'!$D",J220))))*((100-P220)/100)))</f>
        <v>0</v>
      </c>
      <c r="S216" s="1584"/>
      <c r="T216" s="1576"/>
      <c r="U216" s="1600"/>
      <c r="W216" s="220">
        <f t="shared" ref="W216" si="79">SUM(W211,X216)</f>
        <v>0</v>
      </c>
      <c r="X216" s="220">
        <f>IF(OR(E216="",P216="",J216="",M216="",D218="",C218="",B218=""),0,1)</f>
        <v>0</v>
      </c>
    </row>
    <row r="217" spans="1:24" ht="21" customHeight="1">
      <c r="A217" s="1574"/>
      <c r="B217" s="553" t="s">
        <v>230</v>
      </c>
      <c r="C217" s="553" t="s">
        <v>231</v>
      </c>
      <c r="D217" s="553" t="s">
        <v>16</v>
      </c>
      <c r="E217" s="1541"/>
      <c r="F217" s="1541"/>
      <c r="G217" s="1541"/>
      <c r="H217" s="1538"/>
      <c r="I217" s="1538"/>
      <c r="J217" s="1541"/>
      <c r="K217" s="1541"/>
      <c r="L217" s="1541"/>
      <c r="M217" s="1548"/>
      <c r="N217" s="1549"/>
      <c r="O217" s="1550"/>
      <c r="P217" s="1555"/>
      <c r="Q217" s="1558"/>
      <c r="R217" s="1598"/>
      <c r="S217" s="1599"/>
      <c r="T217" s="1541"/>
      <c r="U217" s="1601"/>
    </row>
    <row r="218" spans="1:24" ht="21" customHeight="1">
      <c r="A218" s="1574"/>
      <c r="B218" s="562"/>
      <c r="C218" s="562"/>
      <c r="D218" s="562"/>
      <c r="E218" s="1542"/>
      <c r="F218" s="1542"/>
      <c r="G218" s="1542"/>
      <c r="H218" s="1539"/>
      <c r="I218" s="1539"/>
      <c r="J218" s="1542"/>
      <c r="K218" s="1542"/>
      <c r="L218" s="1542"/>
      <c r="M218" s="1548"/>
      <c r="N218" s="1549"/>
      <c r="O218" s="1550"/>
      <c r="P218" s="1555"/>
      <c r="Q218" s="1559"/>
      <c r="R218" s="1579"/>
      <c r="S218" s="1582"/>
      <c r="T218" s="1542"/>
      <c r="U218" s="1602"/>
    </row>
    <row r="219" spans="1:24" ht="21" customHeight="1">
      <c r="A219" s="1588" t="s">
        <v>279</v>
      </c>
      <c r="B219" s="1589"/>
      <c r="C219" s="1589"/>
      <c r="D219" s="1589"/>
      <c r="E219" s="1591" t="s">
        <v>800</v>
      </c>
      <c r="F219" s="1591"/>
      <c r="G219" s="555"/>
      <c r="H219" s="1499" t="s">
        <v>801</v>
      </c>
      <c r="I219" s="1499"/>
      <c r="J219" s="518"/>
      <c r="K219" s="1499" t="s">
        <v>802</v>
      </c>
      <c r="L219" s="1499"/>
      <c r="M219" s="556"/>
      <c r="N219" s="1499" t="s">
        <v>803</v>
      </c>
      <c r="O219" s="1499"/>
      <c r="P219" s="557"/>
      <c r="Q219" s="1570" t="s">
        <v>280</v>
      </c>
      <c r="R219" s="1570"/>
      <c r="S219" s="1568"/>
      <c r="T219" s="1568"/>
      <c r="U219" s="1569"/>
    </row>
    <row r="220" spans="1:24" ht="21" customHeight="1">
      <c r="A220" s="1592" t="s">
        <v>30</v>
      </c>
      <c r="B220" s="1593"/>
      <c r="C220" s="1593"/>
      <c r="D220" s="1608"/>
      <c r="E220" s="1603" t="s">
        <v>800</v>
      </c>
      <c r="F220" s="1604"/>
      <c r="G220" s="558"/>
      <c r="H220" s="1607" t="s">
        <v>801</v>
      </c>
      <c r="I220" s="1607"/>
      <c r="J220" s="559"/>
      <c r="K220" s="1607" t="s">
        <v>802</v>
      </c>
      <c r="L220" s="1607"/>
      <c r="M220" s="560"/>
      <c r="N220" s="1607" t="s">
        <v>803</v>
      </c>
      <c r="O220" s="1607"/>
      <c r="P220" s="561"/>
      <c r="Q220" s="1571" t="s">
        <v>280</v>
      </c>
      <c r="R220" s="1571"/>
      <c r="S220" s="1605"/>
      <c r="T220" s="1605"/>
      <c r="U220" s="1606"/>
    </row>
    <row r="221" spans="1:24" ht="21" customHeight="1">
      <c r="A221" s="1574">
        <f t="shared" ref="A221" si="80">IF(X221=0,0,W221)</f>
        <v>0</v>
      </c>
      <c r="B221" s="1575"/>
      <c r="C221" s="1575"/>
      <c r="D221" s="1575"/>
      <c r="E221" s="1576"/>
      <c r="F221" s="1576"/>
      <c r="G221" s="1576"/>
      <c r="H221" s="1544"/>
      <c r="I221" s="1544"/>
      <c r="J221" s="1576"/>
      <c r="K221" s="1576"/>
      <c r="L221" s="1576"/>
      <c r="M221" s="1548"/>
      <c r="N221" s="1549"/>
      <c r="O221" s="1550"/>
      <c r="P221" s="1555"/>
      <c r="Q221" s="1577">
        <f ca="1">IF(X221=0,0,IF(AND(P221='Data Base'!J230,G224&gt;0.5),0,G224*(IF(EXACT(M224,"نفر اول"),INDIRECT(CONCATENATE("'Data Base'!$C",J224)),INDIRECT(CONCATENATE("'Data Base'!$D",J224))))*((100-P224)/100)))</f>
        <v>0</v>
      </c>
      <c r="R221" s="1581">
        <f ca="1">IF(X221=0,0,IF(AND(P221='Data Base'!J230,G225&gt;0.5),0,G225*(IF(EXACT(M225,"نفر اول"),INDIRECT(CONCATENATE("'Data Base'!$C",J225)),INDIRECT(CONCATENATE("'Data Base'!$D",J225))))*((100-P225)/100)))</f>
        <v>0</v>
      </c>
      <c r="S221" s="1584"/>
      <c r="T221" s="1576"/>
      <c r="U221" s="1600"/>
      <c r="W221" s="220">
        <f t="shared" ref="W221" si="81">SUM(W216,X221)</f>
        <v>0</v>
      </c>
      <c r="X221" s="220">
        <f>IF(OR(E221="",P221="",J221="",M221="",D223="",C223="",B223=""),0,1)</f>
        <v>0</v>
      </c>
    </row>
    <row r="222" spans="1:24" ht="21" customHeight="1">
      <c r="A222" s="1574"/>
      <c r="B222" s="553" t="s">
        <v>230</v>
      </c>
      <c r="C222" s="553" t="s">
        <v>231</v>
      </c>
      <c r="D222" s="553" t="s">
        <v>16</v>
      </c>
      <c r="E222" s="1541"/>
      <c r="F222" s="1541"/>
      <c r="G222" s="1541"/>
      <c r="H222" s="1538"/>
      <c r="I222" s="1538"/>
      <c r="J222" s="1541"/>
      <c r="K222" s="1541"/>
      <c r="L222" s="1541"/>
      <c r="M222" s="1548"/>
      <c r="N222" s="1549"/>
      <c r="O222" s="1550"/>
      <c r="P222" s="1555"/>
      <c r="Q222" s="1558"/>
      <c r="R222" s="1598"/>
      <c r="S222" s="1599"/>
      <c r="T222" s="1541"/>
      <c r="U222" s="1601"/>
    </row>
    <row r="223" spans="1:24" ht="21" customHeight="1">
      <c r="A223" s="1574"/>
      <c r="B223" s="562"/>
      <c r="C223" s="562"/>
      <c r="D223" s="562"/>
      <c r="E223" s="1542"/>
      <c r="F223" s="1542"/>
      <c r="G223" s="1542"/>
      <c r="H223" s="1539"/>
      <c r="I223" s="1539"/>
      <c r="J223" s="1542"/>
      <c r="K223" s="1542"/>
      <c r="L223" s="1542"/>
      <c r="M223" s="1548"/>
      <c r="N223" s="1549"/>
      <c r="O223" s="1550"/>
      <c r="P223" s="1555"/>
      <c r="Q223" s="1559"/>
      <c r="R223" s="1579"/>
      <c r="S223" s="1582"/>
      <c r="T223" s="1542"/>
      <c r="U223" s="1602"/>
    </row>
    <row r="224" spans="1:24" ht="21" customHeight="1">
      <c r="A224" s="1588" t="s">
        <v>279</v>
      </c>
      <c r="B224" s="1589"/>
      <c r="C224" s="1589"/>
      <c r="D224" s="1589"/>
      <c r="E224" s="1591" t="s">
        <v>800</v>
      </c>
      <c r="F224" s="1591"/>
      <c r="G224" s="555"/>
      <c r="H224" s="1499" t="s">
        <v>801</v>
      </c>
      <c r="I224" s="1499"/>
      <c r="J224" s="518"/>
      <c r="K224" s="1499" t="s">
        <v>802</v>
      </c>
      <c r="L224" s="1499"/>
      <c r="M224" s="556"/>
      <c r="N224" s="1499" t="s">
        <v>803</v>
      </c>
      <c r="O224" s="1499"/>
      <c r="P224" s="557"/>
      <c r="Q224" s="1570" t="s">
        <v>280</v>
      </c>
      <c r="R224" s="1570"/>
      <c r="S224" s="1568"/>
      <c r="T224" s="1568"/>
      <c r="U224" s="1569"/>
    </row>
    <row r="225" spans="1:24" ht="21" customHeight="1">
      <c r="A225" s="1592" t="s">
        <v>30</v>
      </c>
      <c r="B225" s="1593"/>
      <c r="C225" s="1593"/>
      <c r="D225" s="1608"/>
      <c r="E225" s="1603" t="s">
        <v>800</v>
      </c>
      <c r="F225" s="1604"/>
      <c r="G225" s="558"/>
      <c r="H225" s="1607" t="s">
        <v>801</v>
      </c>
      <c r="I225" s="1607"/>
      <c r="J225" s="559"/>
      <c r="K225" s="1607" t="s">
        <v>802</v>
      </c>
      <c r="L225" s="1607"/>
      <c r="M225" s="560"/>
      <c r="N225" s="1607" t="s">
        <v>803</v>
      </c>
      <c r="O225" s="1607"/>
      <c r="P225" s="561"/>
      <c r="Q225" s="1571" t="s">
        <v>280</v>
      </c>
      <c r="R225" s="1571"/>
      <c r="S225" s="1605"/>
      <c r="T225" s="1605"/>
      <c r="U225" s="1606"/>
    </row>
    <row r="226" spans="1:24" ht="21" customHeight="1">
      <c r="A226" s="1574">
        <f t="shared" ref="A226" si="82">IF(X226=0,0,W226)</f>
        <v>0</v>
      </c>
      <c r="B226" s="1575"/>
      <c r="C226" s="1575"/>
      <c r="D226" s="1575"/>
      <c r="E226" s="1576"/>
      <c r="F226" s="1576"/>
      <c r="G226" s="1576"/>
      <c r="H226" s="1544"/>
      <c r="I226" s="1544"/>
      <c r="J226" s="1576"/>
      <c r="K226" s="1576"/>
      <c r="L226" s="1576"/>
      <c r="M226" s="1548"/>
      <c r="N226" s="1549"/>
      <c r="O226" s="1550"/>
      <c r="P226" s="1555"/>
      <c r="Q226" s="1577">
        <f ca="1">IF(X226=0,0,IF(AND(P226='Data Base'!J235,G229&gt;0.5),0,G229*(IF(EXACT(M229,"نفر اول"),INDIRECT(CONCATENATE("'Data Base'!$C",J229)),INDIRECT(CONCATENATE("'Data Base'!$D",J229))))*((100-P229)/100)))</f>
        <v>0</v>
      </c>
      <c r="R226" s="1581">
        <f ca="1">IF(X226=0,0,IF(AND(P226='Data Base'!J235,G230&gt;0.5),0,G230*(IF(EXACT(M230,"نفر اول"),INDIRECT(CONCATENATE("'Data Base'!$C",J230)),INDIRECT(CONCATENATE("'Data Base'!$D",J230))))*((100-P230)/100)))</f>
        <v>0</v>
      </c>
      <c r="S226" s="1584"/>
      <c r="T226" s="1576"/>
      <c r="U226" s="1600"/>
      <c r="W226" s="220">
        <f t="shared" ref="W226" si="83">SUM(W221,X226)</f>
        <v>0</v>
      </c>
      <c r="X226" s="220">
        <f>IF(OR(E226="",P226="",J226="",M226="",D228="",C228="",B228=""),0,1)</f>
        <v>0</v>
      </c>
    </row>
    <row r="227" spans="1:24" ht="21" customHeight="1">
      <c r="A227" s="1574"/>
      <c r="B227" s="553" t="s">
        <v>230</v>
      </c>
      <c r="C227" s="553" t="s">
        <v>231</v>
      </c>
      <c r="D227" s="553" t="s">
        <v>16</v>
      </c>
      <c r="E227" s="1541"/>
      <c r="F227" s="1541"/>
      <c r="G227" s="1541"/>
      <c r="H227" s="1538"/>
      <c r="I227" s="1538"/>
      <c r="J227" s="1541"/>
      <c r="K227" s="1541"/>
      <c r="L227" s="1541"/>
      <c r="M227" s="1548"/>
      <c r="N227" s="1549"/>
      <c r="O227" s="1550"/>
      <c r="P227" s="1555"/>
      <c r="Q227" s="1558"/>
      <c r="R227" s="1598"/>
      <c r="S227" s="1599"/>
      <c r="T227" s="1541"/>
      <c r="U227" s="1601"/>
    </row>
    <row r="228" spans="1:24" ht="21" customHeight="1">
      <c r="A228" s="1574"/>
      <c r="B228" s="562"/>
      <c r="C228" s="562"/>
      <c r="D228" s="562"/>
      <c r="E228" s="1542"/>
      <c r="F228" s="1542"/>
      <c r="G228" s="1542"/>
      <c r="H228" s="1539"/>
      <c r="I228" s="1539"/>
      <c r="J228" s="1542"/>
      <c r="K228" s="1542"/>
      <c r="L228" s="1542"/>
      <c r="M228" s="1548"/>
      <c r="N228" s="1549"/>
      <c r="O228" s="1550"/>
      <c r="P228" s="1555"/>
      <c r="Q228" s="1559"/>
      <c r="R228" s="1579"/>
      <c r="S228" s="1582"/>
      <c r="T228" s="1542"/>
      <c r="U228" s="1602"/>
    </row>
    <row r="229" spans="1:24" ht="21" customHeight="1">
      <c r="A229" s="1588" t="s">
        <v>279</v>
      </c>
      <c r="B229" s="1589"/>
      <c r="C229" s="1589"/>
      <c r="D229" s="1589"/>
      <c r="E229" s="1591" t="s">
        <v>800</v>
      </c>
      <c r="F229" s="1591"/>
      <c r="G229" s="555"/>
      <c r="H229" s="1499" t="s">
        <v>801</v>
      </c>
      <c r="I229" s="1499"/>
      <c r="J229" s="518"/>
      <c r="K229" s="1499" t="s">
        <v>802</v>
      </c>
      <c r="L229" s="1499"/>
      <c r="M229" s="556"/>
      <c r="N229" s="1499" t="s">
        <v>803</v>
      </c>
      <c r="O229" s="1499"/>
      <c r="P229" s="557"/>
      <c r="Q229" s="1570" t="s">
        <v>280</v>
      </c>
      <c r="R229" s="1570"/>
      <c r="S229" s="1568"/>
      <c r="T229" s="1568"/>
      <c r="U229" s="1569"/>
    </row>
    <row r="230" spans="1:24" ht="21" customHeight="1">
      <c r="A230" s="1592" t="s">
        <v>30</v>
      </c>
      <c r="B230" s="1593"/>
      <c r="C230" s="1593"/>
      <c r="D230" s="1608"/>
      <c r="E230" s="1603" t="s">
        <v>800</v>
      </c>
      <c r="F230" s="1604"/>
      <c r="G230" s="558"/>
      <c r="H230" s="1607" t="s">
        <v>801</v>
      </c>
      <c r="I230" s="1607"/>
      <c r="J230" s="559"/>
      <c r="K230" s="1607" t="s">
        <v>802</v>
      </c>
      <c r="L230" s="1607"/>
      <c r="M230" s="560"/>
      <c r="N230" s="1607" t="s">
        <v>803</v>
      </c>
      <c r="O230" s="1607"/>
      <c r="P230" s="561"/>
      <c r="Q230" s="1571" t="s">
        <v>280</v>
      </c>
      <c r="R230" s="1571"/>
      <c r="S230" s="1605"/>
      <c r="T230" s="1605"/>
      <c r="U230" s="1606"/>
    </row>
    <row r="231" spans="1:24" ht="21" customHeight="1">
      <c r="A231" s="1574">
        <f t="shared" ref="A231" si="84">IF(X231=0,0,W231)</f>
        <v>0</v>
      </c>
      <c r="B231" s="1575"/>
      <c r="C231" s="1575"/>
      <c r="D231" s="1575"/>
      <c r="E231" s="1576"/>
      <c r="F231" s="1576"/>
      <c r="G231" s="1576"/>
      <c r="H231" s="1544"/>
      <c r="I231" s="1544"/>
      <c r="J231" s="1576"/>
      <c r="K231" s="1576"/>
      <c r="L231" s="1576"/>
      <c r="M231" s="1548"/>
      <c r="N231" s="1549"/>
      <c r="O231" s="1550"/>
      <c r="P231" s="1555"/>
      <c r="Q231" s="1577">
        <f ca="1">IF(X231=0,0,IF(AND(P231='Data Base'!J240,G234&gt;0.5),0,G234*(IF(EXACT(M234,"نفر اول"),INDIRECT(CONCATENATE("'Data Base'!$C",J234)),INDIRECT(CONCATENATE("'Data Base'!$D",J234))))*((100-P234)/100)))</f>
        <v>0</v>
      </c>
      <c r="R231" s="1581">
        <f ca="1">IF(X231=0,0,IF(AND(P231='Data Base'!J240,G235&gt;0.5),0,G235*(IF(EXACT(M235,"نفر اول"),INDIRECT(CONCATENATE("'Data Base'!$C",J235)),INDIRECT(CONCATENATE("'Data Base'!$D",J235))))*((100-P235)/100)))</f>
        <v>0</v>
      </c>
      <c r="S231" s="1584"/>
      <c r="T231" s="1576"/>
      <c r="U231" s="1600"/>
      <c r="W231" s="220">
        <f t="shared" ref="W231" si="85">SUM(W226,X231)</f>
        <v>0</v>
      </c>
      <c r="X231" s="220">
        <f>IF(OR(E231="",P231="",J231="",M231="",D233="",C233="",B233=""),0,1)</f>
        <v>0</v>
      </c>
    </row>
    <row r="232" spans="1:24" ht="21" customHeight="1">
      <c r="A232" s="1574"/>
      <c r="B232" s="553" t="s">
        <v>230</v>
      </c>
      <c r="C232" s="553" t="s">
        <v>231</v>
      </c>
      <c r="D232" s="553" t="s">
        <v>16</v>
      </c>
      <c r="E232" s="1541"/>
      <c r="F232" s="1541"/>
      <c r="G232" s="1541"/>
      <c r="H232" s="1538"/>
      <c r="I232" s="1538"/>
      <c r="J232" s="1541"/>
      <c r="K232" s="1541"/>
      <c r="L232" s="1541"/>
      <c r="M232" s="1548"/>
      <c r="N232" s="1549"/>
      <c r="O232" s="1550"/>
      <c r="P232" s="1555"/>
      <c r="Q232" s="1558"/>
      <c r="R232" s="1598"/>
      <c r="S232" s="1599"/>
      <c r="T232" s="1541"/>
      <c r="U232" s="1601"/>
    </row>
    <row r="233" spans="1:24" ht="21" customHeight="1">
      <c r="A233" s="1574"/>
      <c r="B233" s="562"/>
      <c r="C233" s="562"/>
      <c r="D233" s="562"/>
      <c r="E233" s="1542"/>
      <c r="F233" s="1542"/>
      <c r="G233" s="1542"/>
      <c r="H233" s="1539"/>
      <c r="I233" s="1539"/>
      <c r="J233" s="1542"/>
      <c r="K233" s="1542"/>
      <c r="L233" s="1542"/>
      <c r="M233" s="1548"/>
      <c r="N233" s="1549"/>
      <c r="O233" s="1550"/>
      <c r="P233" s="1555"/>
      <c r="Q233" s="1559"/>
      <c r="R233" s="1579"/>
      <c r="S233" s="1582"/>
      <c r="T233" s="1542"/>
      <c r="U233" s="1602"/>
    </row>
    <row r="234" spans="1:24" ht="21" customHeight="1">
      <c r="A234" s="1588" t="s">
        <v>279</v>
      </c>
      <c r="B234" s="1589"/>
      <c r="C234" s="1589"/>
      <c r="D234" s="1589"/>
      <c r="E234" s="1591" t="s">
        <v>800</v>
      </c>
      <c r="F234" s="1591"/>
      <c r="G234" s="555"/>
      <c r="H234" s="1499" t="s">
        <v>801</v>
      </c>
      <c r="I234" s="1499"/>
      <c r="J234" s="518"/>
      <c r="K234" s="1499" t="s">
        <v>802</v>
      </c>
      <c r="L234" s="1499"/>
      <c r="M234" s="556"/>
      <c r="N234" s="1499" t="s">
        <v>803</v>
      </c>
      <c r="O234" s="1499"/>
      <c r="P234" s="557"/>
      <c r="Q234" s="1570" t="s">
        <v>280</v>
      </c>
      <c r="R234" s="1570"/>
      <c r="S234" s="1568"/>
      <c r="T234" s="1568"/>
      <c r="U234" s="1569"/>
    </row>
    <row r="235" spans="1:24" ht="21" customHeight="1">
      <c r="A235" s="1592" t="s">
        <v>30</v>
      </c>
      <c r="B235" s="1593"/>
      <c r="C235" s="1593"/>
      <c r="D235" s="1608"/>
      <c r="E235" s="1603" t="s">
        <v>800</v>
      </c>
      <c r="F235" s="1604"/>
      <c r="G235" s="558"/>
      <c r="H235" s="1607" t="s">
        <v>801</v>
      </c>
      <c r="I235" s="1607"/>
      <c r="J235" s="559"/>
      <c r="K235" s="1607" t="s">
        <v>802</v>
      </c>
      <c r="L235" s="1607"/>
      <c r="M235" s="560"/>
      <c r="N235" s="1607" t="s">
        <v>803</v>
      </c>
      <c r="O235" s="1607"/>
      <c r="P235" s="561"/>
      <c r="Q235" s="1571" t="s">
        <v>280</v>
      </c>
      <c r="R235" s="1571"/>
      <c r="S235" s="1605"/>
      <c r="T235" s="1605"/>
      <c r="U235" s="1606"/>
    </row>
    <row r="236" spans="1:24" ht="21" customHeight="1">
      <c r="A236" s="1574">
        <f t="shared" ref="A236" si="86">IF(X236=0,0,W236)</f>
        <v>0</v>
      </c>
      <c r="B236" s="1575"/>
      <c r="C236" s="1575"/>
      <c r="D236" s="1575"/>
      <c r="E236" s="1576"/>
      <c r="F236" s="1576"/>
      <c r="G236" s="1576"/>
      <c r="H236" s="1544"/>
      <c r="I236" s="1544"/>
      <c r="J236" s="1576"/>
      <c r="K236" s="1576"/>
      <c r="L236" s="1576"/>
      <c r="M236" s="1548"/>
      <c r="N236" s="1549"/>
      <c r="O236" s="1550"/>
      <c r="P236" s="1555"/>
      <c r="Q236" s="1577">
        <f ca="1">IF(X236=0,0,IF(AND(P236='Data Base'!J245,G239&gt;0.5),0,G239*(IF(EXACT(M239,"نفر اول"),INDIRECT(CONCATENATE("'Data Base'!$C",J239)),INDIRECT(CONCATENATE("'Data Base'!$D",J239))))*((100-P239)/100)))</f>
        <v>0</v>
      </c>
      <c r="R236" s="1581">
        <f ca="1">IF(X236=0,0,IF(AND(P236='Data Base'!J245,G240&gt;0.5),0,G240*(IF(EXACT(M240,"نفر اول"),INDIRECT(CONCATENATE("'Data Base'!$C",J240)),INDIRECT(CONCATENATE("'Data Base'!$D",J240))))*((100-P240)/100)))</f>
        <v>0</v>
      </c>
      <c r="S236" s="1584"/>
      <c r="T236" s="1576"/>
      <c r="U236" s="1600"/>
      <c r="W236" s="220">
        <f t="shared" ref="W236" si="87">SUM(W231,X236)</f>
        <v>0</v>
      </c>
      <c r="X236" s="220">
        <f>IF(OR(E236="",P236="",J236="",M236="",D238="",C238="",B238=""),0,1)</f>
        <v>0</v>
      </c>
    </row>
    <row r="237" spans="1:24" ht="21" customHeight="1">
      <c r="A237" s="1574"/>
      <c r="B237" s="553" t="s">
        <v>230</v>
      </c>
      <c r="C237" s="553" t="s">
        <v>231</v>
      </c>
      <c r="D237" s="553" t="s">
        <v>16</v>
      </c>
      <c r="E237" s="1541"/>
      <c r="F237" s="1541"/>
      <c r="G237" s="1541"/>
      <c r="H237" s="1538"/>
      <c r="I237" s="1538"/>
      <c r="J237" s="1541"/>
      <c r="K237" s="1541"/>
      <c r="L237" s="1541"/>
      <c r="M237" s="1548"/>
      <c r="N237" s="1549"/>
      <c r="O237" s="1550"/>
      <c r="P237" s="1555"/>
      <c r="Q237" s="1558"/>
      <c r="R237" s="1598"/>
      <c r="S237" s="1599"/>
      <c r="T237" s="1541"/>
      <c r="U237" s="1601"/>
    </row>
    <row r="238" spans="1:24" ht="21" customHeight="1">
      <c r="A238" s="1574"/>
      <c r="B238" s="562"/>
      <c r="C238" s="562"/>
      <c r="D238" s="562"/>
      <c r="E238" s="1542"/>
      <c r="F238" s="1542"/>
      <c r="G238" s="1542"/>
      <c r="H238" s="1539"/>
      <c r="I238" s="1539"/>
      <c r="J238" s="1542"/>
      <c r="K238" s="1542"/>
      <c r="L238" s="1542"/>
      <c r="M238" s="1548"/>
      <c r="N238" s="1549"/>
      <c r="O238" s="1550"/>
      <c r="P238" s="1555"/>
      <c r="Q238" s="1559"/>
      <c r="R238" s="1579"/>
      <c r="S238" s="1582"/>
      <c r="T238" s="1542"/>
      <c r="U238" s="1602"/>
    </row>
    <row r="239" spans="1:24" ht="21" customHeight="1">
      <c r="A239" s="1588" t="s">
        <v>279</v>
      </c>
      <c r="B239" s="1589"/>
      <c r="C239" s="1589"/>
      <c r="D239" s="1589"/>
      <c r="E239" s="1591" t="s">
        <v>800</v>
      </c>
      <c r="F239" s="1591"/>
      <c r="G239" s="555"/>
      <c r="H239" s="1499" t="s">
        <v>801</v>
      </c>
      <c r="I239" s="1499"/>
      <c r="J239" s="518"/>
      <c r="K239" s="1499" t="s">
        <v>802</v>
      </c>
      <c r="L239" s="1499"/>
      <c r="M239" s="556"/>
      <c r="N239" s="1499" t="s">
        <v>803</v>
      </c>
      <c r="O239" s="1499"/>
      <c r="P239" s="557"/>
      <c r="Q239" s="1570" t="s">
        <v>280</v>
      </c>
      <c r="R239" s="1570"/>
      <c r="S239" s="1568"/>
      <c r="T239" s="1568"/>
      <c r="U239" s="1569"/>
    </row>
    <row r="240" spans="1:24" ht="21" customHeight="1">
      <c r="A240" s="1592" t="s">
        <v>30</v>
      </c>
      <c r="B240" s="1593"/>
      <c r="C240" s="1593"/>
      <c r="D240" s="1608"/>
      <c r="E240" s="1603" t="s">
        <v>800</v>
      </c>
      <c r="F240" s="1604"/>
      <c r="G240" s="558"/>
      <c r="H240" s="1607" t="s">
        <v>801</v>
      </c>
      <c r="I240" s="1607"/>
      <c r="J240" s="559"/>
      <c r="K240" s="1607" t="s">
        <v>802</v>
      </c>
      <c r="L240" s="1607"/>
      <c r="M240" s="560"/>
      <c r="N240" s="1607" t="s">
        <v>803</v>
      </c>
      <c r="O240" s="1607"/>
      <c r="P240" s="561"/>
      <c r="Q240" s="1571" t="s">
        <v>280</v>
      </c>
      <c r="R240" s="1571"/>
      <c r="S240" s="1605"/>
      <c r="T240" s="1605"/>
      <c r="U240" s="1606"/>
    </row>
    <row r="241" spans="1:24" ht="21" customHeight="1">
      <c r="A241" s="1574">
        <f t="shared" ref="A241" si="88">IF(X241=0,0,W241)</f>
        <v>0</v>
      </c>
      <c r="B241" s="1575"/>
      <c r="C241" s="1575"/>
      <c r="D241" s="1575"/>
      <c r="E241" s="1576"/>
      <c r="F241" s="1576"/>
      <c r="G241" s="1576"/>
      <c r="H241" s="1544"/>
      <c r="I241" s="1544"/>
      <c r="J241" s="1576"/>
      <c r="K241" s="1576"/>
      <c r="L241" s="1576"/>
      <c r="M241" s="1548"/>
      <c r="N241" s="1549"/>
      <c r="O241" s="1550"/>
      <c r="P241" s="1555"/>
      <c r="Q241" s="1577">
        <f ca="1">IF(X241=0,0,IF(AND(P241='Data Base'!J250,G244&gt;0.5),0,G244*(IF(EXACT(M244,"نفر اول"),INDIRECT(CONCATENATE("'Data Base'!$C",J244)),INDIRECT(CONCATENATE("'Data Base'!$D",J244))))*((100-P244)/100)))</f>
        <v>0</v>
      </c>
      <c r="R241" s="1581">
        <f ca="1">IF(X241=0,0,IF(AND(P241='Data Base'!J250,G245&gt;0.5),0,G245*(IF(EXACT(M245,"نفر اول"),INDIRECT(CONCATENATE("'Data Base'!$C",J245)),INDIRECT(CONCATENATE("'Data Base'!$D",J245))))*((100-P245)/100)))</f>
        <v>0</v>
      </c>
      <c r="S241" s="1584"/>
      <c r="T241" s="1576"/>
      <c r="U241" s="1600"/>
      <c r="W241" s="220">
        <f t="shared" ref="W241" si="89">SUM(W236,X241)</f>
        <v>0</v>
      </c>
      <c r="X241" s="220">
        <f>IF(OR(E241="",P241="",J241="",M241="",D243="",C243="",B243=""),0,1)</f>
        <v>0</v>
      </c>
    </row>
    <row r="242" spans="1:24" ht="21" customHeight="1">
      <c r="A242" s="1574"/>
      <c r="B242" s="553" t="s">
        <v>230</v>
      </c>
      <c r="C242" s="553" t="s">
        <v>231</v>
      </c>
      <c r="D242" s="553" t="s">
        <v>16</v>
      </c>
      <c r="E242" s="1541"/>
      <c r="F242" s="1541"/>
      <c r="G242" s="1541"/>
      <c r="H242" s="1538"/>
      <c r="I242" s="1538"/>
      <c r="J242" s="1541"/>
      <c r="K242" s="1541"/>
      <c r="L242" s="1541"/>
      <c r="M242" s="1548"/>
      <c r="N242" s="1549"/>
      <c r="O242" s="1550"/>
      <c r="P242" s="1555"/>
      <c r="Q242" s="1558"/>
      <c r="R242" s="1598"/>
      <c r="S242" s="1599"/>
      <c r="T242" s="1541"/>
      <c r="U242" s="1601"/>
    </row>
    <row r="243" spans="1:24" ht="21" customHeight="1">
      <c r="A243" s="1574"/>
      <c r="B243" s="562"/>
      <c r="C243" s="562"/>
      <c r="D243" s="562"/>
      <c r="E243" s="1542"/>
      <c r="F243" s="1542"/>
      <c r="G243" s="1542"/>
      <c r="H243" s="1539"/>
      <c r="I243" s="1539"/>
      <c r="J243" s="1542"/>
      <c r="K243" s="1542"/>
      <c r="L243" s="1542"/>
      <c r="M243" s="1548"/>
      <c r="N243" s="1549"/>
      <c r="O243" s="1550"/>
      <c r="P243" s="1555"/>
      <c r="Q243" s="1559"/>
      <c r="R243" s="1579"/>
      <c r="S243" s="1582"/>
      <c r="T243" s="1542"/>
      <c r="U243" s="1602"/>
    </row>
    <row r="244" spans="1:24" ht="21" customHeight="1">
      <c r="A244" s="1588" t="s">
        <v>279</v>
      </c>
      <c r="B244" s="1589"/>
      <c r="C244" s="1589"/>
      <c r="D244" s="1589"/>
      <c r="E244" s="1591" t="s">
        <v>800</v>
      </c>
      <c r="F244" s="1591"/>
      <c r="G244" s="555"/>
      <c r="H244" s="1499" t="s">
        <v>801</v>
      </c>
      <c r="I244" s="1499"/>
      <c r="J244" s="518"/>
      <c r="K244" s="1499" t="s">
        <v>802</v>
      </c>
      <c r="L244" s="1499"/>
      <c r="M244" s="556"/>
      <c r="N244" s="1499" t="s">
        <v>803</v>
      </c>
      <c r="O244" s="1499"/>
      <c r="P244" s="557"/>
      <c r="Q244" s="1570" t="s">
        <v>280</v>
      </c>
      <c r="R244" s="1570"/>
      <c r="S244" s="1568"/>
      <c r="T244" s="1568"/>
      <c r="U244" s="1569"/>
    </row>
    <row r="245" spans="1:24" ht="21" customHeight="1">
      <c r="A245" s="1592" t="s">
        <v>30</v>
      </c>
      <c r="B245" s="1593"/>
      <c r="C245" s="1593"/>
      <c r="D245" s="1608"/>
      <c r="E245" s="1603" t="s">
        <v>800</v>
      </c>
      <c r="F245" s="1604"/>
      <c r="G245" s="558"/>
      <c r="H245" s="1607" t="s">
        <v>801</v>
      </c>
      <c r="I245" s="1607"/>
      <c r="J245" s="559"/>
      <c r="K245" s="1607" t="s">
        <v>802</v>
      </c>
      <c r="L245" s="1607"/>
      <c r="M245" s="560"/>
      <c r="N245" s="1607" t="s">
        <v>803</v>
      </c>
      <c r="O245" s="1607"/>
      <c r="P245" s="561"/>
      <c r="Q245" s="1571" t="s">
        <v>280</v>
      </c>
      <c r="R245" s="1571"/>
      <c r="S245" s="1605"/>
      <c r="T245" s="1605"/>
      <c r="U245" s="1606"/>
    </row>
    <row r="246" spans="1:24" ht="21" customHeight="1">
      <c r="A246" s="1574">
        <f t="shared" ref="A246" si="90">IF(X246=0,0,W246)</f>
        <v>0</v>
      </c>
      <c r="B246" s="1575"/>
      <c r="C246" s="1575"/>
      <c r="D246" s="1575"/>
      <c r="E246" s="1576"/>
      <c r="F246" s="1576"/>
      <c r="G246" s="1576"/>
      <c r="H246" s="1544"/>
      <c r="I246" s="1544"/>
      <c r="J246" s="1576"/>
      <c r="K246" s="1576"/>
      <c r="L246" s="1576"/>
      <c r="M246" s="1548"/>
      <c r="N246" s="1549"/>
      <c r="O246" s="1550"/>
      <c r="P246" s="1555"/>
      <c r="Q246" s="1577">
        <f ca="1">IF(X246=0,0,IF(AND(P246='Data Base'!J255,G249&gt;0.5),0,G249*(IF(EXACT(M249,"نفر اول"),INDIRECT(CONCATENATE("'Data Base'!$C",J249)),INDIRECT(CONCATENATE("'Data Base'!$D",J249))))*((100-P249)/100)))</f>
        <v>0</v>
      </c>
      <c r="R246" s="1581">
        <f ca="1">IF(X246=0,0,IF(AND(P246='Data Base'!J255,G250&gt;0.5),0,G250*(IF(EXACT(M250,"نفر اول"),INDIRECT(CONCATENATE("'Data Base'!$C",J250)),INDIRECT(CONCATENATE("'Data Base'!$D",J250))))*((100-P250)/100)))</f>
        <v>0</v>
      </c>
      <c r="S246" s="1584"/>
      <c r="T246" s="1576"/>
      <c r="U246" s="1600"/>
      <c r="W246" s="220">
        <f t="shared" ref="W246" si="91">SUM(W241,X246)</f>
        <v>0</v>
      </c>
      <c r="X246" s="220">
        <f>IF(OR(E246="",P246="",J246="",M246="",D248="",C248="",B248=""),0,1)</f>
        <v>0</v>
      </c>
    </row>
    <row r="247" spans="1:24" ht="21" customHeight="1">
      <c r="A247" s="1574"/>
      <c r="B247" s="553" t="s">
        <v>230</v>
      </c>
      <c r="C247" s="553" t="s">
        <v>231</v>
      </c>
      <c r="D247" s="553" t="s">
        <v>16</v>
      </c>
      <c r="E247" s="1541"/>
      <c r="F247" s="1541"/>
      <c r="G247" s="1541"/>
      <c r="H247" s="1538"/>
      <c r="I247" s="1538"/>
      <c r="J247" s="1541"/>
      <c r="K247" s="1541"/>
      <c r="L247" s="1541"/>
      <c r="M247" s="1548"/>
      <c r="N247" s="1549"/>
      <c r="O247" s="1550"/>
      <c r="P247" s="1555"/>
      <c r="Q247" s="1558"/>
      <c r="R247" s="1598"/>
      <c r="S247" s="1599"/>
      <c r="T247" s="1541"/>
      <c r="U247" s="1601"/>
    </row>
    <row r="248" spans="1:24" ht="21" customHeight="1">
      <c r="A248" s="1574"/>
      <c r="B248" s="562"/>
      <c r="C248" s="562"/>
      <c r="D248" s="562"/>
      <c r="E248" s="1542"/>
      <c r="F248" s="1542"/>
      <c r="G248" s="1542"/>
      <c r="H248" s="1539"/>
      <c r="I248" s="1539"/>
      <c r="J248" s="1542"/>
      <c r="K248" s="1542"/>
      <c r="L248" s="1542"/>
      <c r="M248" s="1548"/>
      <c r="N248" s="1549"/>
      <c r="O248" s="1550"/>
      <c r="P248" s="1555"/>
      <c r="Q248" s="1559"/>
      <c r="R248" s="1579"/>
      <c r="S248" s="1582"/>
      <c r="T248" s="1542"/>
      <c r="U248" s="1602"/>
    </row>
    <row r="249" spans="1:24" ht="21" customHeight="1">
      <c r="A249" s="1588" t="s">
        <v>279</v>
      </c>
      <c r="B249" s="1589"/>
      <c r="C249" s="1589"/>
      <c r="D249" s="1589"/>
      <c r="E249" s="1591" t="s">
        <v>800</v>
      </c>
      <c r="F249" s="1591"/>
      <c r="G249" s="555"/>
      <c r="H249" s="1499" t="s">
        <v>801</v>
      </c>
      <c r="I249" s="1499"/>
      <c r="J249" s="518"/>
      <c r="K249" s="1499" t="s">
        <v>802</v>
      </c>
      <c r="L249" s="1499"/>
      <c r="M249" s="556"/>
      <c r="N249" s="1499" t="s">
        <v>803</v>
      </c>
      <c r="O249" s="1499"/>
      <c r="P249" s="557"/>
      <c r="Q249" s="1570" t="s">
        <v>280</v>
      </c>
      <c r="R249" s="1570"/>
      <c r="S249" s="1568"/>
      <c r="T249" s="1568"/>
      <c r="U249" s="1569"/>
    </row>
    <row r="250" spans="1:24" ht="21" customHeight="1">
      <c r="A250" s="1592" t="s">
        <v>30</v>
      </c>
      <c r="B250" s="1593"/>
      <c r="C250" s="1593"/>
      <c r="D250" s="1608"/>
      <c r="E250" s="1603" t="s">
        <v>800</v>
      </c>
      <c r="F250" s="1604"/>
      <c r="G250" s="558"/>
      <c r="H250" s="1607" t="s">
        <v>801</v>
      </c>
      <c r="I250" s="1607"/>
      <c r="J250" s="559"/>
      <c r="K250" s="1607" t="s">
        <v>802</v>
      </c>
      <c r="L250" s="1607"/>
      <c r="M250" s="560"/>
      <c r="N250" s="1607" t="s">
        <v>803</v>
      </c>
      <c r="O250" s="1607"/>
      <c r="P250" s="561"/>
      <c r="Q250" s="1571" t="s">
        <v>280</v>
      </c>
      <c r="R250" s="1571"/>
      <c r="S250" s="1605"/>
      <c r="T250" s="1605"/>
      <c r="U250" s="1606"/>
    </row>
    <row r="251" spans="1:24" ht="21" customHeight="1">
      <c r="A251" s="1574">
        <f t="shared" ref="A251" si="92">IF(X251=0,0,W251)</f>
        <v>0</v>
      </c>
      <c r="B251" s="1575"/>
      <c r="C251" s="1575"/>
      <c r="D251" s="1575"/>
      <c r="E251" s="1576"/>
      <c r="F251" s="1576"/>
      <c r="G251" s="1576"/>
      <c r="H251" s="1544"/>
      <c r="I251" s="1544"/>
      <c r="J251" s="1576"/>
      <c r="K251" s="1576"/>
      <c r="L251" s="1576"/>
      <c r="M251" s="1548"/>
      <c r="N251" s="1549"/>
      <c r="O251" s="1550"/>
      <c r="P251" s="1555"/>
      <c r="Q251" s="1577">
        <f ca="1">IF(X251=0,0,IF(AND(P251='Data Base'!J260,G254&gt;0.5),0,G254*(IF(EXACT(M254,"نفر اول"),INDIRECT(CONCATENATE("'Data Base'!$C",J254)),INDIRECT(CONCATENATE("'Data Base'!$D",J254))))*((100-P254)/100)))</f>
        <v>0</v>
      </c>
      <c r="R251" s="1581">
        <f ca="1">IF(X251=0,0,IF(AND(P251='Data Base'!J260,G255&gt;0.5),0,G255*(IF(EXACT(M255,"نفر اول"),INDIRECT(CONCATENATE("'Data Base'!$C",J255)),INDIRECT(CONCATENATE("'Data Base'!$D",J255))))*((100-P255)/100)))</f>
        <v>0</v>
      </c>
      <c r="S251" s="1584"/>
      <c r="T251" s="1576"/>
      <c r="U251" s="1600"/>
      <c r="W251" s="220">
        <f t="shared" ref="W251" si="93">SUM(W246,X251)</f>
        <v>0</v>
      </c>
      <c r="X251" s="220">
        <f>IF(OR(E251="",P251="",J251="",M251="",D253="",C253="",B253=""),0,1)</f>
        <v>0</v>
      </c>
    </row>
    <row r="252" spans="1:24" ht="21" customHeight="1">
      <c r="A252" s="1574"/>
      <c r="B252" s="553" t="s">
        <v>230</v>
      </c>
      <c r="C252" s="553" t="s">
        <v>231</v>
      </c>
      <c r="D252" s="553" t="s">
        <v>16</v>
      </c>
      <c r="E252" s="1541"/>
      <c r="F252" s="1541"/>
      <c r="G252" s="1541"/>
      <c r="H252" s="1538"/>
      <c r="I252" s="1538"/>
      <c r="J252" s="1541"/>
      <c r="K252" s="1541"/>
      <c r="L252" s="1541"/>
      <c r="M252" s="1548"/>
      <c r="N252" s="1549"/>
      <c r="O252" s="1550"/>
      <c r="P252" s="1555"/>
      <c r="Q252" s="1558"/>
      <c r="R252" s="1598"/>
      <c r="S252" s="1599"/>
      <c r="T252" s="1541"/>
      <c r="U252" s="1601"/>
    </row>
    <row r="253" spans="1:24" ht="21" customHeight="1">
      <c r="A253" s="1574"/>
      <c r="B253" s="562"/>
      <c r="C253" s="562"/>
      <c r="D253" s="562"/>
      <c r="E253" s="1542"/>
      <c r="F253" s="1542"/>
      <c r="G253" s="1542"/>
      <c r="H253" s="1539"/>
      <c r="I253" s="1539"/>
      <c r="J253" s="1542"/>
      <c r="K253" s="1542"/>
      <c r="L253" s="1542"/>
      <c r="M253" s="1548"/>
      <c r="N253" s="1549"/>
      <c r="O253" s="1550"/>
      <c r="P253" s="1555"/>
      <c r="Q253" s="1559"/>
      <c r="R253" s="1579"/>
      <c r="S253" s="1582"/>
      <c r="T253" s="1542"/>
      <c r="U253" s="1602"/>
    </row>
    <row r="254" spans="1:24" ht="21" customHeight="1">
      <c r="A254" s="1588" t="s">
        <v>279</v>
      </c>
      <c r="B254" s="1589"/>
      <c r="C254" s="1589"/>
      <c r="D254" s="1589"/>
      <c r="E254" s="1591" t="s">
        <v>800</v>
      </c>
      <c r="F254" s="1591"/>
      <c r="G254" s="555"/>
      <c r="H254" s="1499" t="s">
        <v>801</v>
      </c>
      <c r="I254" s="1499"/>
      <c r="J254" s="518"/>
      <c r="K254" s="1499" t="s">
        <v>802</v>
      </c>
      <c r="L254" s="1499"/>
      <c r="M254" s="556"/>
      <c r="N254" s="1499" t="s">
        <v>803</v>
      </c>
      <c r="O254" s="1499"/>
      <c r="P254" s="557"/>
      <c r="Q254" s="1570" t="s">
        <v>280</v>
      </c>
      <c r="R254" s="1570"/>
      <c r="S254" s="1568"/>
      <c r="T254" s="1568"/>
      <c r="U254" s="1569"/>
    </row>
    <row r="255" spans="1:24" ht="21" customHeight="1">
      <c r="A255" s="1592" t="s">
        <v>30</v>
      </c>
      <c r="B255" s="1593"/>
      <c r="C255" s="1593"/>
      <c r="D255" s="1608"/>
      <c r="E255" s="1603" t="s">
        <v>800</v>
      </c>
      <c r="F255" s="1604"/>
      <c r="G255" s="558"/>
      <c r="H255" s="1607" t="s">
        <v>801</v>
      </c>
      <c r="I255" s="1607"/>
      <c r="J255" s="559"/>
      <c r="K255" s="1607" t="s">
        <v>802</v>
      </c>
      <c r="L255" s="1607"/>
      <c r="M255" s="560"/>
      <c r="N255" s="1607" t="s">
        <v>803</v>
      </c>
      <c r="O255" s="1607"/>
      <c r="P255" s="561"/>
      <c r="Q255" s="1571" t="s">
        <v>280</v>
      </c>
      <c r="R255" s="1571"/>
      <c r="S255" s="1605"/>
      <c r="T255" s="1605"/>
      <c r="U255" s="1606"/>
    </row>
    <row r="256" spans="1:24" ht="21" customHeight="1">
      <c r="A256" s="1574">
        <f t="shared" ref="A256" si="94">IF(X256=0,0,W256)</f>
        <v>0</v>
      </c>
      <c r="B256" s="1575"/>
      <c r="C256" s="1575"/>
      <c r="D256" s="1575"/>
      <c r="E256" s="1576"/>
      <c r="F256" s="1576"/>
      <c r="G256" s="1576"/>
      <c r="H256" s="1544"/>
      <c r="I256" s="1544"/>
      <c r="J256" s="1576"/>
      <c r="K256" s="1576"/>
      <c r="L256" s="1576"/>
      <c r="M256" s="1548"/>
      <c r="N256" s="1549"/>
      <c r="O256" s="1550"/>
      <c r="P256" s="1555"/>
      <c r="Q256" s="1577">
        <f ca="1">IF(X256=0,0,IF(AND(P256='Data Base'!J265,G259&gt;0.5),0,G259*(IF(EXACT(M259,"نفر اول"),INDIRECT(CONCATENATE("'Data Base'!$C",J259)),INDIRECT(CONCATENATE("'Data Base'!$D",J259))))*((100-P259)/100)))</f>
        <v>0</v>
      </c>
      <c r="R256" s="1581">
        <f ca="1">IF(X256=0,0,IF(AND(P256='Data Base'!J265,G260&gt;0.5),0,G260*(IF(EXACT(M260,"نفر اول"),INDIRECT(CONCATENATE("'Data Base'!$C",J260)),INDIRECT(CONCATENATE("'Data Base'!$D",J260))))*((100-P260)/100)))</f>
        <v>0</v>
      </c>
      <c r="S256" s="1584"/>
      <c r="T256" s="1576"/>
      <c r="U256" s="1600"/>
      <c r="W256" s="220">
        <f t="shared" ref="W256" si="95">SUM(W251,X256)</f>
        <v>0</v>
      </c>
      <c r="X256" s="220">
        <f>IF(OR(E256="",P256="",J256="",M256="",D258="",C258="",B258=""),0,1)</f>
        <v>0</v>
      </c>
    </row>
    <row r="257" spans="1:24" ht="21" customHeight="1">
      <c r="A257" s="1574"/>
      <c r="B257" s="553" t="s">
        <v>230</v>
      </c>
      <c r="C257" s="553" t="s">
        <v>231</v>
      </c>
      <c r="D257" s="553" t="s">
        <v>16</v>
      </c>
      <c r="E257" s="1541"/>
      <c r="F257" s="1541"/>
      <c r="G257" s="1541"/>
      <c r="H257" s="1538"/>
      <c r="I257" s="1538"/>
      <c r="J257" s="1541"/>
      <c r="K257" s="1541"/>
      <c r="L257" s="1541"/>
      <c r="M257" s="1548"/>
      <c r="N257" s="1549"/>
      <c r="O257" s="1550"/>
      <c r="P257" s="1555"/>
      <c r="Q257" s="1558"/>
      <c r="R257" s="1598"/>
      <c r="S257" s="1599"/>
      <c r="T257" s="1541"/>
      <c r="U257" s="1601"/>
    </row>
    <row r="258" spans="1:24" ht="21" customHeight="1">
      <c r="A258" s="1574"/>
      <c r="B258" s="562"/>
      <c r="C258" s="562"/>
      <c r="D258" s="562"/>
      <c r="E258" s="1542"/>
      <c r="F258" s="1542"/>
      <c r="G258" s="1542"/>
      <c r="H258" s="1539"/>
      <c r="I258" s="1539"/>
      <c r="J258" s="1542"/>
      <c r="K258" s="1542"/>
      <c r="L258" s="1542"/>
      <c r="M258" s="1548"/>
      <c r="N258" s="1549"/>
      <c r="O258" s="1550"/>
      <c r="P258" s="1555"/>
      <c r="Q258" s="1559"/>
      <c r="R258" s="1579"/>
      <c r="S258" s="1582"/>
      <c r="T258" s="1542"/>
      <c r="U258" s="1602"/>
    </row>
    <row r="259" spans="1:24" ht="21" customHeight="1">
      <c r="A259" s="1588" t="s">
        <v>279</v>
      </c>
      <c r="B259" s="1589"/>
      <c r="C259" s="1589"/>
      <c r="D259" s="1589"/>
      <c r="E259" s="1591" t="s">
        <v>800</v>
      </c>
      <c r="F259" s="1591"/>
      <c r="G259" s="555"/>
      <c r="H259" s="1499" t="s">
        <v>801</v>
      </c>
      <c r="I259" s="1499"/>
      <c r="J259" s="518"/>
      <c r="K259" s="1499" t="s">
        <v>802</v>
      </c>
      <c r="L259" s="1499"/>
      <c r="M259" s="556"/>
      <c r="N259" s="1499" t="s">
        <v>803</v>
      </c>
      <c r="O259" s="1499"/>
      <c r="P259" s="557"/>
      <c r="Q259" s="1570" t="s">
        <v>280</v>
      </c>
      <c r="R259" s="1570"/>
      <c r="S259" s="1568"/>
      <c r="T259" s="1568"/>
      <c r="U259" s="1569"/>
    </row>
    <row r="260" spans="1:24" ht="21" customHeight="1">
      <c r="A260" s="1592" t="s">
        <v>30</v>
      </c>
      <c r="B260" s="1593"/>
      <c r="C260" s="1593"/>
      <c r="D260" s="1608"/>
      <c r="E260" s="1603" t="s">
        <v>800</v>
      </c>
      <c r="F260" s="1604"/>
      <c r="G260" s="558"/>
      <c r="H260" s="1607" t="s">
        <v>801</v>
      </c>
      <c r="I260" s="1607"/>
      <c r="J260" s="559"/>
      <c r="K260" s="1607" t="s">
        <v>802</v>
      </c>
      <c r="L260" s="1607"/>
      <c r="M260" s="560"/>
      <c r="N260" s="1607" t="s">
        <v>803</v>
      </c>
      <c r="O260" s="1607"/>
      <c r="P260" s="561"/>
      <c r="Q260" s="1571" t="s">
        <v>280</v>
      </c>
      <c r="R260" s="1571"/>
      <c r="S260" s="1605"/>
      <c r="T260" s="1605"/>
      <c r="U260" s="1606"/>
    </row>
    <row r="261" spans="1:24" ht="21" customHeight="1">
      <c r="A261" s="1574">
        <f t="shared" ref="A261" si="96">IF(X261=0,0,W261)</f>
        <v>0</v>
      </c>
      <c r="B261" s="1575"/>
      <c r="C261" s="1575"/>
      <c r="D261" s="1575"/>
      <c r="E261" s="1576"/>
      <c r="F261" s="1576"/>
      <c r="G261" s="1576"/>
      <c r="H261" s="1544"/>
      <c r="I261" s="1544"/>
      <c r="J261" s="1576"/>
      <c r="K261" s="1576"/>
      <c r="L261" s="1576"/>
      <c r="M261" s="1548"/>
      <c r="N261" s="1549"/>
      <c r="O261" s="1550"/>
      <c r="P261" s="1555"/>
      <c r="Q261" s="1577">
        <f ca="1">IF(X261=0,0,IF(AND(P261='Data Base'!J270,G264&gt;0.5),0,G264*(IF(EXACT(M264,"نفر اول"),INDIRECT(CONCATENATE("'Data Base'!$C",J264)),INDIRECT(CONCATENATE("'Data Base'!$D",J264))))*((100-P264)/100)))</f>
        <v>0</v>
      </c>
      <c r="R261" s="1581">
        <f ca="1">IF(X261=0,0,IF(AND(P261='Data Base'!J270,G265&gt;0.5),0,G265*(IF(EXACT(M265,"نفر اول"),INDIRECT(CONCATENATE("'Data Base'!$C",J265)),INDIRECT(CONCATENATE("'Data Base'!$D",J265))))*((100-P265)/100)))</f>
        <v>0</v>
      </c>
      <c r="S261" s="1584"/>
      <c r="T261" s="1576"/>
      <c r="U261" s="1600"/>
      <c r="W261" s="220">
        <f t="shared" ref="W261" si="97">SUM(W256,X261)</f>
        <v>0</v>
      </c>
      <c r="X261" s="220">
        <f>IF(OR(E261="",P261="",J261="",M261="",D263="",C263="",B263=""),0,1)</f>
        <v>0</v>
      </c>
    </row>
    <row r="262" spans="1:24" ht="21" customHeight="1">
      <c r="A262" s="1574"/>
      <c r="B262" s="553" t="s">
        <v>230</v>
      </c>
      <c r="C262" s="553" t="s">
        <v>231</v>
      </c>
      <c r="D262" s="553" t="s">
        <v>16</v>
      </c>
      <c r="E262" s="1541"/>
      <c r="F262" s="1541"/>
      <c r="G262" s="1541"/>
      <c r="H262" s="1538"/>
      <c r="I262" s="1538"/>
      <c r="J262" s="1541"/>
      <c r="K262" s="1541"/>
      <c r="L262" s="1541"/>
      <c r="M262" s="1548"/>
      <c r="N262" s="1549"/>
      <c r="O262" s="1550"/>
      <c r="P262" s="1555"/>
      <c r="Q262" s="1558"/>
      <c r="R262" s="1598"/>
      <c r="S262" s="1599"/>
      <c r="T262" s="1541"/>
      <c r="U262" s="1601"/>
    </row>
    <row r="263" spans="1:24" ht="21" customHeight="1">
      <c r="A263" s="1574"/>
      <c r="B263" s="562"/>
      <c r="C263" s="562"/>
      <c r="D263" s="562"/>
      <c r="E263" s="1542"/>
      <c r="F263" s="1542"/>
      <c r="G263" s="1542"/>
      <c r="H263" s="1539"/>
      <c r="I263" s="1539"/>
      <c r="J263" s="1542"/>
      <c r="K263" s="1542"/>
      <c r="L263" s="1542"/>
      <c r="M263" s="1548"/>
      <c r="N263" s="1549"/>
      <c r="O263" s="1550"/>
      <c r="P263" s="1555"/>
      <c r="Q263" s="1559"/>
      <c r="R263" s="1579"/>
      <c r="S263" s="1582"/>
      <c r="T263" s="1542"/>
      <c r="U263" s="1602"/>
    </row>
    <row r="264" spans="1:24" ht="21" customHeight="1">
      <c r="A264" s="1588" t="s">
        <v>279</v>
      </c>
      <c r="B264" s="1589"/>
      <c r="C264" s="1589"/>
      <c r="D264" s="1589"/>
      <c r="E264" s="1591" t="s">
        <v>800</v>
      </c>
      <c r="F264" s="1591"/>
      <c r="G264" s="555"/>
      <c r="H264" s="1499" t="s">
        <v>801</v>
      </c>
      <c r="I264" s="1499"/>
      <c r="J264" s="518"/>
      <c r="K264" s="1499" t="s">
        <v>802</v>
      </c>
      <c r="L264" s="1499"/>
      <c r="M264" s="556"/>
      <c r="N264" s="1499" t="s">
        <v>803</v>
      </c>
      <c r="O264" s="1499"/>
      <c r="P264" s="557"/>
      <c r="Q264" s="1570" t="s">
        <v>280</v>
      </c>
      <c r="R264" s="1570"/>
      <c r="S264" s="1568"/>
      <c r="T264" s="1568"/>
      <c r="U264" s="1569"/>
    </row>
    <row r="265" spans="1:24" ht="21" customHeight="1">
      <c r="A265" s="1592" t="s">
        <v>30</v>
      </c>
      <c r="B265" s="1593"/>
      <c r="C265" s="1593"/>
      <c r="D265" s="1608"/>
      <c r="E265" s="1603" t="s">
        <v>800</v>
      </c>
      <c r="F265" s="1604"/>
      <c r="G265" s="558"/>
      <c r="H265" s="1607" t="s">
        <v>801</v>
      </c>
      <c r="I265" s="1607"/>
      <c r="J265" s="559"/>
      <c r="K265" s="1607" t="s">
        <v>802</v>
      </c>
      <c r="L265" s="1607"/>
      <c r="M265" s="560"/>
      <c r="N265" s="1607" t="s">
        <v>803</v>
      </c>
      <c r="O265" s="1607"/>
      <c r="P265" s="561"/>
      <c r="Q265" s="1571" t="s">
        <v>280</v>
      </c>
      <c r="R265" s="1571"/>
      <c r="S265" s="1605"/>
      <c r="T265" s="1605"/>
      <c r="U265" s="1606"/>
    </row>
    <row r="266" spans="1:24" ht="21" customHeight="1">
      <c r="A266" s="1574">
        <f t="shared" ref="A266" si="98">IF(X266=0,0,W266)</f>
        <v>0</v>
      </c>
      <c r="B266" s="1575"/>
      <c r="C266" s="1575"/>
      <c r="D266" s="1575"/>
      <c r="E266" s="1576"/>
      <c r="F266" s="1576"/>
      <c r="G266" s="1576"/>
      <c r="H266" s="1544"/>
      <c r="I266" s="1544"/>
      <c r="J266" s="1576"/>
      <c r="K266" s="1576"/>
      <c r="L266" s="1576"/>
      <c r="M266" s="1548"/>
      <c r="N266" s="1549"/>
      <c r="O266" s="1550"/>
      <c r="P266" s="1555"/>
      <c r="Q266" s="1577">
        <f ca="1">IF(X266=0,0,IF(AND(P266='Data Base'!J275,G269&gt;0.5),0,G269*(IF(EXACT(M269,"نفر اول"),INDIRECT(CONCATENATE("'Data Base'!$C",J269)),INDIRECT(CONCATENATE("'Data Base'!$D",J269))))*((100-P269)/100)))</f>
        <v>0</v>
      </c>
      <c r="R266" s="1581">
        <f ca="1">IF(X266=0,0,IF(AND(P266='Data Base'!J275,G270&gt;0.5),0,G270*(IF(EXACT(M270,"نفر اول"),INDIRECT(CONCATENATE("'Data Base'!$C",J270)),INDIRECT(CONCATENATE("'Data Base'!$D",J270))))*((100-P270)/100)))</f>
        <v>0</v>
      </c>
      <c r="S266" s="1584"/>
      <c r="T266" s="1576"/>
      <c r="U266" s="1600"/>
      <c r="W266" s="220">
        <f t="shared" ref="W266" si="99">SUM(W261,X266)</f>
        <v>0</v>
      </c>
      <c r="X266" s="220">
        <f>IF(OR(E266="",P266="",J266="",M266="",D268="",C268="",B268=""),0,1)</f>
        <v>0</v>
      </c>
    </row>
    <row r="267" spans="1:24" ht="21" customHeight="1">
      <c r="A267" s="1574"/>
      <c r="B267" s="553" t="s">
        <v>230</v>
      </c>
      <c r="C267" s="553" t="s">
        <v>231</v>
      </c>
      <c r="D267" s="553" t="s">
        <v>16</v>
      </c>
      <c r="E267" s="1541"/>
      <c r="F267" s="1541"/>
      <c r="G267" s="1541"/>
      <c r="H267" s="1538"/>
      <c r="I267" s="1538"/>
      <c r="J267" s="1541"/>
      <c r="K267" s="1541"/>
      <c r="L267" s="1541"/>
      <c r="M267" s="1548"/>
      <c r="N267" s="1549"/>
      <c r="O267" s="1550"/>
      <c r="P267" s="1555"/>
      <c r="Q267" s="1558"/>
      <c r="R267" s="1598"/>
      <c r="S267" s="1599"/>
      <c r="T267" s="1541"/>
      <c r="U267" s="1601"/>
    </row>
    <row r="268" spans="1:24" ht="21" customHeight="1">
      <c r="A268" s="1574"/>
      <c r="B268" s="562"/>
      <c r="C268" s="562"/>
      <c r="D268" s="562"/>
      <c r="E268" s="1542"/>
      <c r="F268" s="1542"/>
      <c r="G268" s="1542"/>
      <c r="H268" s="1539"/>
      <c r="I268" s="1539"/>
      <c r="J268" s="1542"/>
      <c r="K268" s="1542"/>
      <c r="L268" s="1542"/>
      <c r="M268" s="1548"/>
      <c r="N268" s="1549"/>
      <c r="O268" s="1550"/>
      <c r="P268" s="1555"/>
      <c r="Q268" s="1559"/>
      <c r="R268" s="1579"/>
      <c r="S268" s="1582"/>
      <c r="T268" s="1542"/>
      <c r="U268" s="1602"/>
    </row>
    <row r="269" spans="1:24" ht="21" customHeight="1">
      <c r="A269" s="1588" t="s">
        <v>279</v>
      </c>
      <c r="B269" s="1589"/>
      <c r="C269" s="1589"/>
      <c r="D269" s="1589"/>
      <c r="E269" s="1591" t="s">
        <v>800</v>
      </c>
      <c r="F269" s="1591"/>
      <c r="G269" s="555"/>
      <c r="H269" s="1499" t="s">
        <v>801</v>
      </c>
      <c r="I269" s="1499"/>
      <c r="J269" s="518"/>
      <c r="K269" s="1499" t="s">
        <v>802</v>
      </c>
      <c r="L269" s="1499"/>
      <c r="M269" s="556"/>
      <c r="N269" s="1499" t="s">
        <v>803</v>
      </c>
      <c r="O269" s="1499"/>
      <c r="P269" s="557"/>
      <c r="Q269" s="1570" t="s">
        <v>280</v>
      </c>
      <c r="R269" s="1570"/>
      <c r="S269" s="1568"/>
      <c r="T269" s="1568"/>
      <c r="U269" s="1569"/>
    </row>
    <row r="270" spans="1:24" ht="21" customHeight="1">
      <c r="A270" s="1592" t="s">
        <v>30</v>
      </c>
      <c r="B270" s="1593"/>
      <c r="C270" s="1593"/>
      <c r="D270" s="1608"/>
      <c r="E270" s="1603" t="s">
        <v>800</v>
      </c>
      <c r="F270" s="1604"/>
      <c r="G270" s="558"/>
      <c r="H270" s="1607" t="s">
        <v>801</v>
      </c>
      <c r="I270" s="1607"/>
      <c r="J270" s="559"/>
      <c r="K270" s="1607" t="s">
        <v>802</v>
      </c>
      <c r="L270" s="1607"/>
      <c r="M270" s="560"/>
      <c r="N270" s="1607" t="s">
        <v>803</v>
      </c>
      <c r="O270" s="1607"/>
      <c r="P270" s="561"/>
      <c r="Q270" s="1571" t="s">
        <v>280</v>
      </c>
      <c r="R270" s="1571"/>
      <c r="S270" s="1605"/>
      <c r="T270" s="1605"/>
      <c r="U270" s="1606"/>
    </row>
    <row r="271" spans="1:24" ht="21" customHeight="1">
      <c r="A271" s="1574">
        <f t="shared" ref="A271" si="100">IF(X271=0,0,W271)</f>
        <v>0</v>
      </c>
      <c r="B271" s="1575"/>
      <c r="C271" s="1575"/>
      <c r="D271" s="1575"/>
      <c r="E271" s="1576"/>
      <c r="F271" s="1576"/>
      <c r="G271" s="1576"/>
      <c r="H271" s="1544"/>
      <c r="I271" s="1544"/>
      <c r="J271" s="1576"/>
      <c r="K271" s="1576"/>
      <c r="L271" s="1576"/>
      <c r="M271" s="1548"/>
      <c r="N271" s="1549"/>
      <c r="O271" s="1550"/>
      <c r="P271" s="1555"/>
      <c r="Q271" s="1577">
        <f ca="1">IF(X271=0,0,IF(AND(P271='Data Base'!J280,G274&gt;0.5),0,G274*(IF(EXACT(M274,"نفر اول"),INDIRECT(CONCATENATE("'Data Base'!$C",J274)),INDIRECT(CONCATENATE("'Data Base'!$D",J274))))*((100-P274)/100)))</f>
        <v>0</v>
      </c>
      <c r="R271" s="1581">
        <f ca="1">IF(X271=0,0,IF(AND(P271='Data Base'!J280,G275&gt;0.5),0,G275*(IF(EXACT(M275,"نفر اول"),INDIRECT(CONCATENATE("'Data Base'!$C",J275)),INDIRECT(CONCATENATE("'Data Base'!$D",J275))))*((100-P275)/100)))</f>
        <v>0</v>
      </c>
      <c r="S271" s="1584"/>
      <c r="T271" s="1576"/>
      <c r="U271" s="1600"/>
      <c r="W271" s="220">
        <f t="shared" ref="W271" si="101">SUM(W266,X271)</f>
        <v>0</v>
      </c>
      <c r="X271" s="220">
        <f>IF(OR(E271="",P271="",J271="",M271="",D273="",C273="",B273=""),0,1)</f>
        <v>0</v>
      </c>
    </row>
    <row r="272" spans="1:24" ht="21" customHeight="1">
      <c r="A272" s="1574"/>
      <c r="B272" s="553" t="s">
        <v>230</v>
      </c>
      <c r="C272" s="553" t="s">
        <v>231</v>
      </c>
      <c r="D272" s="553" t="s">
        <v>16</v>
      </c>
      <c r="E272" s="1541"/>
      <c r="F272" s="1541"/>
      <c r="G272" s="1541"/>
      <c r="H272" s="1538"/>
      <c r="I272" s="1538"/>
      <c r="J272" s="1541"/>
      <c r="K272" s="1541"/>
      <c r="L272" s="1541"/>
      <c r="M272" s="1548"/>
      <c r="N272" s="1549"/>
      <c r="O272" s="1550"/>
      <c r="P272" s="1555"/>
      <c r="Q272" s="1558"/>
      <c r="R272" s="1598"/>
      <c r="S272" s="1599"/>
      <c r="T272" s="1541"/>
      <c r="U272" s="1601"/>
    </row>
    <row r="273" spans="1:24" ht="21" customHeight="1">
      <c r="A273" s="1574"/>
      <c r="B273" s="562"/>
      <c r="C273" s="562"/>
      <c r="D273" s="562"/>
      <c r="E273" s="1542"/>
      <c r="F273" s="1542"/>
      <c r="G273" s="1542"/>
      <c r="H273" s="1539"/>
      <c r="I273" s="1539"/>
      <c r="J273" s="1542"/>
      <c r="K273" s="1542"/>
      <c r="L273" s="1542"/>
      <c r="M273" s="1548"/>
      <c r="N273" s="1549"/>
      <c r="O273" s="1550"/>
      <c r="P273" s="1555"/>
      <c r="Q273" s="1559"/>
      <c r="R273" s="1579"/>
      <c r="S273" s="1582"/>
      <c r="T273" s="1542"/>
      <c r="U273" s="1602"/>
    </row>
    <row r="274" spans="1:24" ht="21" customHeight="1">
      <c r="A274" s="1588" t="s">
        <v>279</v>
      </c>
      <c r="B274" s="1589"/>
      <c r="C274" s="1589"/>
      <c r="D274" s="1589"/>
      <c r="E274" s="1591" t="s">
        <v>800</v>
      </c>
      <c r="F274" s="1591"/>
      <c r="G274" s="555"/>
      <c r="H274" s="1499" t="s">
        <v>801</v>
      </c>
      <c r="I274" s="1499"/>
      <c r="J274" s="518"/>
      <c r="K274" s="1499" t="s">
        <v>802</v>
      </c>
      <c r="L274" s="1499"/>
      <c r="M274" s="556"/>
      <c r="N274" s="1499" t="s">
        <v>803</v>
      </c>
      <c r="O274" s="1499"/>
      <c r="P274" s="557"/>
      <c r="Q274" s="1570" t="s">
        <v>280</v>
      </c>
      <c r="R274" s="1570"/>
      <c r="S274" s="1568"/>
      <c r="T274" s="1568"/>
      <c r="U274" s="1569"/>
    </row>
    <row r="275" spans="1:24" ht="21" customHeight="1">
      <c r="A275" s="1592" t="s">
        <v>30</v>
      </c>
      <c r="B275" s="1593"/>
      <c r="C275" s="1593"/>
      <c r="D275" s="1608"/>
      <c r="E275" s="1603" t="s">
        <v>800</v>
      </c>
      <c r="F275" s="1604"/>
      <c r="G275" s="558"/>
      <c r="H275" s="1607" t="s">
        <v>801</v>
      </c>
      <c r="I275" s="1607"/>
      <c r="J275" s="559"/>
      <c r="K275" s="1607" t="s">
        <v>802</v>
      </c>
      <c r="L275" s="1607"/>
      <c r="M275" s="560"/>
      <c r="N275" s="1607" t="s">
        <v>803</v>
      </c>
      <c r="O275" s="1607"/>
      <c r="P275" s="561"/>
      <c r="Q275" s="1571" t="s">
        <v>280</v>
      </c>
      <c r="R275" s="1571"/>
      <c r="S275" s="1605"/>
      <c r="T275" s="1605"/>
      <c r="U275" s="1606"/>
    </row>
    <row r="276" spans="1:24" ht="21" customHeight="1">
      <c r="A276" s="1574">
        <f t="shared" ref="A276" si="102">IF(X276=0,0,W276)</f>
        <v>0</v>
      </c>
      <c r="B276" s="1575"/>
      <c r="C276" s="1575"/>
      <c r="D276" s="1575"/>
      <c r="E276" s="1576"/>
      <c r="F276" s="1576"/>
      <c r="G276" s="1576"/>
      <c r="H276" s="1544"/>
      <c r="I276" s="1544"/>
      <c r="J276" s="1576"/>
      <c r="K276" s="1576"/>
      <c r="L276" s="1576"/>
      <c r="M276" s="1548"/>
      <c r="N276" s="1549"/>
      <c r="O276" s="1550"/>
      <c r="P276" s="1555"/>
      <c r="Q276" s="1577">
        <f ca="1">IF(X276=0,0,IF(AND(P276='Data Base'!J285,G279&gt;0.5),0,G279*(IF(EXACT(M279,"نفر اول"),INDIRECT(CONCATENATE("'Data Base'!$C",J279)),INDIRECT(CONCATENATE("'Data Base'!$D",J279))))*((100-P279)/100)))</f>
        <v>0</v>
      </c>
      <c r="R276" s="1581">
        <f ca="1">IF(X276=0,0,IF(AND(P276='Data Base'!J285,G280&gt;0.5),0,G280*(IF(EXACT(M280,"نفر اول"),INDIRECT(CONCATENATE("'Data Base'!$C",J280)),INDIRECT(CONCATENATE("'Data Base'!$D",J280))))*((100-P280)/100)))</f>
        <v>0</v>
      </c>
      <c r="S276" s="1584"/>
      <c r="T276" s="1576"/>
      <c r="U276" s="1600"/>
      <c r="W276" s="220">
        <f t="shared" ref="W276" si="103">SUM(W271,X276)</f>
        <v>0</v>
      </c>
      <c r="X276" s="220">
        <f>IF(OR(E276="",P276="",J276="",M276="",D278="",C278="",B278=""),0,1)</f>
        <v>0</v>
      </c>
    </row>
    <row r="277" spans="1:24" ht="21" customHeight="1">
      <c r="A277" s="1574"/>
      <c r="B277" s="553" t="s">
        <v>230</v>
      </c>
      <c r="C277" s="553" t="s">
        <v>231</v>
      </c>
      <c r="D277" s="553" t="s">
        <v>16</v>
      </c>
      <c r="E277" s="1541"/>
      <c r="F277" s="1541"/>
      <c r="G277" s="1541"/>
      <c r="H277" s="1538"/>
      <c r="I277" s="1538"/>
      <c r="J277" s="1541"/>
      <c r="K277" s="1541"/>
      <c r="L277" s="1541"/>
      <c r="M277" s="1548"/>
      <c r="N277" s="1549"/>
      <c r="O277" s="1550"/>
      <c r="P277" s="1555"/>
      <c r="Q277" s="1558"/>
      <c r="R277" s="1598"/>
      <c r="S277" s="1599"/>
      <c r="T277" s="1541"/>
      <c r="U277" s="1601"/>
    </row>
    <row r="278" spans="1:24" ht="21" customHeight="1">
      <c r="A278" s="1574"/>
      <c r="B278" s="562"/>
      <c r="C278" s="562"/>
      <c r="D278" s="562"/>
      <c r="E278" s="1542"/>
      <c r="F278" s="1542"/>
      <c r="G278" s="1542"/>
      <c r="H278" s="1539"/>
      <c r="I278" s="1539"/>
      <c r="J278" s="1542"/>
      <c r="K278" s="1542"/>
      <c r="L278" s="1542"/>
      <c r="M278" s="1548"/>
      <c r="N278" s="1549"/>
      <c r="O278" s="1550"/>
      <c r="P278" s="1555"/>
      <c r="Q278" s="1559"/>
      <c r="R278" s="1579"/>
      <c r="S278" s="1582"/>
      <c r="T278" s="1542"/>
      <c r="U278" s="1602"/>
    </row>
    <row r="279" spans="1:24" ht="21" customHeight="1">
      <c r="A279" s="1588" t="s">
        <v>279</v>
      </c>
      <c r="B279" s="1589"/>
      <c r="C279" s="1589"/>
      <c r="D279" s="1589"/>
      <c r="E279" s="1591" t="s">
        <v>800</v>
      </c>
      <c r="F279" s="1591"/>
      <c r="G279" s="555"/>
      <c r="H279" s="1499" t="s">
        <v>801</v>
      </c>
      <c r="I279" s="1499"/>
      <c r="J279" s="518"/>
      <c r="K279" s="1499" t="s">
        <v>802</v>
      </c>
      <c r="L279" s="1499"/>
      <c r="M279" s="556"/>
      <c r="N279" s="1499" t="s">
        <v>803</v>
      </c>
      <c r="O279" s="1499"/>
      <c r="P279" s="557"/>
      <c r="Q279" s="1570" t="s">
        <v>280</v>
      </c>
      <c r="R279" s="1570"/>
      <c r="S279" s="1568"/>
      <c r="T279" s="1568"/>
      <c r="U279" s="1569"/>
    </row>
    <row r="280" spans="1:24" ht="21" customHeight="1">
      <c r="A280" s="1592" t="s">
        <v>30</v>
      </c>
      <c r="B280" s="1593"/>
      <c r="C280" s="1593"/>
      <c r="D280" s="1608"/>
      <c r="E280" s="1603" t="s">
        <v>800</v>
      </c>
      <c r="F280" s="1604"/>
      <c r="G280" s="558"/>
      <c r="H280" s="1607" t="s">
        <v>801</v>
      </c>
      <c r="I280" s="1607"/>
      <c r="J280" s="559"/>
      <c r="K280" s="1607" t="s">
        <v>802</v>
      </c>
      <c r="L280" s="1607"/>
      <c r="M280" s="560"/>
      <c r="N280" s="1607" t="s">
        <v>803</v>
      </c>
      <c r="O280" s="1607"/>
      <c r="P280" s="561"/>
      <c r="Q280" s="1571" t="s">
        <v>280</v>
      </c>
      <c r="R280" s="1571"/>
      <c r="S280" s="1605"/>
      <c r="T280" s="1605"/>
      <c r="U280" s="1606"/>
    </row>
    <row r="281" spans="1:24" ht="21" customHeight="1">
      <c r="A281" s="1574">
        <f t="shared" ref="A281" si="104">IF(X281=0,0,W281)</f>
        <v>0</v>
      </c>
      <c r="B281" s="1575"/>
      <c r="C281" s="1575"/>
      <c r="D281" s="1575"/>
      <c r="E281" s="1576"/>
      <c r="F281" s="1576"/>
      <c r="G281" s="1576"/>
      <c r="H281" s="1544"/>
      <c r="I281" s="1544"/>
      <c r="J281" s="1576"/>
      <c r="K281" s="1576"/>
      <c r="L281" s="1576"/>
      <c r="M281" s="1548"/>
      <c r="N281" s="1549"/>
      <c r="O281" s="1550"/>
      <c r="P281" s="1555"/>
      <c r="Q281" s="1577">
        <f ca="1">IF(X281=0,0,IF(AND(P281='Data Base'!J290,G284&gt;0.5),0,G284*(IF(EXACT(M284,"نفر اول"),INDIRECT(CONCATENATE("'Data Base'!$C",J284)),INDIRECT(CONCATENATE("'Data Base'!$D",J284))))*((100-P284)/100)))</f>
        <v>0</v>
      </c>
      <c r="R281" s="1581">
        <f ca="1">IF(X281=0,0,IF(AND(P281='Data Base'!J290,G285&gt;0.5),0,G285*(IF(EXACT(M285,"نفر اول"),INDIRECT(CONCATENATE("'Data Base'!$C",J285)),INDIRECT(CONCATENATE("'Data Base'!$D",J285))))*((100-P285)/100)))</f>
        <v>0</v>
      </c>
      <c r="S281" s="1584"/>
      <c r="T281" s="1576"/>
      <c r="U281" s="1600"/>
      <c r="W281" s="220">
        <f t="shared" ref="W281" si="105">SUM(W276,X281)</f>
        <v>0</v>
      </c>
      <c r="X281" s="220">
        <f>IF(OR(E281="",P281="",J281="",M281="",D283="",C283="",B283=""),0,1)</f>
        <v>0</v>
      </c>
    </row>
    <row r="282" spans="1:24" ht="21" customHeight="1">
      <c r="A282" s="1574"/>
      <c r="B282" s="553" t="s">
        <v>230</v>
      </c>
      <c r="C282" s="553" t="s">
        <v>231</v>
      </c>
      <c r="D282" s="553" t="s">
        <v>16</v>
      </c>
      <c r="E282" s="1541"/>
      <c r="F282" s="1541"/>
      <c r="G282" s="1541"/>
      <c r="H282" s="1538"/>
      <c r="I282" s="1538"/>
      <c r="J282" s="1541"/>
      <c r="K282" s="1541"/>
      <c r="L282" s="1541"/>
      <c r="M282" s="1548"/>
      <c r="N282" s="1549"/>
      <c r="O282" s="1550"/>
      <c r="P282" s="1555"/>
      <c r="Q282" s="1558"/>
      <c r="R282" s="1598"/>
      <c r="S282" s="1599"/>
      <c r="T282" s="1541"/>
      <c r="U282" s="1601"/>
    </row>
    <row r="283" spans="1:24" ht="21" customHeight="1">
      <c r="A283" s="1574"/>
      <c r="B283" s="562"/>
      <c r="C283" s="562"/>
      <c r="D283" s="562"/>
      <c r="E283" s="1542"/>
      <c r="F283" s="1542"/>
      <c r="G283" s="1542"/>
      <c r="H283" s="1539"/>
      <c r="I283" s="1539"/>
      <c r="J283" s="1542"/>
      <c r="K283" s="1542"/>
      <c r="L283" s="1542"/>
      <c r="M283" s="1548"/>
      <c r="N283" s="1549"/>
      <c r="O283" s="1550"/>
      <c r="P283" s="1555"/>
      <c r="Q283" s="1559"/>
      <c r="R283" s="1579"/>
      <c r="S283" s="1582"/>
      <c r="T283" s="1542"/>
      <c r="U283" s="1602"/>
    </row>
    <row r="284" spans="1:24" ht="21" customHeight="1">
      <c r="A284" s="1588" t="s">
        <v>279</v>
      </c>
      <c r="B284" s="1589"/>
      <c r="C284" s="1589"/>
      <c r="D284" s="1589"/>
      <c r="E284" s="1591" t="s">
        <v>800</v>
      </c>
      <c r="F284" s="1591"/>
      <c r="G284" s="555"/>
      <c r="H284" s="1499" t="s">
        <v>801</v>
      </c>
      <c r="I284" s="1499"/>
      <c r="J284" s="518"/>
      <c r="K284" s="1499" t="s">
        <v>802</v>
      </c>
      <c r="L284" s="1499"/>
      <c r="M284" s="556"/>
      <c r="N284" s="1499" t="s">
        <v>803</v>
      </c>
      <c r="O284" s="1499"/>
      <c r="P284" s="557"/>
      <c r="Q284" s="1570" t="s">
        <v>280</v>
      </c>
      <c r="R284" s="1570"/>
      <c r="S284" s="1568"/>
      <c r="T284" s="1568"/>
      <c r="U284" s="1569"/>
    </row>
    <row r="285" spans="1:24" ht="21" customHeight="1">
      <c r="A285" s="1592" t="s">
        <v>30</v>
      </c>
      <c r="B285" s="1593"/>
      <c r="C285" s="1593"/>
      <c r="D285" s="1608"/>
      <c r="E285" s="1603" t="s">
        <v>800</v>
      </c>
      <c r="F285" s="1604"/>
      <c r="G285" s="558"/>
      <c r="H285" s="1607" t="s">
        <v>801</v>
      </c>
      <c r="I285" s="1607"/>
      <c r="J285" s="559"/>
      <c r="K285" s="1607" t="s">
        <v>802</v>
      </c>
      <c r="L285" s="1607"/>
      <c r="M285" s="560"/>
      <c r="N285" s="1607" t="s">
        <v>803</v>
      </c>
      <c r="O285" s="1607"/>
      <c r="P285" s="561"/>
      <c r="Q285" s="1571" t="s">
        <v>280</v>
      </c>
      <c r="R285" s="1571"/>
      <c r="S285" s="1605"/>
      <c r="T285" s="1605"/>
      <c r="U285" s="1606"/>
    </row>
    <row r="286" spans="1:24" ht="21" customHeight="1">
      <c r="A286" s="1574">
        <f t="shared" ref="A286" si="106">IF(X286=0,0,W286)</f>
        <v>0</v>
      </c>
      <c r="B286" s="1575"/>
      <c r="C286" s="1575"/>
      <c r="D286" s="1575"/>
      <c r="E286" s="1576"/>
      <c r="F286" s="1576"/>
      <c r="G286" s="1576"/>
      <c r="H286" s="1544"/>
      <c r="I286" s="1544"/>
      <c r="J286" s="1576"/>
      <c r="K286" s="1576"/>
      <c r="L286" s="1576"/>
      <c r="M286" s="1548"/>
      <c r="N286" s="1549"/>
      <c r="O286" s="1550"/>
      <c r="P286" s="1555"/>
      <c r="Q286" s="1577">
        <f ca="1">IF(X286=0,0,IF(AND(P286='Data Base'!J295,G289&gt;0.5),0,G289*(IF(EXACT(M289,"نفر اول"),INDIRECT(CONCATENATE("'Data Base'!$C",J289)),INDIRECT(CONCATENATE("'Data Base'!$D",J289))))*((100-P289)/100)))</f>
        <v>0</v>
      </c>
      <c r="R286" s="1581">
        <f ca="1">IF(X286=0,0,IF(AND(P286='Data Base'!J295,G290&gt;0.5),0,G290*(IF(EXACT(M290,"نفر اول"),INDIRECT(CONCATENATE("'Data Base'!$C",J290)),INDIRECT(CONCATENATE("'Data Base'!$D",J290))))*((100-P290)/100)))</f>
        <v>0</v>
      </c>
      <c r="S286" s="1584"/>
      <c r="T286" s="1576"/>
      <c r="U286" s="1600"/>
      <c r="W286" s="220">
        <f t="shared" ref="W286" si="107">SUM(W281,X286)</f>
        <v>0</v>
      </c>
      <c r="X286" s="220">
        <f>IF(OR(E286="",P286="",J286="",M286="",D288="",C288="",B288=""),0,1)</f>
        <v>0</v>
      </c>
    </row>
    <row r="287" spans="1:24" ht="21" customHeight="1">
      <c r="A287" s="1574"/>
      <c r="B287" s="553" t="s">
        <v>230</v>
      </c>
      <c r="C287" s="553" t="s">
        <v>231</v>
      </c>
      <c r="D287" s="553" t="s">
        <v>16</v>
      </c>
      <c r="E287" s="1541"/>
      <c r="F287" s="1541"/>
      <c r="G287" s="1541"/>
      <c r="H287" s="1538"/>
      <c r="I287" s="1538"/>
      <c r="J287" s="1541"/>
      <c r="K287" s="1541"/>
      <c r="L287" s="1541"/>
      <c r="M287" s="1548"/>
      <c r="N287" s="1549"/>
      <c r="O287" s="1550"/>
      <c r="P287" s="1555"/>
      <c r="Q287" s="1558"/>
      <c r="R287" s="1598"/>
      <c r="S287" s="1599"/>
      <c r="T287" s="1541"/>
      <c r="U287" s="1601"/>
    </row>
    <row r="288" spans="1:24" ht="21" customHeight="1">
      <c r="A288" s="1574"/>
      <c r="B288" s="562"/>
      <c r="C288" s="562"/>
      <c r="D288" s="562"/>
      <c r="E288" s="1542"/>
      <c r="F288" s="1542"/>
      <c r="G288" s="1542"/>
      <c r="H288" s="1539"/>
      <c r="I288" s="1539"/>
      <c r="J288" s="1542"/>
      <c r="K288" s="1542"/>
      <c r="L288" s="1542"/>
      <c r="M288" s="1548"/>
      <c r="N288" s="1549"/>
      <c r="O288" s="1550"/>
      <c r="P288" s="1555"/>
      <c r="Q288" s="1559"/>
      <c r="R288" s="1579"/>
      <c r="S288" s="1582"/>
      <c r="T288" s="1542"/>
      <c r="U288" s="1602"/>
    </row>
    <row r="289" spans="1:24" ht="21" customHeight="1">
      <c r="A289" s="1588" t="s">
        <v>279</v>
      </c>
      <c r="B289" s="1589"/>
      <c r="C289" s="1589"/>
      <c r="D289" s="1589"/>
      <c r="E289" s="1591" t="s">
        <v>800</v>
      </c>
      <c r="F289" s="1591"/>
      <c r="G289" s="555"/>
      <c r="H289" s="1499" t="s">
        <v>801</v>
      </c>
      <c r="I289" s="1499"/>
      <c r="J289" s="518"/>
      <c r="K289" s="1499" t="s">
        <v>802</v>
      </c>
      <c r="L289" s="1499"/>
      <c r="M289" s="556"/>
      <c r="N289" s="1499" t="s">
        <v>803</v>
      </c>
      <c r="O289" s="1499"/>
      <c r="P289" s="557"/>
      <c r="Q289" s="1570" t="s">
        <v>280</v>
      </c>
      <c r="R289" s="1570"/>
      <c r="S289" s="1568"/>
      <c r="T289" s="1568"/>
      <c r="U289" s="1569"/>
    </row>
    <row r="290" spans="1:24" ht="20.25">
      <c r="A290" s="1592" t="s">
        <v>30</v>
      </c>
      <c r="B290" s="1593"/>
      <c r="C290" s="1593"/>
      <c r="D290" s="1608"/>
      <c r="E290" s="1603" t="s">
        <v>800</v>
      </c>
      <c r="F290" s="1604"/>
      <c r="G290" s="558"/>
      <c r="H290" s="1607" t="s">
        <v>801</v>
      </c>
      <c r="I290" s="1607"/>
      <c r="J290" s="559"/>
      <c r="K290" s="1607" t="s">
        <v>802</v>
      </c>
      <c r="L290" s="1607"/>
      <c r="M290" s="560"/>
      <c r="N290" s="1607" t="s">
        <v>803</v>
      </c>
      <c r="O290" s="1607"/>
      <c r="P290" s="561"/>
      <c r="Q290" s="1571" t="s">
        <v>280</v>
      </c>
      <c r="R290" s="1571"/>
      <c r="S290" s="1605"/>
      <c r="T290" s="1605"/>
      <c r="U290" s="1606"/>
    </row>
    <row r="291" spans="1:24" ht="21" customHeight="1">
      <c r="A291" s="1574">
        <f t="shared" ref="A291" si="108">IF(X291=0,0,W291)</f>
        <v>0</v>
      </c>
      <c r="B291" s="1575"/>
      <c r="C291" s="1575"/>
      <c r="D291" s="1575"/>
      <c r="E291" s="1576"/>
      <c r="F291" s="1576"/>
      <c r="G291" s="1576"/>
      <c r="H291" s="1544"/>
      <c r="I291" s="1544"/>
      <c r="J291" s="1576"/>
      <c r="K291" s="1576"/>
      <c r="L291" s="1576"/>
      <c r="M291" s="1548"/>
      <c r="N291" s="1549"/>
      <c r="O291" s="1550"/>
      <c r="P291" s="1555"/>
      <c r="Q291" s="1577">
        <f ca="1">IF(X291=0,0,IF(AND(P291='Data Base'!J300,G294&gt;0.5),0,G294*(IF(EXACT(M294,"نفر اول"),INDIRECT(CONCATENATE("'Data Base'!$C",J294)),INDIRECT(CONCATENATE("'Data Base'!$D",J294))))*((100-P294)/100)))</f>
        <v>0</v>
      </c>
      <c r="R291" s="1581">
        <f ca="1">IF(X291=0,0,IF(AND(P291='Data Base'!J300,G295&gt;0.5),0,G295*(IF(EXACT(M295,"نفر اول"),INDIRECT(CONCATENATE("'Data Base'!$C",J295)),INDIRECT(CONCATENATE("'Data Base'!$D",J295))))*((100-P295)/100)))</f>
        <v>0</v>
      </c>
      <c r="S291" s="1584"/>
      <c r="T291" s="1576"/>
      <c r="U291" s="1600"/>
      <c r="W291" s="220">
        <f t="shared" ref="W291" si="109">SUM(W286,X291)</f>
        <v>0</v>
      </c>
      <c r="X291" s="220">
        <f>IF(OR(E291="",P291="",J291="",M291="",D293="",C293="",B293=""),0,1)</f>
        <v>0</v>
      </c>
    </row>
    <row r="292" spans="1:24" ht="21" customHeight="1">
      <c r="A292" s="1574"/>
      <c r="B292" s="553" t="s">
        <v>230</v>
      </c>
      <c r="C292" s="553" t="s">
        <v>231</v>
      </c>
      <c r="D292" s="553" t="s">
        <v>16</v>
      </c>
      <c r="E292" s="1541"/>
      <c r="F292" s="1541"/>
      <c r="G292" s="1541"/>
      <c r="H292" s="1538"/>
      <c r="I292" s="1538"/>
      <c r="J292" s="1541"/>
      <c r="K292" s="1541"/>
      <c r="L292" s="1541"/>
      <c r="M292" s="1548"/>
      <c r="N292" s="1549"/>
      <c r="O292" s="1550"/>
      <c r="P292" s="1555"/>
      <c r="Q292" s="1558"/>
      <c r="R292" s="1598"/>
      <c r="S292" s="1599"/>
      <c r="T292" s="1541"/>
      <c r="U292" s="1601"/>
    </row>
    <row r="293" spans="1:24" ht="21" customHeight="1">
      <c r="A293" s="1574"/>
      <c r="B293" s="562"/>
      <c r="C293" s="562"/>
      <c r="D293" s="562"/>
      <c r="E293" s="1542"/>
      <c r="F293" s="1542"/>
      <c r="G293" s="1542"/>
      <c r="H293" s="1539"/>
      <c r="I293" s="1539"/>
      <c r="J293" s="1542"/>
      <c r="K293" s="1542"/>
      <c r="L293" s="1542"/>
      <c r="M293" s="1548"/>
      <c r="N293" s="1549"/>
      <c r="O293" s="1550"/>
      <c r="P293" s="1555"/>
      <c r="Q293" s="1559"/>
      <c r="R293" s="1579"/>
      <c r="S293" s="1582"/>
      <c r="T293" s="1542"/>
      <c r="U293" s="1602"/>
    </row>
    <row r="294" spans="1:24" ht="21" customHeight="1">
      <c r="A294" s="1588" t="s">
        <v>279</v>
      </c>
      <c r="B294" s="1589"/>
      <c r="C294" s="1589"/>
      <c r="D294" s="1589"/>
      <c r="E294" s="1591" t="s">
        <v>800</v>
      </c>
      <c r="F294" s="1591"/>
      <c r="G294" s="555"/>
      <c r="H294" s="1499" t="s">
        <v>801</v>
      </c>
      <c r="I294" s="1499"/>
      <c r="J294" s="518"/>
      <c r="K294" s="1499" t="s">
        <v>802</v>
      </c>
      <c r="L294" s="1499"/>
      <c r="M294" s="556"/>
      <c r="N294" s="1499" t="s">
        <v>803</v>
      </c>
      <c r="O294" s="1499"/>
      <c r="P294" s="557"/>
      <c r="Q294" s="1570" t="s">
        <v>280</v>
      </c>
      <c r="R294" s="1570"/>
      <c r="S294" s="1568"/>
      <c r="T294" s="1568"/>
      <c r="U294" s="1569"/>
    </row>
    <row r="295" spans="1:24" ht="21" customHeight="1">
      <c r="A295" s="1592" t="s">
        <v>30</v>
      </c>
      <c r="B295" s="1593"/>
      <c r="C295" s="1593"/>
      <c r="D295" s="1608"/>
      <c r="E295" s="1603" t="s">
        <v>800</v>
      </c>
      <c r="F295" s="1604"/>
      <c r="G295" s="558"/>
      <c r="H295" s="1607" t="s">
        <v>801</v>
      </c>
      <c r="I295" s="1607"/>
      <c r="J295" s="559"/>
      <c r="K295" s="1607" t="s">
        <v>802</v>
      </c>
      <c r="L295" s="1607"/>
      <c r="M295" s="560"/>
      <c r="N295" s="1607" t="s">
        <v>803</v>
      </c>
      <c r="O295" s="1607"/>
      <c r="P295" s="561"/>
      <c r="Q295" s="1571" t="s">
        <v>280</v>
      </c>
      <c r="R295" s="1571"/>
      <c r="S295" s="1605"/>
      <c r="T295" s="1605"/>
      <c r="U295" s="1606"/>
    </row>
    <row r="296" spans="1:24" ht="21" customHeight="1">
      <c r="A296" s="1574">
        <f t="shared" ref="A296" si="110">IF(X296=0,0,W296)</f>
        <v>0</v>
      </c>
      <c r="B296" s="1575"/>
      <c r="C296" s="1575"/>
      <c r="D296" s="1575"/>
      <c r="E296" s="1576"/>
      <c r="F296" s="1576"/>
      <c r="G296" s="1576"/>
      <c r="H296" s="1544"/>
      <c r="I296" s="1544"/>
      <c r="J296" s="1576"/>
      <c r="K296" s="1576"/>
      <c r="L296" s="1576"/>
      <c r="M296" s="1548"/>
      <c r="N296" s="1549"/>
      <c r="O296" s="1550"/>
      <c r="P296" s="1555"/>
      <c r="Q296" s="1577">
        <f ca="1">IF(X296=0,0,IF(AND(P296='Data Base'!J305,G299&gt;0.5),0,G299*(IF(EXACT(M299,"نفر اول"),INDIRECT(CONCATENATE("'Data Base'!$C",J299)),INDIRECT(CONCATENATE("'Data Base'!$D",J299))))*((100-P299)/100)))</f>
        <v>0</v>
      </c>
      <c r="R296" s="1581">
        <f ca="1">IF(X296=0,0,IF(AND(P296='Data Base'!J305,G300&gt;0.5),0,G300*(IF(EXACT(M300,"نفر اول"),INDIRECT(CONCATENATE("'Data Base'!$C",J300)),INDIRECT(CONCATENATE("'Data Base'!$D",J300))))*((100-P300)/100)))</f>
        <v>0</v>
      </c>
      <c r="S296" s="1584"/>
      <c r="T296" s="1576"/>
      <c r="U296" s="1600"/>
      <c r="W296" s="220">
        <f t="shared" ref="W296" si="111">SUM(W291,X296)</f>
        <v>0</v>
      </c>
      <c r="X296" s="220">
        <f>IF(OR(E296="",P296="",J296="",M296="",D298="",C298="",B298=""),0,1)</f>
        <v>0</v>
      </c>
    </row>
    <row r="297" spans="1:24" ht="21" customHeight="1">
      <c r="A297" s="1574"/>
      <c r="B297" s="553" t="s">
        <v>230</v>
      </c>
      <c r="C297" s="553" t="s">
        <v>231</v>
      </c>
      <c r="D297" s="553" t="s">
        <v>16</v>
      </c>
      <c r="E297" s="1541"/>
      <c r="F297" s="1541"/>
      <c r="G297" s="1541"/>
      <c r="H297" s="1538"/>
      <c r="I297" s="1538"/>
      <c r="J297" s="1541"/>
      <c r="K297" s="1541"/>
      <c r="L297" s="1541"/>
      <c r="M297" s="1548"/>
      <c r="N297" s="1549"/>
      <c r="O297" s="1550"/>
      <c r="P297" s="1555"/>
      <c r="Q297" s="1558"/>
      <c r="R297" s="1598"/>
      <c r="S297" s="1599"/>
      <c r="T297" s="1541"/>
      <c r="U297" s="1601"/>
    </row>
    <row r="298" spans="1:24" ht="21" customHeight="1">
      <c r="A298" s="1574"/>
      <c r="B298" s="562"/>
      <c r="C298" s="562"/>
      <c r="D298" s="562"/>
      <c r="E298" s="1542"/>
      <c r="F298" s="1542"/>
      <c r="G298" s="1542"/>
      <c r="H298" s="1539"/>
      <c r="I298" s="1539"/>
      <c r="J298" s="1542"/>
      <c r="K298" s="1542"/>
      <c r="L298" s="1542"/>
      <c r="M298" s="1548"/>
      <c r="N298" s="1549"/>
      <c r="O298" s="1550"/>
      <c r="P298" s="1555"/>
      <c r="Q298" s="1559"/>
      <c r="R298" s="1579"/>
      <c r="S298" s="1582"/>
      <c r="T298" s="1542"/>
      <c r="U298" s="1602"/>
    </row>
    <row r="299" spans="1:24" ht="21" customHeight="1">
      <c r="A299" s="1588" t="s">
        <v>279</v>
      </c>
      <c r="B299" s="1589"/>
      <c r="C299" s="1589"/>
      <c r="D299" s="1589"/>
      <c r="E299" s="1591" t="s">
        <v>800</v>
      </c>
      <c r="F299" s="1591"/>
      <c r="G299" s="555"/>
      <c r="H299" s="1499" t="s">
        <v>801</v>
      </c>
      <c r="I299" s="1499"/>
      <c r="J299" s="518"/>
      <c r="K299" s="1499" t="s">
        <v>802</v>
      </c>
      <c r="L299" s="1499"/>
      <c r="M299" s="556"/>
      <c r="N299" s="1499" t="s">
        <v>803</v>
      </c>
      <c r="O299" s="1499"/>
      <c r="P299" s="557"/>
      <c r="Q299" s="1570" t="s">
        <v>280</v>
      </c>
      <c r="R299" s="1570"/>
      <c r="S299" s="1568"/>
      <c r="T299" s="1568"/>
      <c r="U299" s="1569"/>
    </row>
    <row r="300" spans="1:24" ht="21" customHeight="1">
      <c r="A300" s="1592" t="s">
        <v>30</v>
      </c>
      <c r="B300" s="1593"/>
      <c r="C300" s="1593"/>
      <c r="D300" s="1608"/>
      <c r="E300" s="1603" t="s">
        <v>800</v>
      </c>
      <c r="F300" s="1604"/>
      <c r="G300" s="558"/>
      <c r="H300" s="1607" t="s">
        <v>801</v>
      </c>
      <c r="I300" s="1607"/>
      <c r="J300" s="559"/>
      <c r="K300" s="1607" t="s">
        <v>802</v>
      </c>
      <c r="L300" s="1607"/>
      <c r="M300" s="560"/>
      <c r="N300" s="1607" t="s">
        <v>803</v>
      </c>
      <c r="O300" s="1607"/>
      <c r="P300" s="561"/>
      <c r="Q300" s="1571" t="s">
        <v>280</v>
      </c>
      <c r="R300" s="1571"/>
      <c r="S300" s="1605"/>
      <c r="T300" s="1605"/>
      <c r="U300" s="1606"/>
    </row>
    <row r="301" spans="1:24" ht="21" customHeight="1">
      <c r="A301" s="1574">
        <f t="shared" ref="A301" si="112">IF(X301=0,0,W301)</f>
        <v>0</v>
      </c>
      <c r="B301" s="1575"/>
      <c r="C301" s="1575"/>
      <c r="D301" s="1575"/>
      <c r="E301" s="1576"/>
      <c r="F301" s="1576"/>
      <c r="G301" s="1576"/>
      <c r="H301" s="1544"/>
      <c r="I301" s="1544"/>
      <c r="J301" s="1576"/>
      <c r="K301" s="1576"/>
      <c r="L301" s="1576"/>
      <c r="M301" s="1548"/>
      <c r="N301" s="1549"/>
      <c r="O301" s="1550"/>
      <c r="P301" s="1555"/>
      <c r="Q301" s="1577">
        <f ca="1">IF(X301=0,0,IF(AND(P301='Data Base'!J310,G304&gt;0.5),0,G304*(IF(EXACT(M304,"نفر اول"),INDIRECT(CONCATENATE("'Data Base'!$C",J304)),INDIRECT(CONCATENATE("'Data Base'!$D",J304))))*((100-P304)/100)))</f>
        <v>0</v>
      </c>
      <c r="R301" s="1581">
        <f ca="1">IF(X301=0,0,IF(AND(P301='Data Base'!J310,G305&gt;0.5),0,G305*(IF(EXACT(M305,"نفر اول"),INDIRECT(CONCATENATE("'Data Base'!$C",J305)),INDIRECT(CONCATENATE("'Data Base'!$D",J305))))*((100-P305)/100)))</f>
        <v>0</v>
      </c>
      <c r="S301" s="1584"/>
      <c r="T301" s="1576"/>
      <c r="U301" s="1600"/>
      <c r="W301" s="220">
        <f t="shared" ref="W301" si="113">SUM(W296,X301)</f>
        <v>0</v>
      </c>
      <c r="X301" s="220">
        <f>IF(OR(E301="",P301="",J301="",M301="",D303="",C303="",B303=""),0,1)</f>
        <v>0</v>
      </c>
    </row>
    <row r="302" spans="1:24" ht="21" customHeight="1">
      <c r="A302" s="1574"/>
      <c r="B302" s="553" t="s">
        <v>230</v>
      </c>
      <c r="C302" s="553" t="s">
        <v>231</v>
      </c>
      <c r="D302" s="553" t="s">
        <v>16</v>
      </c>
      <c r="E302" s="1541"/>
      <c r="F302" s="1541"/>
      <c r="G302" s="1541"/>
      <c r="H302" s="1538"/>
      <c r="I302" s="1538"/>
      <c r="J302" s="1541"/>
      <c r="K302" s="1541"/>
      <c r="L302" s="1541"/>
      <c r="M302" s="1548"/>
      <c r="N302" s="1549"/>
      <c r="O302" s="1550"/>
      <c r="P302" s="1555"/>
      <c r="Q302" s="1558"/>
      <c r="R302" s="1598"/>
      <c r="S302" s="1599"/>
      <c r="T302" s="1541"/>
      <c r="U302" s="1601"/>
    </row>
    <row r="303" spans="1:24" ht="21" customHeight="1">
      <c r="A303" s="1574"/>
      <c r="B303" s="562"/>
      <c r="C303" s="562"/>
      <c r="D303" s="562"/>
      <c r="E303" s="1542"/>
      <c r="F303" s="1542"/>
      <c r="G303" s="1542"/>
      <c r="H303" s="1539"/>
      <c r="I303" s="1539"/>
      <c r="J303" s="1542"/>
      <c r="K303" s="1542"/>
      <c r="L303" s="1542"/>
      <c r="M303" s="1548"/>
      <c r="N303" s="1549"/>
      <c r="O303" s="1550"/>
      <c r="P303" s="1555"/>
      <c r="Q303" s="1559"/>
      <c r="R303" s="1579"/>
      <c r="S303" s="1582"/>
      <c r="T303" s="1542"/>
      <c r="U303" s="1602"/>
    </row>
    <row r="304" spans="1:24" ht="21" customHeight="1">
      <c r="A304" s="1588" t="s">
        <v>279</v>
      </c>
      <c r="B304" s="1589"/>
      <c r="C304" s="1589"/>
      <c r="D304" s="1589"/>
      <c r="E304" s="1591" t="s">
        <v>800</v>
      </c>
      <c r="F304" s="1591"/>
      <c r="G304" s="555"/>
      <c r="H304" s="1499" t="s">
        <v>801</v>
      </c>
      <c r="I304" s="1499"/>
      <c r="J304" s="518"/>
      <c r="K304" s="1499" t="s">
        <v>802</v>
      </c>
      <c r="L304" s="1499"/>
      <c r="M304" s="556"/>
      <c r="N304" s="1499" t="s">
        <v>803</v>
      </c>
      <c r="O304" s="1499"/>
      <c r="P304" s="557"/>
      <c r="Q304" s="1570" t="s">
        <v>280</v>
      </c>
      <c r="R304" s="1570"/>
      <c r="S304" s="1568"/>
      <c r="T304" s="1568"/>
      <c r="U304" s="1569"/>
    </row>
    <row r="305" spans="1:24" ht="21" customHeight="1">
      <c r="A305" s="1592" t="s">
        <v>30</v>
      </c>
      <c r="B305" s="1593"/>
      <c r="C305" s="1593"/>
      <c r="D305" s="1608"/>
      <c r="E305" s="1603" t="s">
        <v>800</v>
      </c>
      <c r="F305" s="1604"/>
      <c r="G305" s="558"/>
      <c r="H305" s="1607" t="s">
        <v>801</v>
      </c>
      <c r="I305" s="1607"/>
      <c r="J305" s="559"/>
      <c r="K305" s="1607" t="s">
        <v>802</v>
      </c>
      <c r="L305" s="1607"/>
      <c r="M305" s="560"/>
      <c r="N305" s="1607" t="s">
        <v>803</v>
      </c>
      <c r="O305" s="1607"/>
      <c r="P305" s="561"/>
      <c r="Q305" s="1571" t="s">
        <v>280</v>
      </c>
      <c r="R305" s="1571"/>
      <c r="S305" s="1605"/>
      <c r="T305" s="1605"/>
      <c r="U305" s="1606"/>
    </row>
    <row r="306" spans="1:24" ht="21" customHeight="1">
      <c r="A306" s="1574">
        <f t="shared" ref="A306" si="114">IF(X306=0,0,W306)</f>
        <v>0</v>
      </c>
      <c r="B306" s="1575"/>
      <c r="C306" s="1575"/>
      <c r="D306" s="1575"/>
      <c r="E306" s="1576"/>
      <c r="F306" s="1576"/>
      <c r="G306" s="1576"/>
      <c r="H306" s="1544"/>
      <c r="I306" s="1544"/>
      <c r="J306" s="1576"/>
      <c r="K306" s="1576"/>
      <c r="L306" s="1576"/>
      <c r="M306" s="1548"/>
      <c r="N306" s="1549"/>
      <c r="O306" s="1550"/>
      <c r="P306" s="1555"/>
      <c r="Q306" s="1577">
        <f ca="1">IF(X306=0,0,IF(AND(P306='Data Base'!J315,G309&gt;0.5),0,G309*(IF(EXACT(M309,"نفر اول"),INDIRECT(CONCATENATE("'Data Base'!$C",J309)),INDIRECT(CONCATENATE("'Data Base'!$D",J309))))*((100-P309)/100)))</f>
        <v>0</v>
      </c>
      <c r="R306" s="1581">
        <f ca="1">IF(X306=0,0,IF(AND(P306='Data Base'!J315,G310&gt;0.5),0,G310*(IF(EXACT(M310,"نفر اول"),INDIRECT(CONCATENATE("'Data Base'!$C",J310)),INDIRECT(CONCATENATE("'Data Base'!$D",J310))))*((100-P310)/100)))</f>
        <v>0</v>
      </c>
      <c r="S306" s="1584"/>
      <c r="T306" s="1576"/>
      <c r="U306" s="1600"/>
      <c r="W306" s="220">
        <f t="shared" ref="W306" si="115">SUM(W301,X306)</f>
        <v>0</v>
      </c>
      <c r="X306" s="220">
        <f>IF(OR(E306="",P306="",J306="",M306="",D308="",C308="",B308=""),0,1)</f>
        <v>0</v>
      </c>
    </row>
    <row r="307" spans="1:24" ht="21" customHeight="1">
      <c r="A307" s="1574"/>
      <c r="B307" s="553" t="s">
        <v>230</v>
      </c>
      <c r="C307" s="553" t="s">
        <v>231</v>
      </c>
      <c r="D307" s="553" t="s">
        <v>16</v>
      </c>
      <c r="E307" s="1541"/>
      <c r="F307" s="1541"/>
      <c r="G307" s="1541"/>
      <c r="H307" s="1538"/>
      <c r="I307" s="1538"/>
      <c r="J307" s="1541"/>
      <c r="K307" s="1541"/>
      <c r="L307" s="1541"/>
      <c r="M307" s="1548"/>
      <c r="N307" s="1549"/>
      <c r="O307" s="1550"/>
      <c r="P307" s="1555"/>
      <c r="Q307" s="1558"/>
      <c r="R307" s="1598"/>
      <c r="S307" s="1599"/>
      <c r="T307" s="1541"/>
      <c r="U307" s="1601"/>
    </row>
    <row r="308" spans="1:24" ht="21" customHeight="1">
      <c r="A308" s="1574"/>
      <c r="B308" s="562"/>
      <c r="C308" s="562"/>
      <c r="D308" s="562"/>
      <c r="E308" s="1542"/>
      <c r="F308" s="1542"/>
      <c r="G308" s="1542"/>
      <c r="H308" s="1539"/>
      <c r="I308" s="1539"/>
      <c r="J308" s="1542"/>
      <c r="K308" s="1542"/>
      <c r="L308" s="1542"/>
      <c r="M308" s="1548"/>
      <c r="N308" s="1549"/>
      <c r="O308" s="1550"/>
      <c r="P308" s="1555"/>
      <c r="Q308" s="1559"/>
      <c r="R308" s="1579"/>
      <c r="S308" s="1582"/>
      <c r="T308" s="1542"/>
      <c r="U308" s="1602"/>
    </row>
    <row r="309" spans="1:24" ht="21" customHeight="1">
      <c r="A309" s="1588" t="s">
        <v>279</v>
      </c>
      <c r="B309" s="1589"/>
      <c r="C309" s="1589"/>
      <c r="D309" s="1589"/>
      <c r="E309" s="1591" t="s">
        <v>800</v>
      </c>
      <c r="F309" s="1591"/>
      <c r="G309" s="555"/>
      <c r="H309" s="1499" t="s">
        <v>801</v>
      </c>
      <c r="I309" s="1499"/>
      <c r="J309" s="518"/>
      <c r="K309" s="1499" t="s">
        <v>802</v>
      </c>
      <c r="L309" s="1499"/>
      <c r="M309" s="556"/>
      <c r="N309" s="1499" t="s">
        <v>803</v>
      </c>
      <c r="O309" s="1499"/>
      <c r="P309" s="557"/>
      <c r="Q309" s="1570" t="s">
        <v>280</v>
      </c>
      <c r="R309" s="1570"/>
      <c r="S309" s="1568"/>
      <c r="T309" s="1568"/>
      <c r="U309" s="1569"/>
    </row>
    <row r="310" spans="1:24" ht="21" customHeight="1">
      <c r="A310" s="1592" t="s">
        <v>30</v>
      </c>
      <c r="B310" s="1593"/>
      <c r="C310" s="1593"/>
      <c r="D310" s="1608"/>
      <c r="E310" s="1603" t="s">
        <v>800</v>
      </c>
      <c r="F310" s="1604"/>
      <c r="G310" s="558"/>
      <c r="H310" s="1607" t="s">
        <v>801</v>
      </c>
      <c r="I310" s="1607"/>
      <c r="J310" s="559"/>
      <c r="K310" s="1607" t="s">
        <v>802</v>
      </c>
      <c r="L310" s="1607"/>
      <c r="M310" s="560"/>
      <c r="N310" s="1607" t="s">
        <v>803</v>
      </c>
      <c r="O310" s="1607"/>
      <c r="P310" s="561"/>
      <c r="Q310" s="1571" t="s">
        <v>280</v>
      </c>
      <c r="R310" s="1571"/>
      <c r="S310" s="1605"/>
      <c r="T310" s="1605"/>
      <c r="U310" s="1606"/>
    </row>
    <row r="311" spans="1:24" ht="21" customHeight="1">
      <c r="A311" s="1574">
        <f t="shared" ref="A311" si="116">IF(X311=0,0,W311)</f>
        <v>0</v>
      </c>
      <c r="B311" s="1575"/>
      <c r="C311" s="1575"/>
      <c r="D311" s="1575"/>
      <c r="E311" s="1576"/>
      <c r="F311" s="1576"/>
      <c r="G311" s="1576"/>
      <c r="H311" s="1544"/>
      <c r="I311" s="1544"/>
      <c r="J311" s="1576"/>
      <c r="K311" s="1576"/>
      <c r="L311" s="1576"/>
      <c r="M311" s="1548"/>
      <c r="N311" s="1549"/>
      <c r="O311" s="1550"/>
      <c r="P311" s="1555"/>
      <c r="Q311" s="1577">
        <f ca="1">IF(X311=0,0,IF(AND(P311='Data Base'!J320,G314&gt;0.5),0,G314*(IF(EXACT(M314,"نفر اول"),INDIRECT(CONCATENATE("'Data Base'!$C",J314)),INDIRECT(CONCATENATE("'Data Base'!$D",J314))))*((100-P314)/100)))</f>
        <v>0</v>
      </c>
      <c r="R311" s="1581">
        <f ca="1">IF(X311=0,0,IF(AND(P311='Data Base'!J320,G315&gt;0.5),0,G315*(IF(EXACT(M315,"نفر اول"),INDIRECT(CONCATENATE("'Data Base'!$C",J315)),INDIRECT(CONCATENATE("'Data Base'!$D",J315))))*((100-P315)/100)))</f>
        <v>0</v>
      </c>
      <c r="S311" s="1584"/>
      <c r="T311" s="1576"/>
      <c r="U311" s="1600"/>
      <c r="W311" s="220">
        <f t="shared" ref="W311" si="117">SUM(W306,X311)</f>
        <v>0</v>
      </c>
      <c r="X311" s="220">
        <f>IF(OR(E311="",P311="",J311="",M311="",D313="",C313="",B313=""),0,1)</f>
        <v>0</v>
      </c>
    </row>
    <row r="312" spans="1:24" ht="21" customHeight="1">
      <c r="A312" s="1574"/>
      <c r="B312" s="553" t="s">
        <v>230</v>
      </c>
      <c r="C312" s="553" t="s">
        <v>231</v>
      </c>
      <c r="D312" s="553" t="s">
        <v>16</v>
      </c>
      <c r="E312" s="1541"/>
      <c r="F312" s="1541"/>
      <c r="G312" s="1541"/>
      <c r="H312" s="1538"/>
      <c r="I312" s="1538"/>
      <c r="J312" s="1541"/>
      <c r="K312" s="1541"/>
      <c r="L312" s="1541"/>
      <c r="M312" s="1548"/>
      <c r="N312" s="1549"/>
      <c r="O312" s="1550"/>
      <c r="P312" s="1555"/>
      <c r="Q312" s="1558"/>
      <c r="R312" s="1598"/>
      <c r="S312" s="1599"/>
      <c r="T312" s="1541"/>
      <c r="U312" s="1601"/>
    </row>
    <row r="313" spans="1:24" ht="21" customHeight="1">
      <c r="A313" s="1574"/>
      <c r="B313" s="562"/>
      <c r="C313" s="562"/>
      <c r="D313" s="562"/>
      <c r="E313" s="1542"/>
      <c r="F313" s="1542"/>
      <c r="G313" s="1542"/>
      <c r="H313" s="1539"/>
      <c r="I313" s="1539"/>
      <c r="J313" s="1542"/>
      <c r="K313" s="1542"/>
      <c r="L313" s="1542"/>
      <c r="M313" s="1548"/>
      <c r="N313" s="1549"/>
      <c r="O313" s="1550"/>
      <c r="P313" s="1555"/>
      <c r="Q313" s="1559"/>
      <c r="R313" s="1579"/>
      <c r="S313" s="1582"/>
      <c r="T313" s="1542"/>
      <c r="U313" s="1602"/>
    </row>
    <row r="314" spans="1:24" ht="21" customHeight="1">
      <c r="A314" s="1588" t="s">
        <v>279</v>
      </c>
      <c r="B314" s="1589"/>
      <c r="C314" s="1589"/>
      <c r="D314" s="1589"/>
      <c r="E314" s="1591" t="s">
        <v>800</v>
      </c>
      <c r="F314" s="1591"/>
      <c r="G314" s="555"/>
      <c r="H314" s="1499" t="s">
        <v>801</v>
      </c>
      <c r="I314" s="1499"/>
      <c r="J314" s="518"/>
      <c r="K314" s="1499" t="s">
        <v>802</v>
      </c>
      <c r="L314" s="1499"/>
      <c r="M314" s="556"/>
      <c r="N314" s="1499" t="s">
        <v>803</v>
      </c>
      <c r="O314" s="1499"/>
      <c r="P314" s="557"/>
      <c r="Q314" s="1570" t="s">
        <v>280</v>
      </c>
      <c r="R314" s="1570"/>
      <c r="S314" s="1568"/>
      <c r="T314" s="1568"/>
      <c r="U314" s="1569"/>
    </row>
    <row r="315" spans="1:24" ht="21" customHeight="1">
      <c r="A315" s="1592" t="s">
        <v>30</v>
      </c>
      <c r="B315" s="1593"/>
      <c r="C315" s="1593"/>
      <c r="D315" s="1608"/>
      <c r="E315" s="1603" t="s">
        <v>800</v>
      </c>
      <c r="F315" s="1604"/>
      <c r="G315" s="558"/>
      <c r="H315" s="1607" t="s">
        <v>801</v>
      </c>
      <c r="I315" s="1607"/>
      <c r="J315" s="559"/>
      <c r="K315" s="1607" t="s">
        <v>802</v>
      </c>
      <c r="L315" s="1607"/>
      <c r="M315" s="560"/>
      <c r="N315" s="1607" t="s">
        <v>803</v>
      </c>
      <c r="O315" s="1607"/>
      <c r="P315" s="561"/>
      <c r="Q315" s="1571" t="s">
        <v>280</v>
      </c>
      <c r="R315" s="1571"/>
      <c r="S315" s="1605"/>
      <c r="T315" s="1605"/>
      <c r="U315" s="1606"/>
    </row>
    <row r="316" spans="1:24" ht="21" customHeight="1">
      <c r="A316" s="1574">
        <f t="shared" ref="A316" si="118">IF(X316=0,0,W316)</f>
        <v>0</v>
      </c>
      <c r="B316" s="1575"/>
      <c r="C316" s="1575"/>
      <c r="D316" s="1575"/>
      <c r="E316" s="1576"/>
      <c r="F316" s="1576"/>
      <c r="G316" s="1576"/>
      <c r="H316" s="1544"/>
      <c r="I316" s="1544"/>
      <c r="J316" s="1576"/>
      <c r="K316" s="1576"/>
      <c r="L316" s="1576"/>
      <c r="M316" s="1548"/>
      <c r="N316" s="1549"/>
      <c r="O316" s="1550"/>
      <c r="P316" s="1555"/>
      <c r="Q316" s="1577">
        <f ca="1">IF(X316=0,0,IF(AND(P316='Data Base'!J325,G319&gt;0.5),0,G319*(IF(EXACT(M319,"نفر اول"),INDIRECT(CONCATENATE("'Data Base'!$C",J319)),INDIRECT(CONCATENATE("'Data Base'!$D",J319))))*((100-P319)/100)))</f>
        <v>0</v>
      </c>
      <c r="R316" s="1581">
        <f ca="1">IF(X316=0,0,IF(AND(P316='Data Base'!J325,G320&gt;0.5),0,G320*(IF(EXACT(M320,"نفر اول"),INDIRECT(CONCATENATE("'Data Base'!$C",J320)),INDIRECT(CONCATENATE("'Data Base'!$D",J320))))*((100-P320)/100)))</f>
        <v>0</v>
      </c>
      <c r="S316" s="1584"/>
      <c r="T316" s="1576"/>
      <c r="U316" s="1600"/>
      <c r="W316" s="220">
        <f t="shared" ref="W316" si="119">SUM(W311,X316)</f>
        <v>0</v>
      </c>
      <c r="X316" s="220">
        <f>IF(OR(E316="",P316="",J316="",M316="",D318="",C318="",B318=""),0,1)</f>
        <v>0</v>
      </c>
    </row>
    <row r="317" spans="1:24" ht="21" customHeight="1">
      <c r="A317" s="1574"/>
      <c r="B317" s="553" t="s">
        <v>230</v>
      </c>
      <c r="C317" s="553" t="s">
        <v>231</v>
      </c>
      <c r="D317" s="553" t="s">
        <v>16</v>
      </c>
      <c r="E317" s="1541"/>
      <c r="F317" s="1541"/>
      <c r="G317" s="1541"/>
      <c r="H317" s="1538"/>
      <c r="I317" s="1538"/>
      <c r="J317" s="1541"/>
      <c r="K317" s="1541"/>
      <c r="L317" s="1541"/>
      <c r="M317" s="1548"/>
      <c r="N317" s="1549"/>
      <c r="O317" s="1550"/>
      <c r="P317" s="1555"/>
      <c r="Q317" s="1558"/>
      <c r="R317" s="1598"/>
      <c r="S317" s="1599"/>
      <c r="T317" s="1541"/>
      <c r="U317" s="1601"/>
    </row>
    <row r="318" spans="1:24" ht="21" customHeight="1">
      <c r="A318" s="1574"/>
      <c r="B318" s="562"/>
      <c r="C318" s="562"/>
      <c r="D318" s="562"/>
      <c r="E318" s="1542"/>
      <c r="F318" s="1542"/>
      <c r="G318" s="1542"/>
      <c r="H318" s="1539"/>
      <c r="I318" s="1539"/>
      <c r="J318" s="1542"/>
      <c r="K318" s="1542"/>
      <c r="L318" s="1542"/>
      <c r="M318" s="1548"/>
      <c r="N318" s="1549"/>
      <c r="O318" s="1550"/>
      <c r="P318" s="1555"/>
      <c r="Q318" s="1559"/>
      <c r="R318" s="1579"/>
      <c r="S318" s="1582"/>
      <c r="T318" s="1542"/>
      <c r="U318" s="1602"/>
    </row>
    <row r="319" spans="1:24" ht="21" customHeight="1">
      <c r="A319" s="1588" t="s">
        <v>279</v>
      </c>
      <c r="B319" s="1589"/>
      <c r="C319" s="1589"/>
      <c r="D319" s="1589"/>
      <c r="E319" s="1591" t="s">
        <v>800</v>
      </c>
      <c r="F319" s="1591"/>
      <c r="G319" s="555"/>
      <c r="H319" s="1499" t="s">
        <v>801</v>
      </c>
      <c r="I319" s="1499"/>
      <c r="J319" s="518"/>
      <c r="K319" s="1499" t="s">
        <v>802</v>
      </c>
      <c r="L319" s="1499"/>
      <c r="M319" s="556"/>
      <c r="N319" s="1499" t="s">
        <v>803</v>
      </c>
      <c r="O319" s="1499"/>
      <c r="P319" s="557"/>
      <c r="Q319" s="1570" t="s">
        <v>280</v>
      </c>
      <c r="R319" s="1570"/>
      <c r="S319" s="1568"/>
      <c r="T319" s="1568"/>
      <c r="U319" s="1569"/>
    </row>
    <row r="320" spans="1:24" ht="21" customHeight="1">
      <c r="A320" s="1592" t="s">
        <v>30</v>
      </c>
      <c r="B320" s="1593"/>
      <c r="C320" s="1593"/>
      <c r="D320" s="1608"/>
      <c r="E320" s="1603" t="s">
        <v>800</v>
      </c>
      <c r="F320" s="1604"/>
      <c r="G320" s="558"/>
      <c r="H320" s="1607" t="s">
        <v>801</v>
      </c>
      <c r="I320" s="1607"/>
      <c r="J320" s="559"/>
      <c r="K320" s="1607" t="s">
        <v>802</v>
      </c>
      <c r="L320" s="1607"/>
      <c r="M320" s="560"/>
      <c r="N320" s="1607" t="s">
        <v>803</v>
      </c>
      <c r="O320" s="1607"/>
      <c r="P320" s="561"/>
      <c r="Q320" s="1571" t="s">
        <v>280</v>
      </c>
      <c r="R320" s="1571"/>
      <c r="S320" s="1605"/>
      <c r="T320" s="1605"/>
      <c r="U320" s="1606"/>
    </row>
    <row r="321" spans="1:24" ht="21" customHeight="1">
      <c r="A321" s="1574">
        <f t="shared" ref="A321" si="120">IF(X321=0,0,W321)</f>
        <v>0</v>
      </c>
      <c r="B321" s="1575"/>
      <c r="C321" s="1575"/>
      <c r="D321" s="1575"/>
      <c r="E321" s="1576"/>
      <c r="F321" s="1576"/>
      <c r="G321" s="1576"/>
      <c r="H321" s="1544"/>
      <c r="I321" s="1544"/>
      <c r="J321" s="1576"/>
      <c r="K321" s="1576"/>
      <c r="L321" s="1576"/>
      <c r="M321" s="1548"/>
      <c r="N321" s="1549"/>
      <c r="O321" s="1550"/>
      <c r="P321" s="1555"/>
      <c r="Q321" s="1577">
        <f ca="1">IF(X321=0,0,IF(AND(P321='Data Base'!J330,G324&gt;0.5),0,G324*(IF(EXACT(M324,"نفر اول"),INDIRECT(CONCATENATE("'Data Base'!$C",J324)),INDIRECT(CONCATENATE("'Data Base'!$D",J324))))*((100-P324)/100)))</f>
        <v>0</v>
      </c>
      <c r="R321" s="1581">
        <f ca="1">IF(X321=0,0,IF(AND(P321='Data Base'!J330,G325&gt;0.5),0,G325*(IF(EXACT(M325,"نفر اول"),INDIRECT(CONCATENATE("'Data Base'!$C",J325)),INDIRECT(CONCATENATE("'Data Base'!$D",J325))))*((100-P325)/100)))</f>
        <v>0</v>
      </c>
      <c r="S321" s="1584"/>
      <c r="T321" s="1576"/>
      <c r="U321" s="1600"/>
      <c r="W321" s="220">
        <f t="shared" ref="W321" si="121">SUM(W316,X321)</f>
        <v>0</v>
      </c>
      <c r="X321" s="220">
        <f>IF(OR(E321="",P321="",J321="",M321="",D323="",C323="",B323=""),0,1)</f>
        <v>0</v>
      </c>
    </row>
    <row r="322" spans="1:24" ht="21" customHeight="1">
      <c r="A322" s="1574"/>
      <c r="B322" s="553" t="s">
        <v>230</v>
      </c>
      <c r="C322" s="553" t="s">
        <v>231</v>
      </c>
      <c r="D322" s="553" t="s">
        <v>16</v>
      </c>
      <c r="E322" s="1541"/>
      <c r="F322" s="1541"/>
      <c r="G322" s="1541"/>
      <c r="H322" s="1538"/>
      <c r="I322" s="1538"/>
      <c r="J322" s="1541"/>
      <c r="K322" s="1541"/>
      <c r="L322" s="1541"/>
      <c r="M322" s="1548"/>
      <c r="N322" s="1549"/>
      <c r="O322" s="1550"/>
      <c r="P322" s="1555"/>
      <c r="Q322" s="1558"/>
      <c r="R322" s="1598"/>
      <c r="S322" s="1599"/>
      <c r="T322" s="1541"/>
      <c r="U322" s="1601"/>
    </row>
    <row r="323" spans="1:24" ht="21" customHeight="1">
      <c r="A323" s="1574"/>
      <c r="B323" s="562"/>
      <c r="C323" s="562"/>
      <c r="D323" s="562"/>
      <c r="E323" s="1542"/>
      <c r="F323" s="1542"/>
      <c r="G323" s="1542"/>
      <c r="H323" s="1539"/>
      <c r="I323" s="1539"/>
      <c r="J323" s="1542"/>
      <c r="K323" s="1542"/>
      <c r="L323" s="1542"/>
      <c r="M323" s="1548"/>
      <c r="N323" s="1549"/>
      <c r="O323" s="1550"/>
      <c r="P323" s="1555"/>
      <c r="Q323" s="1559"/>
      <c r="R323" s="1579"/>
      <c r="S323" s="1582"/>
      <c r="T323" s="1542"/>
      <c r="U323" s="1602"/>
    </row>
    <row r="324" spans="1:24" ht="21" customHeight="1">
      <c r="A324" s="1588" t="s">
        <v>279</v>
      </c>
      <c r="B324" s="1589"/>
      <c r="C324" s="1589"/>
      <c r="D324" s="1589"/>
      <c r="E324" s="1591" t="s">
        <v>800</v>
      </c>
      <c r="F324" s="1591"/>
      <c r="G324" s="555"/>
      <c r="H324" s="1499" t="s">
        <v>801</v>
      </c>
      <c r="I324" s="1499"/>
      <c r="J324" s="518"/>
      <c r="K324" s="1499" t="s">
        <v>802</v>
      </c>
      <c r="L324" s="1499"/>
      <c r="M324" s="556"/>
      <c r="N324" s="1499" t="s">
        <v>803</v>
      </c>
      <c r="O324" s="1499"/>
      <c r="P324" s="557"/>
      <c r="Q324" s="1570" t="s">
        <v>280</v>
      </c>
      <c r="R324" s="1570"/>
      <c r="S324" s="1568"/>
      <c r="T324" s="1568"/>
      <c r="U324" s="1569"/>
    </row>
    <row r="325" spans="1:24" ht="21" customHeight="1">
      <c r="A325" s="1592" t="s">
        <v>30</v>
      </c>
      <c r="B325" s="1593"/>
      <c r="C325" s="1593"/>
      <c r="D325" s="1608"/>
      <c r="E325" s="1603" t="s">
        <v>800</v>
      </c>
      <c r="F325" s="1604"/>
      <c r="G325" s="558"/>
      <c r="H325" s="1607" t="s">
        <v>801</v>
      </c>
      <c r="I325" s="1607"/>
      <c r="J325" s="559"/>
      <c r="K325" s="1607" t="s">
        <v>802</v>
      </c>
      <c r="L325" s="1607"/>
      <c r="M325" s="560"/>
      <c r="N325" s="1607" t="s">
        <v>803</v>
      </c>
      <c r="O325" s="1607"/>
      <c r="P325" s="561"/>
      <c r="Q325" s="1571" t="s">
        <v>280</v>
      </c>
      <c r="R325" s="1571"/>
      <c r="S325" s="1605"/>
      <c r="T325" s="1605"/>
      <c r="U325" s="1606"/>
    </row>
    <row r="326" spans="1:24" ht="21" customHeight="1">
      <c r="A326" s="1574">
        <f t="shared" ref="A326" si="122">IF(X326=0,0,W326)</f>
        <v>0</v>
      </c>
      <c r="B326" s="1575"/>
      <c r="C326" s="1575"/>
      <c r="D326" s="1575"/>
      <c r="E326" s="1576"/>
      <c r="F326" s="1576"/>
      <c r="G326" s="1576"/>
      <c r="H326" s="1544"/>
      <c r="I326" s="1544"/>
      <c r="J326" s="1576"/>
      <c r="K326" s="1576"/>
      <c r="L326" s="1576"/>
      <c r="M326" s="1548"/>
      <c r="N326" s="1549"/>
      <c r="O326" s="1550"/>
      <c r="P326" s="1555"/>
      <c r="Q326" s="1577">
        <f ca="1">IF(X326=0,0,IF(AND(P326='Data Base'!J335,G329&gt;0.5),0,G329*(IF(EXACT(M329,"نفر اول"),INDIRECT(CONCATENATE("'Data Base'!$C",J329)),INDIRECT(CONCATENATE("'Data Base'!$D",J329))))*((100-P329)/100)))</f>
        <v>0</v>
      </c>
      <c r="R326" s="1581">
        <f ca="1">IF(X326=0,0,IF(AND(P326='Data Base'!J335,G330&gt;0.5),0,G330*(IF(EXACT(M330,"نفر اول"),INDIRECT(CONCATENATE("'Data Base'!$C",J330)),INDIRECT(CONCATENATE("'Data Base'!$D",J330))))*((100-P330)/100)))</f>
        <v>0</v>
      </c>
      <c r="S326" s="1584"/>
      <c r="T326" s="1576"/>
      <c r="U326" s="1600"/>
      <c r="W326" s="220">
        <f t="shared" ref="W326" si="123">SUM(W321,X326)</f>
        <v>0</v>
      </c>
      <c r="X326" s="220">
        <f>IF(OR(E326="",P326="",J326="",M326="",D328="",C328="",B328=""),0,1)</f>
        <v>0</v>
      </c>
    </row>
    <row r="327" spans="1:24" ht="21" customHeight="1">
      <c r="A327" s="1574"/>
      <c r="B327" s="553" t="s">
        <v>230</v>
      </c>
      <c r="C327" s="553" t="s">
        <v>231</v>
      </c>
      <c r="D327" s="553" t="s">
        <v>16</v>
      </c>
      <c r="E327" s="1541"/>
      <c r="F327" s="1541"/>
      <c r="G327" s="1541"/>
      <c r="H327" s="1538"/>
      <c r="I327" s="1538"/>
      <c r="J327" s="1541"/>
      <c r="K327" s="1541"/>
      <c r="L327" s="1541"/>
      <c r="M327" s="1548"/>
      <c r="N327" s="1549"/>
      <c r="O327" s="1550"/>
      <c r="P327" s="1555"/>
      <c r="Q327" s="1558"/>
      <c r="R327" s="1598"/>
      <c r="S327" s="1599"/>
      <c r="T327" s="1541"/>
      <c r="U327" s="1601"/>
    </row>
    <row r="328" spans="1:24" ht="21" customHeight="1">
      <c r="A328" s="1574"/>
      <c r="B328" s="562"/>
      <c r="C328" s="562"/>
      <c r="D328" s="562"/>
      <c r="E328" s="1542"/>
      <c r="F328" s="1542"/>
      <c r="G328" s="1542"/>
      <c r="H328" s="1539"/>
      <c r="I328" s="1539"/>
      <c r="J328" s="1542"/>
      <c r="K328" s="1542"/>
      <c r="L328" s="1542"/>
      <c r="M328" s="1548"/>
      <c r="N328" s="1549"/>
      <c r="O328" s="1550"/>
      <c r="P328" s="1555"/>
      <c r="Q328" s="1559"/>
      <c r="R328" s="1579"/>
      <c r="S328" s="1582"/>
      <c r="T328" s="1542"/>
      <c r="U328" s="1602"/>
    </row>
    <row r="329" spans="1:24" ht="21" customHeight="1">
      <c r="A329" s="1588" t="s">
        <v>279</v>
      </c>
      <c r="B329" s="1589"/>
      <c r="C329" s="1589"/>
      <c r="D329" s="1589"/>
      <c r="E329" s="1591" t="s">
        <v>800</v>
      </c>
      <c r="F329" s="1591"/>
      <c r="G329" s="555"/>
      <c r="H329" s="1499" t="s">
        <v>801</v>
      </c>
      <c r="I329" s="1499"/>
      <c r="J329" s="518"/>
      <c r="K329" s="1499" t="s">
        <v>802</v>
      </c>
      <c r="L329" s="1499"/>
      <c r="M329" s="556"/>
      <c r="N329" s="1499" t="s">
        <v>803</v>
      </c>
      <c r="O329" s="1499"/>
      <c r="P329" s="557"/>
      <c r="Q329" s="1570" t="s">
        <v>280</v>
      </c>
      <c r="R329" s="1570"/>
      <c r="S329" s="1568"/>
      <c r="T329" s="1568"/>
      <c r="U329" s="1569"/>
    </row>
    <row r="330" spans="1:24" ht="21" customHeight="1">
      <c r="A330" s="1592" t="s">
        <v>30</v>
      </c>
      <c r="B330" s="1593"/>
      <c r="C330" s="1593"/>
      <c r="D330" s="1608"/>
      <c r="E330" s="1603" t="s">
        <v>800</v>
      </c>
      <c r="F330" s="1604"/>
      <c r="G330" s="558"/>
      <c r="H330" s="1607" t="s">
        <v>801</v>
      </c>
      <c r="I330" s="1607"/>
      <c r="J330" s="559"/>
      <c r="K330" s="1607" t="s">
        <v>802</v>
      </c>
      <c r="L330" s="1607"/>
      <c r="M330" s="560"/>
      <c r="N330" s="1607" t="s">
        <v>803</v>
      </c>
      <c r="O330" s="1607"/>
      <c r="P330" s="561"/>
      <c r="Q330" s="1571" t="s">
        <v>280</v>
      </c>
      <c r="R330" s="1571"/>
      <c r="S330" s="1605"/>
      <c r="T330" s="1605"/>
      <c r="U330" s="1606"/>
    </row>
    <row r="331" spans="1:24" ht="21" customHeight="1">
      <c r="A331" s="1574">
        <f t="shared" ref="A331" si="124">IF(X331=0,0,W331)</f>
        <v>0</v>
      </c>
      <c r="B331" s="1575"/>
      <c r="C331" s="1575"/>
      <c r="D331" s="1575"/>
      <c r="E331" s="1576"/>
      <c r="F331" s="1576"/>
      <c r="G331" s="1576"/>
      <c r="H331" s="1544"/>
      <c r="I331" s="1544"/>
      <c r="J331" s="1576"/>
      <c r="K331" s="1576"/>
      <c r="L331" s="1576"/>
      <c r="M331" s="1548"/>
      <c r="N331" s="1549"/>
      <c r="O331" s="1550"/>
      <c r="P331" s="1555"/>
      <c r="Q331" s="1577">
        <f ca="1">IF(X331=0,0,IF(AND(P331='Data Base'!J340,G334&gt;0.5),0,G334*(IF(EXACT(M334,"نفر اول"),INDIRECT(CONCATENATE("'Data Base'!$C",J334)),INDIRECT(CONCATENATE("'Data Base'!$D",J334))))*((100-P334)/100)))</f>
        <v>0</v>
      </c>
      <c r="R331" s="1581">
        <f ca="1">IF(X331=0,0,IF(AND(P331='Data Base'!J340,G335&gt;0.5),0,G335*(IF(EXACT(M335,"نفر اول"),INDIRECT(CONCATENATE("'Data Base'!$C",J335)),INDIRECT(CONCATENATE("'Data Base'!$D",J335))))*((100-P335)/100)))</f>
        <v>0</v>
      </c>
      <c r="S331" s="1584"/>
      <c r="T331" s="1576"/>
      <c r="U331" s="1600"/>
      <c r="W331" s="220">
        <f t="shared" ref="W331" si="125">SUM(W326,X331)</f>
        <v>0</v>
      </c>
      <c r="X331" s="220">
        <f>IF(OR(E331="",P331="",J331="",M331="",D333="",C333="",B333=""),0,1)</f>
        <v>0</v>
      </c>
    </row>
    <row r="332" spans="1:24" ht="21" customHeight="1">
      <c r="A332" s="1574"/>
      <c r="B332" s="553" t="s">
        <v>230</v>
      </c>
      <c r="C332" s="553" t="s">
        <v>231</v>
      </c>
      <c r="D332" s="553" t="s">
        <v>16</v>
      </c>
      <c r="E332" s="1541"/>
      <c r="F332" s="1541"/>
      <c r="G332" s="1541"/>
      <c r="H332" s="1538"/>
      <c r="I332" s="1538"/>
      <c r="J332" s="1541"/>
      <c r="K332" s="1541"/>
      <c r="L332" s="1541"/>
      <c r="M332" s="1548"/>
      <c r="N332" s="1549"/>
      <c r="O332" s="1550"/>
      <c r="P332" s="1555"/>
      <c r="Q332" s="1558"/>
      <c r="R332" s="1598"/>
      <c r="S332" s="1599"/>
      <c r="T332" s="1541"/>
      <c r="U332" s="1601"/>
    </row>
    <row r="333" spans="1:24" ht="21" customHeight="1">
      <c r="A333" s="1574"/>
      <c r="B333" s="562"/>
      <c r="C333" s="562"/>
      <c r="D333" s="562"/>
      <c r="E333" s="1542"/>
      <c r="F333" s="1542"/>
      <c r="G333" s="1542"/>
      <c r="H333" s="1539"/>
      <c r="I333" s="1539"/>
      <c r="J333" s="1542"/>
      <c r="K333" s="1542"/>
      <c r="L333" s="1542"/>
      <c r="M333" s="1548"/>
      <c r="N333" s="1549"/>
      <c r="O333" s="1550"/>
      <c r="P333" s="1555"/>
      <c r="Q333" s="1559"/>
      <c r="R333" s="1579"/>
      <c r="S333" s="1582"/>
      <c r="T333" s="1542"/>
      <c r="U333" s="1602"/>
    </row>
    <row r="334" spans="1:24" ht="21" customHeight="1">
      <c r="A334" s="1588" t="s">
        <v>279</v>
      </c>
      <c r="B334" s="1589"/>
      <c r="C334" s="1589"/>
      <c r="D334" s="1589"/>
      <c r="E334" s="1591" t="s">
        <v>800</v>
      </c>
      <c r="F334" s="1591"/>
      <c r="G334" s="555"/>
      <c r="H334" s="1499" t="s">
        <v>801</v>
      </c>
      <c r="I334" s="1499"/>
      <c r="J334" s="518"/>
      <c r="K334" s="1499" t="s">
        <v>802</v>
      </c>
      <c r="L334" s="1499"/>
      <c r="M334" s="556"/>
      <c r="N334" s="1499" t="s">
        <v>803</v>
      </c>
      <c r="O334" s="1499"/>
      <c r="P334" s="557"/>
      <c r="Q334" s="1570" t="s">
        <v>280</v>
      </c>
      <c r="R334" s="1570"/>
      <c r="S334" s="1568"/>
      <c r="T334" s="1568"/>
      <c r="U334" s="1569"/>
    </row>
    <row r="335" spans="1:24" ht="21" customHeight="1">
      <c r="A335" s="1592" t="s">
        <v>30</v>
      </c>
      <c r="B335" s="1593"/>
      <c r="C335" s="1593"/>
      <c r="D335" s="1608"/>
      <c r="E335" s="1603" t="s">
        <v>800</v>
      </c>
      <c r="F335" s="1604"/>
      <c r="G335" s="558"/>
      <c r="H335" s="1607" t="s">
        <v>801</v>
      </c>
      <c r="I335" s="1607"/>
      <c r="J335" s="559"/>
      <c r="K335" s="1607" t="s">
        <v>802</v>
      </c>
      <c r="L335" s="1607"/>
      <c r="M335" s="560"/>
      <c r="N335" s="1607" t="s">
        <v>803</v>
      </c>
      <c r="O335" s="1607"/>
      <c r="P335" s="561"/>
      <c r="Q335" s="1571" t="s">
        <v>280</v>
      </c>
      <c r="R335" s="1571"/>
      <c r="S335" s="1605"/>
      <c r="T335" s="1605"/>
      <c r="U335" s="1606"/>
    </row>
    <row r="336" spans="1:24" ht="21" customHeight="1">
      <c r="A336" s="1574">
        <f t="shared" ref="A336" si="126">IF(X336=0,0,W336)</f>
        <v>0</v>
      </c>
      <c r="B336" s="1575"/>
      <c r="C336" s="1575"/>
      <c r="D336" s="1575"/>
      <c r="E336" s="1576"/>
      <c r="F336" s="1576"/>
      <c r="G336" s="1576"/>
      <c r="H336" s="1544"/>
      <c r="I336" s="1544"/>
      <c r="J336" s="1576"/>
      <c r="K336" s="1576"/>
      <c r="L336" s="1576"/>
      <c r="M336" s="1548"/>
      <c r="N336" s="1549"/>
      <c r="O336" s="1550"/>
      <c r="P336" s="1555"/>
      <c r="Q336" s="1577">
        <f ca="1">IF(X336=0,0,IF(AND(P336='Data Base'!J345,G339&gt;0.5),0,G339*(IF(EXACT(M339,"نفر اول"),INDIRECT(CONCATENATE("'Data Base'!$C",J339)),INDIRECT(CONCATENATE("'Data Base'!$D",J339))))*((100-P339)/100)))</f>
        <v>0</v>
      </c>
      <c r="R336" s="1581">
        <f ca="1">IF(X336=0,0,IF(AND(P336='Data Base'!J345,G340&gt;0.5),0,G340*(IF(EXACT(M340,"نفر اول"),INDIRECT(CONCATENATE("'Data Base'!$C",J340)),INDIRECT(CONCATENATE("'Data Base'!$D",J340))))*((100-P340)/100)))</f>
        <v>0</v>
      </c>
      <c r="S336" s="1584"/>
      <c r="T336" s="1576"/>
      <c r="U336" s="1600"/>
      <c r="W336" s="220">
        <f t="shared" ref="W336" si="127">SUM(W331,X336)</f>
        <v>0</v>
      </c>
      <c r="X336" s="220">
        <f>IF(OR(E336="",P336="",J336="",M336="",D338="",C338="",B338=""),0,1)</f>
        <v>0</v>
      </c>
    </row>
    <row r="337" spans="1:24" ht="21" customHeight="1">
      <c r="A337" s="1574"/>
      <c r="B337" s="553" t="s">
        <v>230</v>
      </c>
      <c r="C337" s="553" t="s">
        <v>231</v>
      </c>
      <c r="D337" s="553" t="s">
        <v>16</v>
      </c>
      <c r="E337" s="1541"/>
      <c r="F337" s="1541"/>
      <c r="G337" s="1541"/>
      <c r="H337" s="1538"/>
      <c r="I337" s="1538"/>
      <c r="J337" s="1541"/>
      <c r="K337" s="1541"/>
      <c r="L337" s="1541"/>
      <c r="M337" s="1548"/>
      <c r="N337" s="1549"/>
      <c r="O337" s="1550"/>
      <c r="P337" s="1555"/>
      <c r="Q337" s="1558"/>
      <c r="R337" s="1598"/>
      <c r="S337" s="1599"/>
      <c r="T337" s="1541"/>
      <c r="U337" s="1601"/>
    </row>
    <row r="338" spans="1:24" ht="21" customHeight="1">
      <c r="A338" s="1574"/>
      <c r="B338" s="562"/>
      <c r="C338" s="562"/>
      <c r="D338" s="562"/>
      <c r="E338" s="1542"/>
      <c r="F338" s="1542"/>
      <c r="G338" s="1542"/>
      <c r="H338" s="1539"/>
      <c r="I338" s="1539"/>
      <c r="J338" s="1542"/>
      <c r="K338" s="1542"/>
      <c r="L338" s="1542"/>
      <c r="M338" s="1548"/>
      <c r="N338" s="1549"/>
      <c r="O338" s="1550"/>
      <c r="P338" s="1555"/>
      <c r="Q338" s="1559"/>
      <c r="R338" s="1579"/>
      <c r="S338" s="1582"/>
      <c r="T338" s="1542"/>
      <c r="U338" s="1602"/>
    </row>
    <row r="339" spans="1:24" ht="21" customHeight="1">
      <c r="A339" s="1588" t="s">
        <v>279</v>
      </c>
      <c r="B339" s="1589"/>
      <c r="C339" s="1589"/>
      <c r="D339" s="1589"/>
      <c r="E339" s="1591" t="s">
        <v>800</v>
      </c>
      <c r="F339" s="1591"/>
      <c r="G339" s="555"/>
      <c r="H339" s="1499" t="s">
        <v>801</v>
      </c>
      <c r="I339" s="1499"/>
      <c r="J339" s="518"/>
      <c r="K339" s="1499" t="s">
        <v>802</v>
      </c>
      <c r="L339" s="1499"/>
      <c r="M339" s="556"/>
      <c r="N339" s="1499" t="s">
        <v>803</v>
      </c>
      <c r="O339" s="1499"/>
      <c r="P339" s="557"/>
      <c r="Q339" s="1570" t="s">
        <v>280</v>
      </c>
      <c r="R339" s="1570"/>
      <c r="S339" s="1568"/>
      <c r="T339" s="1568"/>
      <c r="U339" s="1569"/>
    </row>
    <row r="340" spans="1:24" ht="21" customHeight="1">
      <c r="A340" s="1592" t="s">
        <v>30</v>
      </c>
      <c r="B340" s="1593"/>
      <c r="C340" s="1593"/>
      <c r="D340" s="1608"/>
      <c r="E340" s="1603" t="s">
        <v>800</v>
      </c>
      <c r="F340" s="1604"/>
      <c r="G340" s="558"/>
      <c r="H340" s="1607" t="s">
        <v>801</v>
      </c>
      <c r="I340" s="1607"/>
      <c r="J340" s="559"/>
      <c r="K340" s="1607" t="s">
        <v>802</v>
      </c>
      <c r="L340" s="1607"/>
      <c r="M340" s="560"/>
      <c r="N340" s="1607" t="s">
        <v>803</v>
      </c>
      <c r="O340" s="1607"/>
      <c r="P340" s="561"/>
      <c r="Q340" s="1571" t="s">
        <v>280</v>
      </c>
      <c r="R340" s="1571"/>
      <c r="S340" s="1605"/>
      <c r="T340" s="1605"/>
      <c r="U340" s="1606"/>
    </row>
    <row r="341" spans="1:24" ht="21" customHeight="1">
      <c r="A341" s="1574">
        <f t="shared" ref="A341" si="128">IF(X341=0,0,W341)</f>
        <v>0</v>
      </c>
      <c r="B341" s="1575"/>
      <c r="C341" s="1575"/>
      <c r="D341" s="1575"/>
      <c r="E341" s="1576"/>
      <c r="F341" s="1576"/>
      <c r="G341" s="1576"/>
      <c r="H341" s="1544"/>
      <c r="I341" s="1544"/>
      <c r="J341" s="1576"/>
      <c r="K341" s="1576"/>
      <c r="L341" s="1576"/>
      <c r="M341" s="1548"/>
      <c r="N341" s="1549"/>
      <c r="O341" s="1550"/>
      <c r="P341" s="1555"/>
      <c r="Q341" s="1577">
        <f ca="1">IF(X341=0,0,IF(AND(P341='Data Base'!J350,G344&gt;0.5),0,G344*(IF(EXACT(M344,"نفر اول"),INDIRECT(CONCATENATE("'Data Base'!$C",J344)),INDIRECT(CONCATENATE("'Data Base'!$D",J344))))*((100-P344)/100)))</f>
        <v>0</v>
      </c>
      <c r="R341" s="1581">
        <f ca="1">IF(X341=0,0,IF(AND(P341='Data Base'!J350,G345&gt;0.5),0,G345*(IF(EXACT(M345,"نفر اول"),INDIRECT(CONCATENATE("'Data Base'!$C",J345)),INDIRECT(CONCATENATE("'Data Base'!$D",J345))))*((100-P345)/100)))</f>
        <v>0</v>
      </c>
      <c r="S341" s="1584"/>
      <c r="T341" s="1576"/>
      <c r="U341" s="1600"/>
      <c r="W341" s="220">
        <f t="shared" ref="W341" si="129">SUM(W336,X341)</f>
        <v>0</v>
      </c>
      <c r="X341" s="220">
        <f>IF(OR(E341="",P341="",J341="",M341="",D343="",C343="",B343=""),0,1)</f>
        <v>0</v>
      </c>
    </row>
    <row r="342" spans="1:24" ht="21" customHeight="1">
      <c r="A342" s="1574"/>
      <c r="B342" s="553" t="s">
        <v>230</v>
      </c>
      <c r="C342" s="553" t="s">
        <v>231</v>
      </c>
      <c r="D342" s="553" t="s">
        <v>16</v>
      </c>
      <c r="E342" s="1541"/>
      <c r="F342" s="1541"/>
      <c r="G342" s="1541"/>
      <c r="H342" s="1538"/>
      <c r="I342" s="1538"/>
      <c r="J342" s="1541"/>
      <c r="K342" s="1541"/>
      <c r="L342" s="1541"/>
      <c r="M342" s="1548"/>
      <c r="N342" s="1549"/>
      <c r="O342" s="1550"/>
      <c r="P342" s="1555"/>
      <c r="Q342" s="1558"/>
      <c r="R342" s="1598"/>
      <c r="S342" s="1599"/>
      <c r="T342" s="1541"/>
      <c r="U342" s="1601"/>
    </row>
    <row r="343" spans="1:24" ht="21" customHeight="1">
      <c r="A343" s="1574"/>
      <c r="B343" s="562"/>
      <c r="C343" s="562"/>
      <c r="D343" s="562"/>
      <c r="E343" s="1542"/>
      <c r="F343" s="1542"/>
      <c r="G343" s="1542"/>
      <c r="H343" s="1539"/>
      <c r="I343" s="1539"/>
      <c r="J343" s="1542"/>
      <c r="K343" s="1542"/>
      <c r="L343" s="1542"/>
      <c r="M343" s="1548"/>
      <c r="N343" s="1549"/>
      <c r="O343" s="1550"/>
      <c r="P343" s="1555"/>
      <c r="Q343" s="1559"/>
      <c r="R343" s="1579"/>
      <c r="S343" s="1582"/>
      <c r="T343" s="1542"/>
      <c r="U343" s="1602"/>
    </row>
    <row r="344" spans="1:24" ht="21" customHeight="1">
      <c r="A344" s="1588" t="s">
        <v>279</v>
      </c>
      <c r="B344" s="1589"/>
      <c r="C344" s="1589"/>
      <c r="D344" s="1589"/>
      <c r="E344" s="1591" t="s">
        <v>800</v>
      </c>
      <c r="F344" s="1591"/>
      <c r="G344" s="555"/>
      <c r="H344" s="1499" t="s">
        <v>801</v>
      </c>
      <c r="I344" s="1499"/>
      <c r="J344" s="518"/>
      <c r="K344" s="1499" t="s">
        <v>802</v>
      </c>
      <c r="L344" s="1499"/>
      <c r="M344" s="556"/>
      <c r="N344" s="1499" t="s">
        <v>803</v>
      </c>
      <c r="O344" s="1499"/>
      <c r="P344" s="557"/>
      <c r="Q344" s="1570" t="s">
        <v>280</v>
      </c>
      <c r="R344" s="1570"/>
      <c r="S344" s="1568"/>
      <c r="T344" s="1568"/>
      <c r="U344" s="1569"/>
    </row>
    <row r="345" spans="1:24" ht="21" customHeight="1">
      <c r="A345" s="1592" t="s">
        <v>30</v>
      </c>
      <c r="B345" s="1593"/>
      <c r="C345" s="1593"/>
      <c r="D345" s="1608"/>
      <c r="E345" s="1603" t="s">
        <v>800</v>
      </c>
      <c r="F345" s="1604"/>
      <c r="G345" s="558"/>
      <c r="H345" s="1607" t="s">
        <v>801</v>
      </c>
      <c r="I345" s="1607"/>
      <c r="J345" s="559"/>
      <c r="K345" s="1607" t="s">
        <v>802</v>
      </c>
      <c r="L345" s="1607"/>
      <c r="M345" s="560"/>
      <c r="N345" s="1607" t="s">
        <v>803</v>
      </c>
      <c r="O345" s="1607"/>
      <c r="P345" s="561"/>
      <c r="Q345" s="1571" t="s">
        <v>280</v>
      </c>
      <c r="R345" s="1571"/>
      <c r="S345" s="1605"/>
      <c r="T345" s="1605"/>
      <c r="U345" s="1606"/>
    </row>
    <row r="346" spans="1:24" ht="21" customHeight="1">
      <c r="A346" s="1574">
        <f t="shared" ref="A346" si="130">IF(X346=0,0,W346)</f>
        <v>0</v>
      </c>
      <c r="B346" s="1575"/>
      <c r="C346" s="1575"/>
      <c r="D346" s="1575"/>
      <c r="E346" s="1576"/>
      <c r="F346" s="1576"/>
      <c r="G346" s="1576"/>
      <c r="H346" s="1544"/>
      <c r="I346" s="1544"/>
      <c r="J346" s="1576"/>
      <c r="K346" s="1576"/>
      <c r="L346" s="1576"/>
      <c r="M346" s="1548"/>
      <c r="N346" s="1549"/>
      <c r="O346" s="1550"/>
      <c r="P346" s="1555"/>
      <c r="Q346" s="1577">
        <f ca="1">IF(X346=0,0,IF(AND(P346='Data Base'!J355,G349&gt;0.5),0,G349*(IF(EXACT(M349,"نفر اول"),INDIRECT(CONCATENATE("'Data Base'!$C",J349)),INDIRECT(CONCATENATE("'Data Base'!$D",J349))))*((100-P349)/100)))</f>
        <v>0</v>
      </c>
      <c r="R346" s="1581">
        <f ca="1">IF(X346=0,0,IF(AND(P346='Data Base'!J355,G350&gt;0.5),0,G350*(IF(EXACT(M350,"نفر اول"),INDIRECT(CONCATENATE("'Data Base'!$C",J350)),INDIRECT(CONCATENATE("'Data Base'!$D",J350))))*((100-P350)/100)))</f>
        <v>0</v>
      </c>
      <c r="S346" s="1584"/>
      <c r="T346" s="1576"/>
      <c r="U346" s="1600"/>
      <c r="W346" s="220">
        <f t="shared" ref="W346" si="131">SUM(W341,X346)</f>
        <v>0</v>
      </c>
      <c r="X346" s="220">
        <f>IF(OR(E346="",P346="",J346="",M346="",D348="",C348="",B348=""),0,1)</f>
        <v>0</v>
      </c>
    </row>
    <row r="347" spans="1:24" ht="21" customHeight="1">
      <c r="A347" s="1574"/>
      <c r="B347" s="553" t="s">
        <v>230</v>
      </c>
      <c r="C347" s="553" t="s">
        <v>231</v>
      </c>
      <c r="D347" s="553" t="s">
        <v>16</v>
      </c>
      <c r="E347" s="1541"/>
      <c r="F347" s="1541"/>
      <c r="G347" s="1541"/>
      <c r="H347" s="1538"/>
      <c r="I347" s="1538"/>
      <c r="J347" s="1541"/>
      <c r="K347" s="1541"/>
      <c r="L347" s="1541"/>
      <c r="M347" s="1548"/>
      <c r="N347" s="1549"/>
      <c r="O347" s="1550"/>
      <c r="P347" s="1555"/>
      <c r="Q347" s="1558"/>
      <c r="R347" s="1598"/>
      <c r="S347" s="1599"/>
      <c r="T347" s="1541"/>
      <c r="U347" s="1601"/>
    </row>
    <row r="348" spans="1:24" ht="21" customHeight="1">
      <c r="A348" s="1574"/>
      <c r="B348" s="562"/>
      <c r="C348" s="562"/>
      <c r="D348" s="562"/>
      <c r="E348" s="1542"/>
      <c r="F348" s="1542"/>
      <c r="G348" s="1542"/>
      <c r="H348" s="1539"/>
      <c r="I348" s="1539"/>
      <c r="J348" s="1542"/>
      <c r="K348" s="1542"/>
      <c r="L348" s="1542"/>
      <c r="M348" s="1548"/>
      <c r="N348" s="1549"/>
      <c r="O348" s="1550"/>
      <c r="P348" s="1555"/>
      <c r="Q348" s="1559"/>
      <c r="R348" s="1579"/>
      <c r="S348" s="1582"/>
      <c r="T348" s="1542"/>
      <c r="U348" s="1602"/>
    </row>
    <row r="349" spans="1:24" ht="21" customHeight="1">
      <c r="A349" s="1588" t="s">
        <v>279</v>
      </c>
      <c r="B349" s="1589"/>
      <c r="C349" s="1589"/>
      <c r="D349" s="1589"/>
      <c r="E349" s="1591" t="s">
        <v>800</v>
      </c>
      <c r="F349" s="1591"/>
      <c r="G349" s="555"/>
      <c r="H349" s="1499" t="s">
        <v>801</v>
      </c>
      <c r="I349" s="1499"/>
      <c r="J349" s="518"/>
      <c r="K349" s="1499" t="s">
        <v>802</v>
      </c>
      <c r="L349" s="1499"/>
      <c r="M349" s="556"/>
      <c r="N349" s="1499" t="s">
        <v>803</v>
      </c>
      <c r="O349" s="1499"/>
      <c r="P349" s="557"/>
      <c r="Q349" s="1570" t="s">
        <v>280</v>
      </c>
      <c r="R349" s="1570"/>
      <c r="S349" s="1568"/>
      <c r="T349" s="1568"/>
      <c r="U349" s="1569"/>
    </row>
    <row r="350" spans="1:24" ht="21" customHeight="1">
      <c r="A350" s="1592" t="s">
        <v>30</v>
      </c>
      <c r="B350" s="1593"/>
      <c r="C350" s="1593"/>
      <c r="D350" s="1608"/>
      <c r="E350" s="1603" t="s">
        <v>800</v>
      </c>
      <c r="F350" s="1604"/>
      <c r="G350" s="558"/>
      <c r="H350" s="1607" t="s">
        <v>801</v>
      </c>
      <c r="I350" s="1607"/>
      <c r="J350" s="559"/>
      <c r="K350" s="1607" t="s">
        <v>802</v>
      </c>
      <c r="L350" s="1607"/>
      <c r="M350" s="560"/>
      <c r="N350" s="1607" t="s">
        <v>803</v>
      </c>
      <c r="O350" s="1607"/>
      <c r="P350" s="561"/>
      <c r="Q350" s="1571" t="s">
        <v>280</v>
      </c>
      <c r="R350" s="1571"/>
      <c r="S350" s="1605"/>
      <c r="T350" s="1605"/>
      <c r="U350" s="1606"/>
    </row>
    <row r="351" spans="1:24" ht="21" customHeight="1">
      <c r="A351" s="1574">
        <f t="shared" ref="A351" si="132">IF(X351=0,0,W351)</f>
        <v>0</v>
      </c>
      <c r="B351" s="1575"/>
      <c r="C351" s="1575"/>
      <c r="D351" s="1575"/>
      <c r="E351" s="1576"/>
      <c r="F351" s="1576"/>
      <c r="G351" s="1576"/>
      <c r="H351" s="1544"/>
      <c r="I351" s="1544"/>
      <c r="J351" s="1576"/>
      <c r="K351" s="1576"/>
      <c r="L351" s="1576"/>
      <c r="M351" s="1548"/>
      <c r="N351" s="1549"/>
      <c r="O351" s="1550"/>
      <c r="P351" s="1555"/>
      <c r="Q351" s="1577">
        <f ca="1">IF(X351=0,0,IF(AND(P351='Data Base'!J360,G354&gt;0.5),0,G354*(IF(EXACT(M354,"نفر اول"),INDIRECT(CONCATENATE("'Data Base'!$C",J354)),INDIRECT(CONCATENATE("'Data Base'!$D",J354))))*((100-P354)/100)))</f>
        <v>0</v>
      </c>
      <c r="R351" s="1581">
        <f ca="1">IF(X351=0,0,IF(AND(P351='Data Base'!J360,G355&gt;0.5),0,G355*(IF(EXACT(M355,"نفر اول"),INDIRECT(CONCATENATE("'Data Base'!$C",J355)),INDIRECT(CONCATENATE("'Data Base'!$D",J355))))*((100-P355)/100)))</f>
        <v>0</v>
      </c>
      <c r="S351" s="1584"/>
      <c r="T351" s="1576"/>
      <c r="U351" s="1600"/>
      <c r="W351" s="220">
        <f t="shared" ref="W351" si="133">SUM(W346,X351)</f>
        <v>0</v>
      </c>
      <c r="X351" s="220">
        <f>IF(OR(E351="",P351="",J351="",M351="",D353="",C353="",B353=""),0,1)</f>
        <v>0</v>
      </c>
    </row>
    <row r="352" spans="1:24" ht="21" customHeight="1">
      <c r="A352" s="1574"/>
      <c r="B352" s="553" t="s">
        <v>230</v>
      </c>
      <c r="C352" s="553" t="s">
        <v>231</v>
      </c>
      <c r="D352" s="553" t="s">
        <v>16</v>
      </c>
      <c r="E352" s="1541"/>
      <c r="F352" s="1541"/>
      <c r="G352" s="1541"/>
      <c r="H352" s="1538"/>
      <c r="I352" s="1538"/>
      <c r="J352" s="1541"/>
      <c r="K352" s="1541"/>
      <c r="L352" s="1541"/>
      <c r="M352" s="1548"/>
      <c r="N352" s="1549"/>
      <c r="O352" s="1550"/>
      <c r="P352" s="1555"/>
      <c r="Q352" s="1558"/>
      <c r="R352" s="1598"/>
      <c r="S352" s="1599"/>
      <c r="T352" s="1541"/>
      <c r="U352" s="1601"/>
    </row>
    <row r="353" spans="1:24" ht="21" customHeight="1">
      <c r="A353" s="1574"/>
      <c r="B353" s="562"/>
      <c r="C353" s="562"/>
      <c r="D353" s="562"/>
      <c r="E353" s="1542"/>
      <c r="F353" s="1542"/>
      <c r="G353" s="1542"/>
      <c r="H353" s="1539"/>
      <c r="I353" s="1539"/>
      <c r="J353" s="1542"/>
      <c r="K353" s="1542"/>
      <c r="L353" s="1542"/>
      <c r="M353" s="1548"/>
      <c r="N353" s="1549"/>
      <c r="O353" s="1550"/>
      <c r="P353" s="1555"/>
      <c r="Q353" s="1559"/>
      <c r="R353" s="1579"/>
      <c r="S353" s="1582"/>
      <c r="T353" s="1542"/>
      <c r="U353" s="1602"/>
    </row>
    <row r="354" spans="1:24" ht="21" customHeight="1">
      <c r="A354" s="1588" t="s">
        <v>279</v>
      </c>
      <c r="B354" s="1589"/>
      <c r="C354" s="1589"/>
      <c r="D354" s="1589"/>
      <c r="E354" s="1591" t="s">
        <v>800</v>
      </c>
      <c r="F354" s="1591"/>
      <c r="G354" s="555"/>
      <c r="H354" s="1499" t="s">
        <v>801</v>
      </c>
      <c r="I354" s="1499"/>
      <c r="J354" s="518"/>
      <c r="K354" s="1499" t="s">
        <v>802</v>
      </c>
      <c r="L354" s="1499"/>
      <c r="M354" s="556"/>
      <c r="N354" s="1499" t="s">
        <v>803</v>
      </c>
      <c r="O354" s="1499"/>
      <c r="P354" s="557"/>
      <c r="Q354" s="1570" t="s">
        <v>280</v>
      </c>
      <c r="R354" s="1570"/>
      <c r="S354" s="1568"/>
      <c r="T354" s="1568"/>
      <c r="U354" s="1569"/>
    </row>
    <row r="355" spans="1:24" ht="21" customHeight="1">
      <c r="A355" s="1592" t="s">
        <v>30</v>
      </c>
      <c r="B355" s="1593"/>
      <c r="C355" s="1593"/>
      <c r="D355" s="1608"/>
      <c r="E355" s="1603" t="s">
        <v>800</v>
      </c>
      <c r="F355" s="1604"/>
      <c r="G355" s="558"/>
      <c r="H355" s="1607" t="s">
        <v>801</v>
      </c>
      <c r="I355" s="1607"/>
      <c r="J355" s="559"/>
      <c r="K355" s="1607" t="s">
        <v>802</v>
      </c>
      <c r="L355" s="1607"/>
      <c r="M355" s="560"/>
      <c r="N355" s="1607" t="s">
        <v>803</v>
      </c>
      <c r="O355" s="1607"/>
      <c r="P355" s="561"/>
      <c r="Q355" s="1571" t="s">
        <v>280</v>
      </c>
      <c r="R355" s="1571"/>
      <c r="S355" s="1605"/>
      <c r="T355" s="1605"/>
      <c r="U355" s="1606"/>
    </row>
    <row r="356" spans="1:24" ht="21" customHeight="1">
      <c r="A356" s="1574">
        <f t="shared" ref="A356" si="134">IF(X356=0,0,W356)</f>
        <v>0</v>
      </c>
      <c r="B356" s="1575"/>
      <c r="C356" s="1575"/>
      <c r="D356" s="1575"/>
      <c r="E356" s="1576"/>
      <c r="F356" s="1576"/>
      <c r="G356" s="1576"/>
      <c r="H356" s="1544"/>
      <c r="I356" s="1544"/>
      <c r="J356" s="1576"/>
      <c r="K356" s="1576"/>
      <c r="L356" s="1576"/>
      <c r="M356" s="1548"/>
      <c r="N356" s="1549"/>
      <c r="O356" s="1550"/>
      <c r="P356" s="1555"/>
      <c r="Q356" s="1577">
        <f ca="1">IF(X356=0,0,IF(AND(P356='Data Base'!J365,G359&gt;0.5),0,G359*(IF(EXACT(M359,"نفر اول"),INDIRECT(CONCATENATE("'Data Base'!$C",J359)),INDIRECT(CONCATENATE("'Data Base'!$D",J359))))*((100-P359)/100)))</f>
        <v>0</v>
      </c>
      <c r="R356" s="1581">
        <f ca="1">IF(X356=0,0,IF(AND(P356='Data Base'!J365,G360&gt;0.5),0,G360*(IF(EXACT(M360,"نفر اول"),INDIRECT(CONCATENATE("'Data Base'!$C",J360)),INDIRECT(CONCATENATE("'Data Base'!$D",J360))))*((100-P360)/100)))</f>
        <v>0</v>
      </c>
      <c r="S356" s="1584"/>
      <c r="T356" s="1576"/>
      <c r="U356" s="1600"/>
      <c r="W356" s="220">
        <f t="shared" ref="W356" si="135">SUM(W351,X356)</f>
        <v>0</v>
      </c>
      <c r="X356" s="220">
        <f>IF(OR(E356="",P356="",J356="",M356="",D358="",C358="",B358=""),0,1)</f>
        <v>0</v>
      </c>
    </row>
    <row r="357" spans="1:24" ht="21" customHeight="1">
      <c r="A357" s="1574"/>
      <c r="B357" s="553" t="s">
        <v>230</v>
      </c>
      <c r="C357" s="553" t="s">
        <v>231</v>
      </c>
      <c r="D357" s="553" t="s">
        <v>16</v>
      </c>
      <c r="E357" s="1541"/>
      <c r="F357" s="1541"/>
      <c r="G357" s="1541"/>
      <c r="H357" s="1538"/>
      <c r="I357" s="1538"/>
      <c r="J357" s="1541"/>
      <c r="K357" s="1541"/>
      <c r="L357" s="1541"/>
      <c r="M357" s="1548"/>
      <c r="N357" s="1549"/>
      <c r="O357" s="1550"/>
      <c r="P357" s="1555"/>
      <c r="Q357" s="1558"/>
      <c r="R357" s="1598"/>
      <c r="S357" s="1599"/>
      <c r="T357" s="1541"/>
      <c r="U357" s="1601"/>
    </row>
    <row r="358" spans="1:24" ht="21" customHeight="1">
      <c r="A358" s="1574"/>
      <c r="B358" s="562"/>
      <c r="C358" s="562"/>
      <c r="D358" s="562"/>
      <c r="E358" s="1542"/>
      <c r="F358" s="1542"/>
      <c r="G358" s="1542"/>
      <c r="H358" s="1539"/>
      <c r="I358" s="1539"/>
      <c r="J358" s="1542"/>
      <c r="K358" s="1542"/>
      <c r="L358" s="1542"/>
      <c r="M358" s="1548"/>
      <c r="N358" s="1549"/>
      <c r="O358" s="1550"/>
      <c r="P358" s="1555"/>
      <c r="Q358" s="1559"/>
      <c r="R358" s="1579"/>
      <c r="S358" s="1582"/>
      <c r="T358" s="1542"/>
      <c r="U358" s="1602"/>
    </row>
    <row r="359" spans="1:24" ht="21" customHeight="1">
      <c r="A359" s="1588" t="s">
        <v>279</v>
      </c>
      <c r="B359" s="1589"/>
      <c r="C359" s="1589"/>
      <c r="D359" s="1589"/>
      <c r="E359" s="1591" t="s">
        <v>800</v>
      </c>
      <c r="F359" s="1591"/>
      <c r="G359" s="555"/>
      <c r="H359" s="1499" t="s">
        <v>801</v>
      </c>
      <c r="I359" s="1499"/>
      <c r="J359" s="518"/>
      <c r="K359" s="1499" t="s">
        <v>802</v>
      </c>
      <c r="L359" s="1499"/>
      <c r="M359" s="556"/>
      <c r="N359" s="1499" t="s">
        <v>803</v>
      </c>
      <c r="O359" s="1499"/>
      <c r="P359" s="557"/>
      <c r="Q359" s="1570" t="s">
        <v>280</v>
      </c>
      <c r="R359" s="1570"/>
      <c r="S359" s="1568"/>
      <c r="T359" s="1568"/>
      <c r="U359" s="1569"/>
    </row>
    <row r="360" spans="1:24" ht="21" customHeight="1">
      <c r="A360" s="1592" t="s">
        <v>30</v>
      </c>
      <c r="B360" s="1593"/>
      <c r="C360" s="1593"/>
      <c r="D360" s="1608"/>
      <c r="E360" s="1603" t="s">
        <v>800</v>
      </c>
      <c r="F360" s="1604"/>
      <c r="G360" s="558"/>
      <c r="H360" s="1607" t="s">
        <v>801</v>
      </c>
      <c r="I360" s="1607"/>
      <c r="J360" s="559"/>
      <c r="K360" s="1607" t="s">
        <v>802</v>
      </c>
      <c r="L360" s="1607"/>
      <c r="M360" s="560"/>
      <c r="N360" s="1607" t="s">
        <v>803</v>
      </c>
      <c r="O360" s="1607"/>
      <c r="P360" s="561"/>
      <c r="Q360" s="1571" t="s">
        <v>280</v>
      </c>
      <c r="R360" s="1571"/>
      <c r="S360" s="1605"/>
      <c r="T360" s="1605"/>
      <c r="U360" s="1606"/>
    </row>
    <row r="361" spans="1:24" ht="21" customHeight="1">
      <c r="A361" s="1574">
        <f t="shared" ref="A361" si="136">IF(X361=0,0,W361)</f>
        <v>0</v>
      </c>
      <c r="B361" s="1575"/>
      <c r="C361" s="1575"/>
      <c r="D361" s="1575"/>
      <c r="E361" s="1576"/>
      <c r="F361" s="1576"/>
      <c r="G361" s="1576"/>
      <c r="H361" s="1544"/>
      <c r="I361" s="1544"/>
      <c r="J361" s="1576"/>
      <c r="K361" s="1576"/>
      <c r="L361" s="1576"/>
      <c r="M361" s="1548"/>
      <c r="N361" s="1549"/>
      <c r="O361" s="1550"/>
      <c r="P361" s="1555"/>
      <c r="Q361" s="1577">
        <f ca="1">IF(X361=0,0,IF(AND(P361='Data Base'!J370,G364&gt;0.5),0,G364*(IF(EXACT(M364,"نفر اول"),INDIRECT(CONCATENATE("'Data Base'!$C",J364)),INDIRECT(CONCATENATE("'Data Base'!$D",J364))))*((100-P364)/100)))</f>
        <v>0</v>
      </c>
      <c r="R361" s="1581">
        <f ca="1">IF(X361=0,0,IF(AND(P361='Data Base'!J370,G365&gt;0.5),0,G365*(IF(EXACT(M365,"نفر اول"),INDIRECT(CONCATENATE("'Data Base'!$C",J365)),INDIRECT(CONCATENATE("'Data Base'!$D",J365))))*((100-P365)/100)))</f>
        <v>0</v>
      </c>
      <c r="S361" s="1584"/>
      <c r="T361" s="1576"/>
      <c r="U361" s="1600"/>
      <c r="W361" s="220">
        <f t="shared" ref="W361" si="137">SUM(W356,X361)</f>
        <v>0</v>
      </c>
      <c r="X361" s="220">
        <f>IF(OR(E361="",P361="",J361="",M361="",D363="",C363="",B363=""),0,1)</f>
        <v>0</v>
      </c>
    </row>
    <row r="362" spans="1:24" ht="21" customHeight="1">
      <c r="A362" s="1574"/>
      <c r="B362" s="553" t="s">
        <v>230</v>
      </c>
      <c r="C362" s="553" t="s">
        <v>231</v>
      </c>
      <c r="D362" s="553" t="s">
        <v>16</v>
      </c>
      <c r="E362" s="1541"/>
      <c r="F362" s="1541"/>
      <c r="G362" s="1541"/>
      <c r="H362" s="1538"/>
      <c r="I362" s="1538"/>
      <c r="J362" s="1541"/>
      <c r="K362" s="1541"/>
      <c r="L362" s="1541"/>
      <c r="M362" s="1548"/>
      <c r="N362" s="1549"/>
      <c r="O362" s="1550"/>
      <c r="P362" s="1555"/>
      <c r="Q362" s="1558"/>
      <c r="R362" s="1598"/>
      <c r="S362" s="1599"/>
      <c r="T362" s="1541"/>
      <c r="U362" s="1601"/>
    </row>
    <row r="363" spans="1:24" ht="21" customHeight="1">
      <c r="A363" s="1574"/>
      <c r="B363" s="562"/>
      <c r="C363" s="562"/>
      <c r="D363" s="562"/>
      <c r="E363" s="1542"/>
      <c r="F363" s="1542"/>
      <c r="G363" s="1542"/>
      <c r="H363" s="1539"/>
      <c r="I363" s="1539"/>
      <c r="J363" s="1542"/>
      <c r="K363" s="1542"/>
      <c r="L363" s="1542"/>
      <c r="M363" s="1548"/>
      <c r="N363" s="1549"/>
      <c r="O363" s="1550"/>
      <c r="P363" s="1555"/>
      <c r="Q363" s="1559"/>
      <c r="R363" s="1579"/>
      <c r="S363" s="1582"/>
      <c r="T363" s="1542"/>
      <c r="U363" s="1602"/>
    </row>
    <row r="364" spans="1:24" ht="21" customHeight="1">
      <c r="A364" s="1588" t="s">
        <v>279</v>
      </c>
      <c r="B364" s="1589"/>
      <c r="C364" s="1589"/>
      <c r="D364" s="1589"/>
      <c r="E364" s="1591" t="s">
        <v>800</v>
      </c>
      <c r="F364" s="1591"/>
      <c r="G364" s="555"/>
      <c r="H364" s="1499" t="s">
        <v>801</v>
      </c>
      <c r="I364" s="1499"/>
      <c r="J364" s="518"/>
      <c r="K364" s="1499" t="s">
        <v>802</v>
      </c>
      <c r="L364" s="1499"/>
      <c r="M364" s="556"/>
      <c r="N364" s="1499" t="s">
        <v>803</v>
      </c>
      <c r="O364" s="1499"/>
      <c r="P364" s="557"/>
      <c r="Q364" s="1570" t="s">
        <v>280</v>
      </c>
      <c r="R364" s="1570"/>
      <c r="S364" s="1568"/>
      <c r="T364" s="1568"/>
      <c r="U364" s="1569"/>
    </row>
    <row r="365" spans="1:24" ht="21" customHeight="1">
      <c r="A365" s="1592" t="s">
        <v>30</v>
      </c>
      <c r="B365" s="1593"/>
      <c r="C365" s="1593"/>
      <c r="D365" s="1608"/>
      <c r="E365" s="1603" t="s">
        <v>800</v>
      </c>
      <c r="F365" s="1604"/>
      <c r="G365" s="558"/>
      <c r="H365" s="1607" t="s">
        <v>801</v>
      </c>
      <c r="I365" s="1607"/>
      <c r="J365" s="559"/>
      <c r="K365" s="1607" t="s">
        <v>802</v>
      </c>
      <c r="L365" s="1607"/>
      <c r="M365" s="560"/>
      <c r="N365" s="1607" t="s">
        <v>803</v>
      </c>
      <c r="O365" s="1607"/>
      <c r="P365" s="561"/>
      <c r="Q365" s="1571" t="s">
        <v>280</v>
      </c>
      <c r="R365" s="1571"/>
      <c r="S365" s="1605"/>
      <c r="T365" s="1605"/>
      <c r="U365" s="1606"/>
    </row>
    <row r="366" spans="1:24" ht="21" customHeight="1">
      <c r="A366" s="1574">
        <f t="shared" ref="A366" si="138">IF(X366=0,0,W366)</f>
        <v>0</v>
      </c>
      <c r="B366" s="1575"/>
      <c r="C366" s="1575"/>
      <c r="D366" s="1575"/>
      <c r="E366" s="1576"/>
      <c r="F366" s="1576"/>
      <c r="G366" s="1576"/>
      <c r="H366" s="1544"/>
      <c r="I366" s="1544"/>
      <c r="J366" s="1576"/>
      <c r="K366" s="1576"/>
      <c r="L366" s="1576"/>
      <c r="M366" s="1548"/>
      <c r="N366" s="1549"/>
      <c r="O366" s="1550"/>
      <c r="P366" s="1555"/>
      <c r="Q366" s="1577">
        <f ca="1">IF(X366=0,0,IF(AND(P366='Data Base'!J375,G369&gt;0.5),0,G369*(IF(EXACT(M369,"نفر اول"),INDIRECT(CONCATENATE("'Data Base'!$C",J369)),INDIRECT(CONCATENATE("'Data Base'!$D",J369))))*((100-P369)/100)))</f>
        <v>0</v>
      </c>
      <c r="R366" s="1581">
        <f ca="1">IF(X366=0,0,IF(AND(P366='Data Base'!J375,G370&gt;0.5),0,G370*(IF(EXACT(M370,"نفر اول"),INDIRECT(CONCATENATE("'Data Base'!$C",J370)),INDIRECT(CONCATENATE("'Data Base'!$D",J370))))*((100-P370)/100)))</f>
        <v>0</v>
      </c>
      <c r="S366" s="1584"/>
      <c r="T366" s="1576"/>
      <c r="U366" s="1600"/>
      <c r="W366" s="220">
        <f t="shared" ref="W366" si="139">SUM(W361,X366)</f>
        <v>0</v>
      </c>
      <c r="X366" s="220">
        <f>IF(OR(E366="",P366="",J366="",M366="",D368="",C368="",B368=""),0,1)</f>
        <v>0</v>
      </c>
    </row>
    <row r="367" spans="1:24" ht="21" customHeight="1">
      <c r="A367" s="1574"/>
      <c r="B367" s="553" t="s">
        <v>230</v>
      </c>
      <c r="C367" s="553" t="s">
        <v>231</v>
      </c>
      <c r="D367" s="553" t="s">
        <v>16</v>
      </c>
      <c r="E367" s="1541"/>
      <c r="F367" s="1541"/>
      <c r="G367" s="1541"/>
      <c r="H367" s="1538"/>
      <c r="I367" s="1538"/>
      <c r="J367" s="1541"/>
      <c r="K367" s="1541"/>
      <c r="L367" s="1541"/>
      <c r="M367" s="1548"/>
      <c r="N367" s="1549"/>
      <c r="O367" s="1550"/>
      <c r="P367" s="1555"/>
      <c r="Q367" s="1558"/>
      <c r="R367" s="1598"/>
      <c r="S367" s="1599"/>
      <c r="T367" s="1541"/>
      <c r="U367" s="1601"/>
    </row>
    <row r="368" spans="1:24" ht="21" customHeight="1">
      <c r="A368" s="1574"/>
      <c r="B368" s="562"/>
      <c r="C368" s="562"/>
      <c r="D368" s="562"/>
      <c r="E368" s="1542"/>
      <c r="F368" s="1542"/>
      <c r="G368" s="1542"/>
      <c r="H368" s="1539"/>
      <c r="I368" s="1539"/>
      <c r="J368" s="1542"/>
      <c r="K368" s="1542"/>
      <c r="L368" s="1542"/>
      <c r="M368" s="1548"/>
      <c r="N368" s="1549"/>
      <c r="O368" s="1550"/>
      <c r="P368" s="1555"/>
      <c r="Q368" s="1559"/>
      <c r="R368" s="1579"/>
      <c r="S368" s="1582"/>
      <c r="T368" s="1542"/>
      <c r="U368" s="1602"/>
    </row>
    <row r="369" spans="1:24" ht="21" customHeight="1">
      <c r="A369" s="1588" t="s">
        <v>279</v>
      </c>
      <c r="B369" s="1589"/>
      <c r="C369" s="1589"/>
      <c r="D369" s="1589"/>
      <c r="E369" s="1591" t="s">
        <v>800</v>
      </c>
      <c r="F369" s="1591"/>
      <c r="G369" s="555"/>
      <c r="H369" s="1499" t="s">
        <v>801</v>
      </c>
      <c r="I369" s="1499"/>
      <c r="J369" s="518"/>
      <c r="K369" s="1499" t="s">
        <v>802</v>
      </c>
      <c r="L369" s="1499"/>
      <c r="M369" s="556"/>
      <c r="N369" s="1499" t="s">
        <v>803</v>
      </c>
      <c r="O369" s="1499"/>
      <c r="P369" s="557"/>
      <c r="Q369" s="1570" t="s">
        <v>280</v>
      </c>
      <c r="R369" s="1570"/>
      <c r="S369" s="1568"/>
      <c r="T369" s="1568"/>
      <c r="U369" s="1569"/>
    </row>
    <row r="370" spans="1:24" ht="21" customHeight="1">
      <c r="A370" s="1592" t="s">
        <v>30</v>
      </c>
      <c r="B370" s="1593"/>
      <c r="C370" s="1593"/>
      <c r="D370" s="1608"/>
      <c r="E370" s="1603" t="s">
        <v>800</v>
      </c>
      <c r="F370" s="1604"/>
      <c r="G370" s="558"/>
      <c r="H370" s="1607" t="s">
        <v>801</v>
      </c>
      <c r="I370" s="1607"/>
      <c r="J370" s="559"/>
      <c r="K370" s="1607" t="s">
        <v>802</v>
      </c>
      <c r="L370" s="1607"/>
      <c r="M370" s="560"/>
      <c r="N370" s="1607" t="s">
        <v>803</v>
      </c>
      <c r="O370" s="1607"/>
      <c r="P370" s="561"/>
      <c r="Q370" s="1571" t="s">
        <v>280</v>
      </c>
      <c r="R370" s="1571"/>
      <c r="S370" s="1605"/>
      <c r="T370" s="1605"/>
      <c r="U370" s="1606"/>
    </row>
    <row r="371" spans="1:24" ht="21" customHeight="1">
      <c r="A371" s="1574">
        <f t="shared" ref="A371" si="140">IF(X371=0,0,W371)</f>
        <v>0</v>
      </c>
      <c r="B371" s="1575"/>
      <c r="C371" s="1575"/>
      <c r="D371" s="1575"/>
      <c r="E371" s="1576"/>
      <c r="F371" s="1576"/>
      <c r="G371" s="1576"/>
      <c r="H371" s="1544"/>
      <c r="I371" s="1544"/>
      <c r="J371" s="1576"/>
      <c r="K371" s="1576"/>
      <c r="L371" s="1576"/>
      <c r="M371" s="1548"/>
      <c r="N371" s="1549"/>
      <c r="O371" s="1550"/>
      <c r="P371" s="1555"/>
      <c r="Q371" s="1577">
        <f ca="1">IF(X371=0,0,IF(AND(P371='Data Base'!J380,G374&gt;0.5),0,G374*(IF(EXACT(M374,"نفر اول"),INDIRECT(CONCATENATE("'Data Base'!$C",J374)),INDIRECT(CONCATENATE("'Data Base'!$D",J374))))*((100-P374)/100)))</f>
        <v>0</v>
      </c>
      <c r="R371" s="1581">
        <f ca="1">IF(X371=0,0,IF(AND(P371='Data Base'!J380,G375&gt;0.5),0,G375*(IF(EXACT(M375,"نفر اول"),INDIRECT(CONCATENATE("'Data Base'!$C",J375)),INDIRECT(CONCATENATE("'Data Base'!$D",J375))))*((100-P375)/100)))</f>
        <v>0</v>
      </c>
      <c r="S371" s="1584"/>
      <c r="T371" s="1576"/>
      <c r="U371" s="1600"/>
      <c r="W371" s="220">
        <f t="shared" ref="W371" si="141">SUM(W366,X371)</f>
        <v>0</v>
      </c>
      <c r="X371" s="220">
        <f>IF(OR(E371="",P371="",J371="",M371="",D373="",C373="",B373=""),0,1)</f>
        <v>0</v>
      </c>
    </row>
    <row r="372" spans="1:24" ht="21" customHeight="1">
      <c r="A372" s="1574"/>
      <c r="B372" s="553" t="s">
        <v>230</v>
      </c>
      <c r="C372" s="553" t="s">
        <v>231</v>
      </c>
      <c r="D372" s="553" t="s">
        <v>16</v>
      </c>
      <c r="E372" s="1541"/>
      <c r="F372" s="1541"/>
      <c r="G372" s="1541"/>
      <c r="H372" s="1538"/>
      <c r="I372" s="1538"/>
      <c r="J372" s="1541"/>
      <c r="K372" s="1541"/>
      <c r="L372" s="1541"/>
      <c r="M372" s="1548"/>
      <c r="N372" s="1549"/>
      <c r="O372" s="1550"/>
      <c r="P372" s="1555"/>
      <c r="Q372" s="1558"/>
      <c r="R372" s="1598"/>
      <c r="S372" s="1599"/>
      <c r="T372" s="1541"/>
      <c r="U372" s="1601"/>
    </row>
    <row r="373" spans="1:24" ht="21" customHeight="1">
      <c r="A373" s="1574"/>
      <c r="B373" s="562"/>
      <c r="C373" s="562"/>
      <c r="D373" s="562"/>
      <c r="E373" s="1542"/>
      <c r="F373" s="1542"/>
      <c r="G373" s="1542"/>
      <c r="H373" s="1539"/>
      <c r="I373" s="1539"/>
      <c r="J373" s="1542"/>
      <c r="K373" s="1542"/>
      <c r="L373" s="1542"/>
      <c r="M373" s="1548"/>
      <c r="N373" s="1549"/>
      <c r="O373" s="1550"/>
      <c r="P373" s="1555"/>
      <c r="Q373" s="1559"/>
      <c r="R373" s="1579"/>
      <c r="S373" s="1582"/>
      <c r="T373" s="1542"/>
      <c r="U373" s="1602"/>
    </row>
    <row r="374" spans="1:24" ht="21" customHeight="1">
      <c r="A374" s="1588" t="s">
        <v>279</v>
      </c>
      <c r="B374" s="1589"/>
      <c r="C374" s="1589"/>
      <c r="D374" s="1589"/>
      <c r="E374" s="1591" t="s">
        <v>800</v>
      </c>
      <c r="F374" s="1591"/>
      <c r="G374" s="555"/>
      <c r="H374" s="1499" t="s">
        <v>801</v>
      </c>
      <c r="I374" s="1499"/>
      <c r="J374" s="518"/>
      <c r="K374" s="1499" t="s">
        <v>802</v>
      </c>
      <c r="L374" s="1499"/>
      <c r="M374" s="556"/>
      <c r="N374" s="1499" t="s">
        <v>803</v>
      </c>
      <c r="O374" s="1499"/>
      <c r="P374" s="557"/>
      <c r="Q374" s="1570" t="s">
        <v>280</v>
      </c>
      <c r="R374" s="1570"/>
      <c r="S374" s="1568"/>
      <c r="T374" s="1568"/>
      <c r="U374" s="1569"/>
    </row>
    <row r="375" spans="1:24" ht="21" customHeight="1">
      <c r="A375" s="1592" t="s">
        <v>30</v>
      </c>
      <c r="B375" s="1593"/>
      <c r="C375" s="1593"/>
      <c r="D375" s="1608"/>
      <c r="E375" s="1603" t="s">
        <v>800</v>
      </c>
      <c r="F375" s="1604"/>
      <c r="G375" s="558"/>
      <c r="H375" s="1607" t="s">
        <v>801</v>
      </c>
      <c r="I375" s="1607"/>
      <c r="J375" s="559"/>
      <c r="K375" s="1607" t="s">
        <v>802</v>
      </c>
      <c r="L375" s="1607"/>
      <c r="M375" s="560"/>
      <c r="N375" s="1607" t="s">
        <v>803</v>
      </c>
      <c r="O375" s="1607"/>
      <c r="P375" s="561"/>
      <c r="Q375" s="1571" t="s">
        <v>280</v>
      </c>
      <c r="R375" s="1571"/>
      <c r="S375" s="1605"/>
      <c r="T375" s="1605"/>
      <c r="U375" s="1606"/>
    </row>
    <row r="376" spans="1:24" ht="21" customHeight="1">
      <c r="A376" s="1574">
        <f t="shared" ref="A376" si="142">IF(X376=0,0,W376)</f>
        <v>0</v>
      </c>
      <c r="B376" s="1575"/>
      <c r="C376" s="1575"/>
      <c r="D376" s="1575"/>
      <c r="E376" s="1576"/>
      <c r="F376" s="1576"/>
      <c r="G376" s="1576"/>
      <c r="H376" s="1544"/>
      <c r="I376" s="1544"/>
      <c r="J376" s="1576"/>
      <c r="K376" s="1576"/>
      <c r="L376" s="1576"/>
      <c r="M376" s="1548"/>
      <c r="N376" s="1549"/>
      <c r="O376" s="1550"/>
      <c r="P376" s="1555"/>
      <c r="Q376" s="1577">
        <f ca="1">IF(X376=0,0,IF(AND(P376='Data Base'!J385,G379&gt;0.5),0,G379*(IF(EXACT(M379,"نفر اول"),INDIRECT(CONCATENATE("'Data Base'!$C",J379)),INDIRECT(CONCATENATE("'Data Base'!$D",J379))))*((100-P379)/100)))</f>
        <v>0</v>
      </c>
      <c r="R376" s="1581">
        <f ca="1">IF(X376=0,0,IF(AND(P376='Data Base'!J385,G380&gt;0.5),0,G380*(IF(EXACT(M380,"نفر اول"),INDIRECT(CONCATENATE("'Data Base'!$C",J380)),INDIRECT(CONCATENATE("'Data Base'!$D",J380))))*((100-P380)/100)))</f>
        <v>0</v>
      </c>
      <c r="S376" s="1584"/>
      <c r="T376" s="1576"/>
      <c r="U376" s="1600"/>
      <c r="W376" s="220">
        <f t="shared" ref="W376" si="143">SUM(W371,X376)</f>
        <v>0</v>
      </c>
      <c r="X376" s="220">
        <f>IF(OR(E376="",P376="",J376="",M376="",D378="",C378="",B378=""),0,1)</f>
        <v>0</v>
      </c>
    </row>
    <row r="377" spans="1:24" ht="21.75" customHeight="1">
      <c r="A377" s="1574"/>
      <c r="B377" s="553" t="s">
        <v>230</v>
      </c>
      <c r="C377" s="553" t="s">
        <v>231</v>
      </c>
      <c r="D377" s="553" t="s">
        <v>16</v>
      </c>
      <c r="E377" s="1541"/>
      <c r="F377" s="1541"/>
      <c r="G377" s="1541"/>
      <c r="H377" s="1538"/>
      <c r="I377" s="1538"/>
      <c r="J377" s="1541"/>
      <c r="K377" s="1541"/>
      <c r="L377" s="1541"/>
      <c r="M377" s="1548"/>
      <c r="N377" s="1549"/>
      <c r="O377" s="1550"/>
      <c r="P377" s="1555"/>
      <c r="Q377" s="1558"/>
      <c r="R377" s="1598"/>
      <c r="S377" s="1599"/>
      <c r="T377" s="1541"/>
      <c r="U377" s="1601"/>
    </row>
    <row r="378" spans="1:24" ht="21.75" customHeight="1">
      <c r="A378" s="1574"/>
      <c r="B378" s="562"/>
      <c r="C378" s="562"/>
      <c r="D378" s="562"/>
      <c r="E378" s="1542"/>
      <c r="F378" s="1542"/>
      <c r="G378" s="1542"/>
      <c r="H378" s="1539"/>
      <c r="I378" s="1539"/>
      <c r="J378" s="1542"/>
      <c r="K378" s="1542"/>
      <c r="L378" s="1542"/>
      <c r="M378" s="1548"/>
      <c r="N378" s="1549"/>
      <c r="O378" s="1550"/>
      <c r="P378" s="1555"/>
      <c r="Q378" s="1559"/>
      <c r="R378" s="1579"/>
      <c r="S378" s="1582"/>
      <c r="T378" s="1542"/>
      <c r="U378" s="1602"/>
    </row>
    <row r="379" spans="1:24" ht="20.25">
      <c r="A379" s="1588" t="s">
        <v>279</v>
      </c>
      <c r="B379" s="1589"/>
      <c r="C379" s="1589"/>
      <c r="D379" s="1589"/>
      <c r="E379" s="1591" t="s">
        <v>800</v>
      </c>
      <c r="F379" s="1591"/>
      <c r="G379" s="555"/>
      <c r="H379" s="1499" t="s">
        <v>801</v>
      </c>
      <c r="I379" s="1499"/>
      <c r="J379" s="518"/>
      <c r="K379" s="1499" t="s">
        <v>802</v>
      </c>
      <c r="L379" s="1499"/>
      <c r="M379" s="556"/>
      <c r="N379" s="1499" t="s">
        <v>803</v>
      </c>
      <c r="O379" s="1499"/>
      <c r="P379" s="557"/>
      <c r="Q379" s="1570" t="s">
        <v>280</v>
      </c>
      <c r="R379" s="1570"/>
      <c r="S379" s="1568"/>
      <c r="T379" s="1568"/>
      <c r="U379" s="1569"/>
    </row>
    <row r="380" spans="1:24" ht="20.25">
      <c r="A380" s="1592" t="s">
        <v>30</v>
      </c>
      <c r="B380" s="1593"/>
      <c r="C380" s="1593"/>
      <c r="D380" s="1608"/>
      <c r="E380" s="1603" t="s">
        <v>800</v>
      </c>
      <c r="F380" s="1604"/>
      <c r="G380" s="558"/>
      <c r="H380" s="1607" t="s">
        <v>801</v>
      </c>
      <c r="I380" s="1607"/>
      <c r="J380" s="559"/>
      <c r="K380" s="1607" t="s">
        <v>802</v>
      </c>
      <c r="L380" s="1607"/>
      <c r="M380" s="560"/>
      <c r="N380" s="1607" t="s">
        <v>803</v>
      </c>
      <c r="O380" s="1607"/>
      <c r="P380" s="561"/>
      <c r="Q380" s="1571" t="s">
        <v>280</v>
      </c>
      <c r="R380" s="1571"/>
      <c r="S380" s="1605"/>
      <c r="T380" s="1605"/>
      <c r="U380" s="1606"/>
    </row>
    <row r="381" spans="1:24" ht="27.75" customHeight="1">
      <c r="A381" s="1574">
        <f t="shared" ref="A381" si="144">IF(X381=0,0,W381)</f>
        <v>0</v>
      </c>
      <c r="B381" s="1575"/>
      <c r="C381" s="1575"/>
      <c r="D381" s="1575"/>
      <c r="E381" s="1576"/>
      <c r="F381" s="1576"/>
      <c r="G381" s="1576"/>
      <c r="H381" s="1544"/>
      <c r="I381" s="1544"/>
      <c r="J381" s="1576"/>
      <c r="K381" s="1576"/>
      <c r="L381" s="1576"/>
      <c r="M381" s="1548"/>
      <c r="N381" s="1549"/>
      <c r="O381" s="1550"/>
      <c r="P381" s="1555"/>
      <c r="Q381" s="1577">
        <f ca="1">IF(X381=0,0,IF(AND(P381='Data Base'!J390,G384&gt;0.5),0,G384*(IF(EXACT(M384,"نفر اول"),INDIRECT(CONCATENATE("'Data Base'!$C",J384)),INDIRECT(CONCATENATE("'Data Base'!$D",J384))))*((100-P384)/100)))</f>
        <v>0</v>
      </c>
      <c r="R381" s="1581">
        <f ca="1">IF(X381=0,0,IF(AND(P381='Data Base'!J390,G385&gt;0.5),0,G385*(IF(EXACT(M385,"نفر اول"),INDIRECT(CONCATENATE("'Data Base'!$C",J385)),INDIRECT(CONCATENATE("'Data Base'!$D",J385))))*((100-P385)/100)))</f>
        <v>0</v>
      </c>
      <c r="S381" s="1584"/>
      <c r="T381" s="1576"/>
      <c r="U381" s="1600"/>
      <c r="W381" s="220">
        <f t="shared" ref="W381" si="145">SUM(W376,X381)</f>
        <v>0</v>
      </c>
      <c r="X381" s="220">
        <f>IF(OR(E381="",P381="",J381="",M381="",D383="",C383="",B383=""),0,1)</f>
        <v>0</v>
      </c>
    </row>
    <row r="382" spans="1:24" ht="21.75" customHeight="1">
      <c r="A382" s="1574"/>
      <c r="B382" s="553" t="s">
        <v>230</v>
      </c>
      <c r="C382" s="553" t="s">
        <v>231</v>
      </c>
      <c r="D382" s="553" t="s">
        <v>16</v>
      </c>
      <c r="E382" s="1541"/>
      <c r="F382" s="1541"/>
      <c r="G382" s="1541"/>
      <c r="H382" s="1538"/>
      <c r="I382" s="1538"/>
      <c r="J382" s="1541"/>
      <c r="K382" s="1541"/>
      <c r="L382" s="1541"/>
      <c r="M382" s="1548"/>
      <c r="N382" s="1549"/>
      <c r="O382" s="1550"/>
      <c r="P382" s="1555"/>
      <c r="Q382" s="1558"/>
      <c r="R382" s="1598"/>
      <c r="S382" s="1599"/>
      <c r="T382" s="1541"/>
      <c r="U382" s="1601"/>
    </row>
    <row r="383" spans="1:24" ht="21.75" customHeight="1">
      <c r="A383" s="1574"/>
      <c r="B383" s="562"/>
      <c r="C383" s="562"/>
      <c r="D383" s="562"/>
      <c r="E383" s="1542"/>
      <c r="F383" s="1542"/>
      <c r="G383" s="1542"/>
      <c r="H383" s="1539"/>
      <c r="I383" s="1539"/>
      <c r="J383" s="1542"/>
      <c r="K383" s="1542"/>
      <c r="L383" s="1542"/>
      <c r="M383" s="1548"/>
      <c r="N383" s="1549"/>
      <c r="O383" s="1550"/>
      <c r="P383" s="1555"/>
      <c r="Q383" s="1559"/>
      <c r="R383" s="1579"/>
      <c r="S383" s="1582"/>
      <c r="T383" s="1542"/>
      <c r="U383" s="1602"/>
    </row>
    <row r="384" spans="1:24" ht="20.25">
      <c r="A384" s="1588" t="s">
        <v>279</v>
      </c>
      <c r="B384" s="1589"/>
      <c r="C384" s="1589"/>
      <c r="D384" s="1589"/>
      <c r="E384" s="1591" t="s">
        <v>800</v>
      </c>
      <c r="F384" s="1591"/>
      <c r="G384" s="555"/>
      <c r="H384" s="1499" t="s">
        <v>801</v>
      </c>
      <c r="I384" s="1499"/>
      <c r="J384" s="518"/>
      <c r="K384" s="1499" t="s">
        <v>802</v>
      </c>
      <c r="L384" s="1499"/>
      <c r="M384" s="556"/>
      <c r="N384" s="1499" t="s">
        <v>803</v>
      </c>
      <c r="O384" s="1499"/>
      <c r="P384" s="557"/>
      <c r="Q384" s="1570" t="s">
        <v>280</v>
      </c>
      <c r="R384" s="1570"/>
      <c r="S384" s="1568"/>
      <c r="T384" s="1568"/>
      <c r="U384" s="1569"/>
    </row>
    <row r="385" spans="1:24" ht="20.25">
      <c r="A385" s="1592" t="s">
        <v>30</v>
      </c>
      <c r="B385" s="1593"/>
      <c r="C385" s="1593"/>
      <c r="D385" s="1608"/>
      <c r="E385" s="1603" t="s">
        <v>800</v>
      </c>
      <c r="F385" s="1604"/>
      <c r="G385" s="558"/>
      <c r="H385" s="1607" t="s">
        <v>801</v>
      </c>
      <c r="I385" s="1607"/>
      <c r="J385" s="559"/>
      <c r="K385" s="1607" t="s">
        <v>802</v>
      </c>
      <c r="L385" s="1607"/>
      <c r="M385" s="560"/>
      <c r="N385" s="1607" t="s">
        <v>803</v>
      </c>
      <c r="O385" s="1607"/>
      <c r="P385" s="561"/>
      <c r="Q385" s="1571" t="s">
        <v>280</v>
      </c>
      <c r="R385" s="1571"/>
      <c r="S385" s="1605"/>
      <c r="T385" s="1605"/>
      <c r="U385" s="1606"/>
    </row>
    <row r="386" spans="1:24" ht="18" customHeight="1">
      <c r="A386" s="1574">
        <f t="shared" ref="A386" si="146">IF(X386=0,0,W386)</f>
        <v>0</v>
      </c>
      <c r="B386" s="1575"/>
      <c r="C386" s="1575"/>
      <c r="D386" s="1575"/>
      <c r="E386" s="1576"/>
      <c r="F386" s="1576"/>
      <c r="G386" s="1576"/>
      <c r="H386" s="1544"/>
      <c r="I386" s="1544"/>
      <c r="J386" s="1576"/>
      <c r="K386" s="1576"/>
      <c r="L386" s="1576"/>
      <c r="M386" s="1548"/>
      <c r="N386" s="1549"/>
      <c r="O386" s="1550"/>
      <c r="P386" s="1555"/>
      <c r="Q386" s="1577">
        <f ca="1">IF(X386=0,0,IF(AND(P386='Data Base'!J395,G389&gt;0.5),0,G389*(IF(EXACT(M389,"نفر اول"),INDIRECT(CONCATENATE("'Data Base'!$C",J389)),INDIRECT(CONCATENATE("'Data Base'!$D",J389))))*((100-P389)/100)))</f>
        <v>0</v>
      </c>
      <c r="R386" s="1581">
        <f ca="1">IF(X386=0,0,IF(AND(P386='Data Base'!J395,G390&gt;0.5),0,G390*(IF(EXACT(M390,"نفر اول"),INDIRECT(CONCATENATE("'Data Base'!$C",J390)),INDIRECT(CONCATENATE("'Data Base'!$D",J390))))*((100-P390)/100)))</f>
        <v>0</v>
      </c>
      <c r="S386" s="1584"/>
      <c r="T386" s="1576"/>
      <c r="U386" s="1600"/>
      <c r="W386" s="220">
        <f t="shared" ref="W386" si="147">SUM(W381,X386)</f>
        <v>0</v>
      </c>
      <c r="X386" s="220">
        <f>IF(OR(E386="",P386="",J386="",M386="",D388="",C388="",B388=""),0,1)</f>
        <v>0</v>
      </c>
    </row>
    <row r="387" spans="1:24" ht="18" customHeight="1">
      <c r="A387" s="1574"/>
      <c r="B387" s="553" t="s">
        <v>230</v>
      </c>
      <c r="C387" s="553" t="s">
        <v>231</v>
      </c>
      <c r="D387" s="553" t="s">
        <v>16</v>
      </c>
      <c r="E387" s="1541"/>
      <c r="F387" s="1541"/>
      <c r="G387" s="1541"/>
      <c r="H387" s="1538"/>
      <c r="I387" s="1538"/>
      <c r="J387" s="1541"/>
      <c r="K387" s="1541"/>
      <c r="L387" s="1541"/>
      <c r="M387" s="1548"/>
      <c r="N387" s="1549"/>
      <c r="O387" s="1550"/>
      <c r="P387" s="1555"/>
      <c r="Q387" s="1558"/>
      <c r="R387" s="1598"/>
      <c r="S387" s="1599"/>
      <c r="T387" s="1541"/>
      <c r="U387" s="1601"/>
    </row>
    <row r="388" spans="1:24" ht="18" customHeight="1">
      <c r="A388" s="1574"/>
      <c r="B388" s="562"/>
      <c r="C388" s="562"/>
      <c r="D388" s="562"/>
      <c r="E388" s="1542"/>
      <c r="F388" s="1542"/>
      <c r="G388" s="1542"/>
      <c r="H388" s="1539"/>
      <c r="I388" s="1539"/>
      <c r="J388" s="1542"/>
      <c r="K388" s="1542"/>
      <c r="L388" s="1542"/>
      <c r="M388" s="1548"/>
      <c r="N388" s="1549"/>
      <c r="O388" s="1550"/>
      <c r="P388" s="1555"/>
      <c r="Q388" s="1559"/>
      <c r="R388" s="1579"/>
      <c r="S388" s="1582"/>
      <c r="T388" s="1542"/>
      <c r="U388" s="1602"/>
    </row>
    <row r="389" spans="1:24" ht="20.25">
      <c r="A389" s="1588" t="s">
        <v>279</v>
      </c>
      <c r="B389" s="1589"/>
      <c r="C389" s="1589"/>
      <c r="D389" s="1589"/>
      <c r="E389" s="1591" t="s">
        <v>800</v>
      </c>
      <c r="F389" s="1591"/>
      <c r="G389" s="555"/>
      <c r="H389" s="1499" t="s">
        <v>801</v>
      </c>
      <c r="I389" s="1499"/>
      <c r="J389" s="518"/>
      <c r="K389" s="1499" t="s">
        <v>802</v>
      </c>
      <c r="L389" s="1499"/>
      <c r="M389" s="556"/>
      <c r="N389" s="1499" t="s">
        <v>803</v>
      </c>
      <c r="O389" s="1499"/>
      <c r="P389" s="557"/>
      <c r="Q389" s="1570" t="s">
        <v>280</v>
      </c>
      <c r="R389" s="1570"/>
      <c r="S389" s="1568"/>
      <c r="T389" s="1568"/>
      <c r="U389" s="1569"/>
    </row>
    <row r="390" spans="1:24" ht="20.25">
      <c r="A390" s="1592" t="s">
        <v>30</v>
      </c>
      <c r="B390" s="1593"/>
      <c r="C390" s="1593"/>
      <c r="D390" s="1608"/>
      <c r="E390" s="1603" t="s">
        <v>800</v>
      </c>
      <c r="F390" s="1604"/>
      <c r="G390" s="558"/>
      <c r="H390" s="1607" t="s">
        <v>801</v>
      </c>
      <c r="I390" s="1607"/>
      <c r="J390" s="559"/>
      <c r="K390" s="1607" t="s">
        <v>802</v>
      </c>
      <c r="L390" s="1607"/>
      <c r="M390" s="560"/>
      <c r="N390" s="1607" t="s">
        <v>803</v>
      </c>
      <c r="O390" s="1607"/>
      <c r="P390" s="561"/>
      <c r="Q390" s="1571" t="s">
        <v>280</v>
      </c>
      <c r="R390" s="1571"/>
      <c r="S390" s="1605"/>
      <c r="T390" s="1605"/>
      <c r="U390" s="1606"/>
    </row>
    <row r="391" spans="1:24" ht="18" customHeight="1">
      <c r="A391" s="1574">
        <f t="shared" ref="A391" si="148">IF(X391=0,0,W391)</f>
        <v>0</v>
      </c>
      <c r="B391" s="1575"/>
      <c r="C391" s="1575"/>
      <c r="D391" s="1575"/>
      <c r="E391" s="1576"/>
      <c r="F391" s="1576"/>
      <c r="G391" s="1576"/>
      <c r="H391" s="1544"/>
      <c r="I391" s="1544"/>
      <c r="J391" s="1576"/>
      <c r="K391" s="1576"/>
      <c r="L391" s="1576"/>
      <c r="M391" s="1548"/>
      <c r="N391" s="1549"/>
      <c r="O391" s="1550"/>
      <c r="P391" s="1555"/>
      <c r="Q391" s="1577">
        <f ca="1">IF(X391=0,0,IF(AND(P391='Data Base'!J400,G394&gt;0.5),0,G394*(IF(EXACT(M394,"نفر اول"),INDIRECT(CONCATENATE("'Data Base'!$C",J394)),INDIRECT(CONCATENATE("'Data Base'!$D",J394))))*((100-P394)/100)))</f>
        <v>0</v>
      </c>
      <c r="R391" s="1581">
        <f ca="1">IF(X391=0,0,IF(AND(P391='Data Base'!J400,G395&gt;0.5),0,G395*(IF(EXACT(M395,"نفر اول"),INDIRECT(CONCATENATE("'Data Base'!$C",J395)),INDIRECT(CONCATENATE("'Data Base'!$D",J395))))*((100-P395)/100)))</f>
        <v>0</v>
      </c>
      <c r="S391" s="1584"/>
      <c r="T391" s="1576"/>
      <c r="U391" s="1600"/>
      <c r="W391" s="220">
        <f t="shared" ref="W391" si="149">SUM(W386,X391)</f>
        <v>0</v>
      </c>
      <c r="X391" s="220">
        <f>IF(OR(E391="",P391="",J391="",M391="",D393="",C393="",B393=""),0,1)</f>
        <v>0</v>
      </c>
    </row>
    <row r="392" spans="1:24" ht="18" customHeight="1">
      <c r="A392" s="1574"/>
      <c r="B392" s="553" t="s">
        <v>230</v>
      </c>
      <c r="C392" s="553" t="s">
        <v>231</v>
      </c>
      <c r="D392" s="553" t="s">
        <v>16</v>
      </c>
      <c r="E392" s="1541"/>
      <c r="F392" s="1541"/>
      <c r="G392" s="1541"/>
      <c r="H392" s="1538"/>
      <c r="I392" s="1538"/>
      <c r="J392" s="1541"/>
      <c r="K392" s="1541"/>
      <c r="L392" s="1541"/>
      <c r="M392" s="1548"/>
      <c r="N392" s="1549"/>
      <c r="O392" s="1550"/>
      <c r="P392" s="1555"/>
      <c r="Q392" s="1558"/>
      <c r="R392" s="1598"/>
      <c r="S392" s="1599"/>
      <c r="T392" s="1541"/>
      <c r="U392" s="1601"/>
    </row>
    <row r="393" spans="1:24" ht="18" customHeight="1">
      <c r="A393" s="1574"/>
      <c r="B393" s="562"/>
      <c r="C393" s="562"/>
      <c r="D393" s="562"/>
      <c r="E393" s="1542"/>
      <c r="F393" s="1542"/>
      <c r="G393" s="1542"/>
      <c r="H393" s="1539"/>
      <c r="I393" s="1539"/>
      <c r="J393" s="1542"/>
      <c r="K393" s="1542"/>
      <c r="L393" s="1542"/>
      <c r="M393" s="1548"/>
      <c r="N393" s="1549"/>
      <c r="O393" s="1550"/>
      <c r="P393" s="1555"/>
      <c r="Q393" s="1559"/>
      <c r="R393" s="1579"/>
      <c r="S393" s="1582"/>
      <c r="T393" s="1542"/>
      <c r="U393" s="1602"/>
    </row>
    <row r="394" spans="1:24" ht="20.25">
      <c r="A394" s="1588" t="s">
        <v>279</v>
      </c>
      <c r="B394" s="1589"/>
      <c r="C394" s="1589"/>
      <c r="D394" s="1589"/>
      <c r="E394" s="1591" t="s">
        <v>800</v>
      </c>
      <c r="F394" s="1591"/>
      <c r="G394" s="555"/>
      <c r="H394" s="1499" t="s">
        <v>801</v>
      </c>
      <c r="I394" s="1499"/>
      <c r="J394" s="518"/>
      <c r="K394" s="1499" t="s">
        <v>802</v>
      </c>
      <c r="L394" s="1499"/>
      <c r="M394" s="556"/>
      <c r="N394" s="1499" t="s">
        <v>803</v>
      </c>
      <c r="O394" s="1499"/>
      <c r="P394" s="557"/>
      <c r="Q394" s="1570" t="s">
        <v>280</v>
      </c>
      <c r="R394" s="1570"/>
      <c r="S394" s="1568"/>
      <c r="T394" s="1568"/>
      <c r="U394" s="1569"/>
    </row>
    <row r="395" spans="1:24" ht="20.25">
      <c r="A395" s="1592" t="s">
        <v>30</v>
      </c>
      <c r="B395" s="1593"/>
      <c r="C395" s="1593"/>
      <c r="D395" s="1608"/>
      <c r="E395" s="1603" t="s">
        <v>800</v>
      </c>
      <c r="F395" s="1604"/>
      <c r="G395" s="558"/>
      <c r="H395" s="1607" t="s">
        <v>801</v>
      </c>
      <c r="I395" s="1607"/>
      <c r="J395" s="559"/>
      <c r="K395" s="1607" t="s">
        <v>802</v>
      </c>
      <c r="L395" s="1607"/>
      <c r="M395" s="560"/>
      <c r="N395" s="1607" t="s">
        <v>803</v>
      </c>
      <c r="O395" s="1607"/>
      <c r="P395" s="561"/>
      <c r="Q395" s="1571" t="s">
        <v>280</v>
      </c>
      <c r="R395" s="1571"/>
      <c r="S395" s="1605"/>
      <c r="T395" s="1605"/>
      <c r="U395" s="1606"/>
    </row>
    <row r="396" spans="1:24" ht="18" customHeight="1">
      <c r="A396" s="1574">
        <f t="shared" ref="A396" si="150">IF(X396=0,0,W396)</f>
        <v>0</v>
      </c>
      <c r="B396" s="1575"/>
      <c r="C396" s="1575"/>
      <c r="D396" s="1575"/>
      <c r="E396" s="1576"/>
      <c r="F396" s="1576"/>
      <c r="G396" s="1576"/>
      <c r="H396" s="1544"/>
      <c r="I396" s="1544"/>
      <c r="J396" s="1576"/>
      <c r="K396" s="1576"/>
      <c r="L396" s="1576"/>
      <c r="M396" s="1548"/>
      <c r="N396" s="1549"/>
      <c r="O396" s="1550"/>
      <c r="P396" s="1555"/>
      <c r="Q396" s="1577">
        <f ca="1">IF(X396=0,0,IF(AND(P396='Data Base'!J405,G399&gt;0.5),0,G399*(IF(EXACT(M399,"نفر اول"),INDIRECT(CONCATENATE("'Data Base'!$C",J399)),INDIRECT(CONCATENATE("'Data Base'!$D",J399))))*((100-P399)/100)))</f>
        <v>0</v>
      </c>
      <c r="R396" s="1581">
        <f ca="1">IF(X396=0,0,IF(AND(P396='Data Base'!J405,G400&gt;0.5),0,G400*(IF(EXACT(M400,"نفر اول"),INDIRECT(CONCATENATE("'Data Base'!$C",J400)),INDIRECT(CONCATENATE("'Data Base'!$D",J400))))*((100-P400)/100)))</f>
        <v>0</v>
      </c>
      <c r="S396" s="1584"/>
      <c r="T396" s="1576"/>
      <c r="U396" s="1600"/>
      <c r="W396" s="220">
        <f t="shared" ref="W396" si="151">SUM(W391,X396)</f>
        <v>0</v>
      </c>
      <c r="X396" s="220">
        <f>IF(OR(E396="",P396="",J396="",M396="",D398="",C398="",B398=""),0,1)</f>
        <v>0</v>
      </c>
    </row>
    <row r="397" spans="1:24" ht="18" customHeight="1">
      <c r="A397" s="1574"/>
      <c r="B397" s="553" t="s">
        <v>230</v>
      </c>
      <c r="C397" s="553" t="s">
        <v>231</v>
      </c>
      <c r="D397" s="553" t="s">
        <v>16</v>
      </c>
      <c r="E397" s="1541"/>
      <c r="F397" s="1541"/>
      <c r="G397" s="1541"/>
      <c r="H397" s="1538"/>
      <c r="I397" s="1538"/>
      <c r="J397" s="1541"/>
      <c r="K397" s="1541"/>
      <c r="L397" s="1541"/>
      <c r="M397" s="1548"/>
      <c r="N397" s="1549"/>
      <c r="O397" s="1550"/>
      <c r="P397" s="1555"/>
      <c r="Q397" s="1558"/>
      <c r="R397" s="1598"/>
      <c r="S397" s="1599"/>
      <c r="T397" s="1541"/>
      <c r="U397" s="1601"/>
    </row>
    <row r="398" spans="1:24" ht="18" customHeight="1">
      <c r="A398" s="1574"/>
      <c r="B398" s="562"/>
      <c r="C398" s="562"/>
      <c r="D398" s="562"/>
      <c r="E398" s="1542"/>
      <c r="F398" s="1542"/>
      <c r="G398" s="1542"/>
      <c r="H398" s="1539"/>
      <c r="I398" s="1539"/>
      <c r="J398" s="1542"/>
      <c r="K398" s="1542"/>
      <c r="L398" s="1542"/>
      <c r="M398" s="1548"/>
      <c r="N398" s="1549"/>
      <c r="O398" s="1550"/>
      <c r="P398" s="1555"/>
      <c r="Q398" s="1559"/>
      <c r="R398" s="1579"/>
      <c r="S398" s="1582"/>
      <c r="T398" s="1542"/>
      <c r="U398" s="1602"/>
    </row>
    <row r="399" spans="1:24" ht="20.25">
      <c r="A399" s="1588" t="s">
        <v>279</v>
      </c>
      <c r="B399" s="1589"/>
      <c r="C399" s="1589"/>
      <c r="D399" s="1589"/>
      <c r="E399" s="1591" t="s">
        <v>800</v>
      </c>
      <c r="F399" s="1591"/>
      <c r="G399" s="555"/>
      <c r="H399" s="1499" t="s">
        <v>801</v>
      </c>
      <c r="I399" s="1499"/>
      <c r="J399" s="518"/>
      <c r="K399" s="1499" t="s">
        <v>802</v>
      </c>
      <c r="L399" s="1499"/>
      <c r="M399" s="556"/>
      <c r="N399" s="1499" t="s">
        <v>803</v>
      </c>
      <c r="O399" s="1499"/>
      <c r="P399" s="557"/>
      <c r="Q399" s="1570" t="s">
        <v>280</v>
      </c>
      <c r="R399" s="1570"/>
      <c r="S399" s="1568"/>
      <c r="T399" s="1568"/>
      <c r="U399" s="1569"/>
    </row>
    <row r="400" spans="1:24" ht="20.25">
      <c r="A400" s="1592" t="s">
        <v>30</v>
      </c>
      <c r="B400" s="1593"/>
      <c r="C400" s="1593"/>
      <c r="D400" s="1608"/>
      <c r="E400" s="1603" t="s">
        <v>800</v>
      </c>
      <c r="F400" s="1604"/>
      <c r="G400" s="558"/>
      <c r="H400" s="1607" t="s">
        <v>801</v>
      </c>
      <c r="I400" s="1607"/>
      <c r="J400" s="559"/>
      <c r="K400" s="1607" t="s">
        <v>802</v>
      </c>
      <c r="L400" s="1607"/>
      <c r="M400" s="560"/>
      <c r="N400" s="1607" t="s">
        <v>803</v>
      </c>
      <c r="O400" s="1607"/>
      <c r="P400" s="561"/>
      <c r="Q400" s="1571" t="s">
        <v>280</v>
      </c>
      <c r="R400" s="1571"/>
      <c r="S400" s="1605"/>
      <c r="T400" s="1605"/>
      <c r="U400" s="1606"/>
    </row>
    <row r="401" spans="1:24" ht="18" customHeight="1">
      <c r="A401" s="1574">
        <f t="shared" ref="A401" si="152">IF(X401=0,0,W401)</f>
        <v>0</v>
      </c>
      <c r="B401" s="1575"/>
      <c r="C401" s="1575"/>
      <c r="D401" s="1575"/>
      <c r="E401" s="1576"/>
      <c r="F401" s="1576"/>
      <c r="G401" s="1576"/>
      <c r="H401" s="1544"/>
      <c r="I401" s="1544"/>
      <c r="J401" s="1576"/>
      <c r="K401" s="1576"/>
      <c r="L401" s="1576"/>
      <c r="M401" s="1548"/>
      <c r="N401" s="1549"/>
      <c r="O401" s="1550"/>
      <c r="P401" s="1555"/>
      <c r="Q401" s="1577">
        <f ca="1">IF(X401=0,0,IF(AND(P401='Data Base'!J410,G404&gt;0.5),0,G404*(IF(EXACT(M404,"نفر اول"),INDIRECT(CONCATENATE("'Data Base'!$C",J404)),INDIRECT(CONCATENATE("'Data Base'!$D",J404))))*((100-P404)/100)))</f>
        <v>0</v>
      </c>
      <c r="R401" s="1581">
        <f ca="1">IF(X401=0,0,IF(AND(P401='Data Base'!J410,G405&gt;0.5),0,G405*(IF(EXACT(M405,"نفر اول"),INDIRECT(CONCATENATE("'Data Base'!$C",J405)),INDIRECT(CONCATENATE("'Data Base'!$D",J405))))*((100-P405)/100)))</f>
        <v>0</v>
      </c>
      <c r="S401" s="1584"/>
      <c r="T401" s="1576"/>
      <c r="U401" s="1600"/>
      <c r="W401" s="220">
        <f t="shared" ref="W401" si="153">SUM(W396,X401)</f>
        <v>0</v>
      </c>
      <c r="X401" s="220">
        <f>IF(OR(E401="",P401="",J401="",M401="",D403="",C403="",B403=""),0,1)</f>
        <v>0</v>
      </c>
    </row>
    <row r="402" spans="1:24" ht="18" customHeight="1">
      <c r="A402" s="1574"/>
      <c r="B402" s="553" t="s">
        <v>230</v>
      </c>
      <c r="C402" s="553" t="s">
        <v>231</v>
      </c>
      <c r="D402" s="553" t="s">
        <v>16</v>
      </c>
      <c r="E402" s="1541"/>
      <c r="F402" s="1541"/>
      <c r="G402" s="1541"/>
      <c r="H402" s="1538"/>
      <c r="I402" s="1538"/>
      <c r="J402" s="1541"/>
      <c r="K402" s="1541"/>
      <c r="L402" s="1541"/>
      <c r="M402" s="1548"/>
      <c r="N402" s="1549"/>
      <c r="O402" s="1550"/>
      <c r="P402" s="1555"/>
      <c r="Q402" s="1558"/>
      <c r="R402" s="1598"/>
      <c r="S402" s="1599"/>
      <c r="T402" s="1541"/>
      <c r="U402" s="1601"/>
    </row>
    <row r="403" spans="1:24" ht="18" customHeight="1">
      <c r="A403" s="1574"/>
      <c r="B403" s="562"/>
      <c r="C403" s="562"/>
      <c r="D403" s="562"/>
      <c r="E403" s="1542"/>
      <c r="F403" s="1542"/>
      <c r="G403" s="1542"/>
      <c r="H403" s="1539"/>
      <c r="I403" s="1539"/>
      <c r="J403" s="1542"/>
      <c r="K403" s="1542"/>
      <c r="L403" s="1542"/>
      <c r="M403" s="1548"/>
      <c r="N403" s="1549"/>
      <c r="O403" s="1550"/>
      <c r="P403" s="1555"/>
      <c r="Q403" s="1559"/>
      <c r="R403" s="1579"/>
      <c r="S403" s="1582"/>
      <c r="T403" s="1542"/>
      <c r="U403" s="1602"/>
    </row>
    <row r="404" spans="1:24" ht="20.25">
      <c r="A404" s="1588" t="s">
        <v>279</v>
      </c>
      <c r="B404" s="1589"/>
      <c r="C404" s="1589"/>
      <c r="D404" s="1589"/>
      <c r="E404" s="1591" t="s">
        <v>800</v>
      </c>
      <c r="F404" s="1591"/>
      <c r="G404" s="555"/>
      <c r="H404" s="1499" t="s">
        <v>801</v>
      </c>
      <c r="I404" s="1499"/>
      <c r="J404" s="518"/>
      <c r="K404" s="1499" t="s">
        <v>802</v>
      </c>
      <c r="L404" s="1499"/>
      <c r="M404" s="556"/>
      <c r="N404" s="1499" t="s">
        <v>803</v>
      </c>
      <c r="O404" s="1499"/>
      <c r="P404" s="557"/>
      <c r="Q404" s="1570" t="s">
        <v>280</v>
      </c>
      <c r="R404" s="1570"/>
      <c r="S404" s="1568"/>
      <c r="T404" s="1568"/>
      <c r="U404" s="1569"/>
    </row>
    <row r="405" spans="1:24" ht="20.25">
      <c r="A405" s="1592" t="s">
        <v>30</v>
      </c>
      <c r="B405" s="1593"/>
      <c r="C405" s="1593"/>
      <c r="D405" s="1608"/>
      <c r="E405" s="1603" t="s">
        <v>800</v>
      </c>
      <c r="F405" s="1604"/>
      <c r="G405" s="558"/>
      <c r="H405" s="1607" t="s">
        <v>801</v>
      </c>
      <c r="I405" s="1607"/>
      <c r="J405" s="559"/>
      <c r="K405" s="1607" t="s">
        <v>802</v>
      </c>
      <c r="L405" s="1607"/>
      <c r="M405" s="560"/>
      <c r="N405" s="1607" t="s">
        <v>803</v>
      </c>
      <c r="O405" s="1607"/>
      <c r="P405" s="561"/>
      <c r="Q405" s="1571" t="s">
        <v>280</v>
      </c>
      <c r="R405" s="1571"/>
      <c r="S405" s="1605"/>
      <c r="T405" s="1605"/>
      <c r="U405" s="1606"/>
    </row>
    <row r="406" spans="1:24" ht="18" customHeight="1">
      <c r="A406" s="1574">
        <f t="shared" ref="A406" si="154">IF(X406=0,0,W406)</f>
        <v>0</v>
      </c>
      <c r="B406" s="1575"/>
      <c r="C406" s="1575"/>
      <c r="D406" s="1575"/>
      <c r="E406" s="1576"/>
      <c r="F406" s="1576"/>
      <c r="G406" s="1576"/>
      <c r="H406" s="1544"/>
      <c r="I406" s="1544"/>
      <c r="J406" s="1576"/>
      <c r="K406" s="1576"/>
      <c r="L406" s="1576"/>
      <c r="M406" s="1548"/>
      <c r="N406" s="1549"/>
      <c r="O406" s="1550"/>
      <c r="P406" s="1555"/>
      <c r="Q406" s="1577">
        <f ca="1">IF(X406=0,0,IF(AND(P406='Data Base'!J415,G409&gt;0.5),0,G409*(IF(EXACT(M409,"نفر اول"),INDIRECT(CONCATENATE("'Data Base'!$C",J409)),INDIRECT(CONCATENATE("'Data Base'!$D",J409))))*((100-P409)/100)))</f>
        <v>0</v>
      </c>
      <c r="R406" s="1581">
        <f ca="1">IF(X406=0,0,IF(AND(P406='Data Base'!J415,G410&gt;0.5),0,G410*(IF(EXACT(M410,"نفر اول"),INDIRECT(CONCATENATE("'Data Base'!$C",J410)),INDIRECT(CONCATENATE("'Data Base'!$D",J410))))*((100-P410)/100)))</f>
        <v>0</v>
      </c>
      <c r="S406" s="1584"/>
      <c r="T406" s="1576"/>
      <c r="U406" s="1600"/>
      <c r="W406" s="220">
        <f t="shared" ref="W406" si="155">SUM(W401,X406)</f>
        <v>0</v>
      </c>
      <c r="X406" s="220">
        <f>IF(OR(E406="",P406="",J406="",M406="",D408="",C408="",B408=""),0,1)</f>
        <v>0</v>
      </c>
    </row>
    <row r="407" spans="1:24" ht="18" customHeight="1">
      <c r="A407" s="1574"/>
      <c r="B407" s="553" t="s">
        <v>230</v>
      </c>
      <c r="C407" s="553" t="s">
        <v>231</v>
      </c>
      <c r="D407" s="553" t="s">
        <v>16</v>
      </c>
      <c r="E407" s="1541"/>
      <c r="F407" s="1541"/>
      <c r="G407" s="1541"/>
      <c r="H407" s="1538"/>
      <c r="I407" s="1538"/>
      <c r="J407" s="1541"/>
      <c r="K407" s="1541"/>
      <c r="L407" s="1541"/>
      <c r="M407" s="1548"/>
      <c r="N407" s="1549"/>
      <c r="O407" s="1550"/>
      <c r="P407" s="1555"/>
      <c r="Q407" s="1558"/>
      <c r="R407" s="1598"/>
      <c r="S407" s="1599"/>
      <c r="T407" s="1541"/>
      <c r="U407" s="1601"/>
    </row>
    <row r="408" spans="1:24" ht="18" customHeight="1">
      <c r="A408" s="1574"/>
      <c r="B408" s="562"/>
      <c r="C408" s="562"/>
      <c r="D408" s="562"/>
      <c r="E408" s="1542"/>
      <c r="F408" s="1542"/>
      <c r="G408" s="1542"/>
      <c r="H408" s="1539"/>
      <c r="I408" s="1539"/>
      <c r="J408" s="1542"/>
      <c r="K408" s="1542"/>
      <c r="L408" s="1542"/>
      <c r="M408" s="1548"/>
      <c r="N408" s="1549"/>
      <c r="O408" s="1550"/>
      <c r="P408" s="1555"/>
      <c r="Q408" s="1559"/>
      <c r="R408" s="1579"/>
      <c r="S408" s="1582"/>
      <c r="T408" s="1542"/>
      <c r="U408" s="1602"/>
    </row>
    <row r="409" spans="1:24" ht="20.25">
      <c r="A409" s="1588" t="s">
        <v>279</v>
      </c>
      <c r="B409" s="1589"/>
      <c r="C409" s="1589"/>
      <c r="D409" s="1589"/>
      <c r="E409" s="1591" t="s">
        <v>800</v>
      </c>
      <c r="F409" s="1591"/>
      <c r="G409" s="555"/>
      <c r="H409" s="1499" t="s">
        <v>801</v>
      </c>
      <c r="I409" s="1499"/>
      <c r="J409" s="518"/>
      <c r="K409" s="1499" t="s">
        <v>802</v>
      </c>
      <c r="L409" s="1499"/>
      <c r="M409" s="556"/>
      <c r="N409" s="1499" t="s">
        <v>803</v>
      </c>
      <c r="O409" s="1499"/>
      <c r="P409" s="557"/>
      <c r="Q409" s="1570" t="s">
        <v>280</v>
      </c>
      <c r="R409" s="1570"/>
      <c r="S409" s="1568"/>
      <c r="T409" s="1568"/>
      <c r="U409" s="1569"/>
    </row>
    <row r="410" spans="1:24" ht="20.25">
      <c r="A410" s="1592" t="s">
        <v>30</v>
      </c>
      <c r="B410" s="1593"/>
      <c r="C410" s="1593"/>
      <c r="D410" s="1608"/>
      <c r="E410" s="1603" t="s">
        <v>800</v>
      </c>
      <c r="F410" s="1604"/>
      <c r="G410" s="558"/>
      <c r="H410" s="1607" t="s">
        <v>801</v>
      </c>
      <c r="I410" s="1607"/>
      <c r="J410" s="559"/>
      <c r="K410" s="1607" t="s">
        <v>802</v>
      </c>
      <c r="L410" s="1607"/>
      <c r="M410" s="560"/>
      <c r="N410" s="1607" t="s">
        <v>803</v>
      </c>
      <c r="O410" s="1607"/>
      <c r="P410" s="561"/>
      <c r="Q410" s="1571" t="s">
        <v>280</v>
      </c>
      <c r="R410" s="1571"/>
      <c r="S410" s="1605"/>
      <c r="T410" s="1605"/>
      <c r="U410" s="1606"/>
    </row>
    <row r="411" spans="1:24" ht="18" customHeight="1">
      <c r="A411" s="1574">
        <f t="shared" ref="A411" si="156">IF(X411=0,0,W411)</f>
        <v>0</v>
      </c>
      <c r="B411" s="1575"/>
      <c r="C411" s="1575"/>
      <c r="D411" s="1575"/>
      <c r="E411" s="1576"/>
      <c r="F411" s="1576"/>
      <c r="G411" s="1576"/>
      <c r="H411" s="1544"/>
      <c r="I411" s="1544"/>
      <c r="J411" s="1576"/>
      <c r="K411" s="1576"/>
      <c r="L411" s="1576"/>
      <c r="M411" s="1548"/>
      <c r="N411" s="1549"/>
      <c r="O411" s="1550"/>
      <c r="P411" s="1555"/>
      <c r="Q411" s="1577">
        <f ca="1">IF(X411=0,0,IF(AND(P411='Data Base'!J420,G414&gt;0.5),0,G414*(IF(EXACT(M414,"نفر اول"),INDIRECT(CONCATENATE("'Data Base'!$C",J414)),INDIRECT(CONCATENATE("'Data Base'!$D",J414))))*((100-P414)/100)))</f>
        <v>0</v>
      </c>
      <c r="R411" s="1581">
        <f ca="1">IF(X411=0,0,IF(AND(P411='Data Base'!J420,G415&gt;0.5),0,G415*(IF(EXACT(M415,"نفر اول"),INDIRECT(CONCATENATE("'Data Base'!$C",J415)),INDIRECT(CONCATENATE("'Data Base'!$D",J415))))*((100-P415)/100)))</f>
        <v>0</v>
      </c>
      <c r="S411" s="1584"/>
      <c r="T411" s="1576"/>
      <c r="U411" s="1600"/>
      <c r="W411" s="220">
        <f t="shared" ref="W411" si="157">SUM(W406,X411)</f>
        <v>0</v>
      </c>
      <c r="X411" s="220">
        <f>IF(OR(E411="",P411="",J411="",M411="",D413="",C413="",B413=""),0,1)</f>
        <v>0</v>
      </c>
    </row>
    <row r="412" spans="1:24" ht="18" customHeight="1">
      <c r="A412" s="1574"/>
      <c r="B412" s="553" t="s">
        <v>230</v>
      </c>
      <c r="C412" s="553" t="s">
        <v>231</v>
      </c>
      <c r="D412" s="553" t="s">
        <v>16</v>
      </c>
      <c r="E412" s="1541"/>
      <c r="F412" s="1541"/>
      <c r="G412" s="1541"/>
      <c r="H412" s="1538"/>
      <c r="I412" s="1538"/>
      <c r="J412" s="1541"/>
      <c r="K412" s="1541"/>
      <c r="L412" s="1541"/>
      <c r="M412" s="1548"/>
      <c r="N412" s="1549"/>
      <c r="O412" s="1550"/>
      <c r="P412" s="1555"/>
      <c r="Q412" s="1558"/>
      <c r="R412" s="1598"/>
      <c r="S412" s="1599"/>
      <c r="T412" s="1541"/>
      <c r="U412" s="1601"/>
    </row>
    <row r="413" spans="1:24" ht="18" customHeight="1">
      <c r="A413" s="1574"/>
      <c r="B413" s="562"/>
      <c r="C413" s="562"/>
      <c r="D413" s="562"/>
      <c r="E413" s="1542"/>
      <c r="F413" s="1542"/>
      <c r="G413" s="1542"/>
      <c r="H413" s="1539"/>
      <c r="I413" s="1539"/>
      <c r="J413" s="1542"/>
      <c r="K413" s="1542"/>
      <c r="L413" s="1542"/>
      <c r="M413" s="1548"/>
      <c r="N413" s="1549"/>
      <c r="O413" s="1550"/>
      <c r="P413" s="1555"/>
      <c r="Q413" s="1559"/>
      <c r="R413" s="1579"/>
      <c r="S413" s="1582"/>
      <c r="T413" s="1542"/>
      <c r="U413" s="1602"/>
    </row>
    <row r="414" spans="1:24" ht="20.25">
      <c r="A414" s="1588" t="s">
        <v>279</v>
      </c>
      <c r="B414" s="1589"/>
      <c r="C414" s="1589"/>
      <c r="D414" s="1589"/>
      <c r="E414" s="1591" t="s">
        <v>800</v>
      </c>
      <c r="F414" s="1591"/>
      <c r="G414" s="555"/>
      <c r="H414" s="1499" t="s">
        <v>801</v>
      </c>
      <c r="I414" s="1499"/>
      <c r="J414" s="518"/>
      <c r="K414" s="1499" t="s">
        <v>802</v>
      </c>
      <c r="L414" s="1499"/>
      <c r="M414" s="556"/>
      <c r="N414" s="1499" t="s">
        <v>803</v>
      </c>
      <c r="O414" s="1499"/>
      <c r="P414" s="557"/>
      <c r="Q414" s="1570" t="s">
        <v>280</v>
      </c>
      <c r="R414" s="1570"/>
      <c r="S414" s="1568"/>
      <c r="T414" s="1568"/>
      <c r="U414" s="1569"/>
    </row>
    <row r="415" spans="1:24" ht="20.25">
      <c r="A415" s="1592" t="s">
        <v>30</v>
      </c>
      <c r="B415" s="1593"/>
      <c r="C415" s="1593"/>
      <c r="D415" s="1608"/>
      <c r="E415" s="1603" t="s">
        <v>800</v>
      </c>
      <c r="F415" s="1604"/>
      <c r="G415" s="558"/>
      <c r="H415" s="1607" t="s">
        <v>801</v>
      </c>
      <c r="I415" s="1607"/>
      <c r="J415" s="559"/>
      <c r="K415" s="1607" t="s">
        <v>802</v>
      </c>
      <c r="L415" s="1607"/>
      <c r="M415" s="560"/>
      <c r="N415" s="1607" t="s">
        <v>803</v>
      </c>
      <c r="O415" s="1607"/>
      <c r="P415" s="561"/>
      <c r="Q415" s="1571" t="s">
        <v>280</v>
      </c>
      <c r="R415" s="1571"/>
      <c r="S415" s="1605"/>
      <c r="T415" s="1605"/>
      <c r="U415" s="1606"/>
    </row>
    <row r="416" spans="1:24" ht="18" customHeight="1">
      <c r="A416" s="1574">
        <f t="shared" ref="A416" si="158">IF(X416=0,0,W416)</f>
        <v>0</v>
      </c>
      <c r="B416" s="1575"/>
      <c r="C416" s="1575"/>
      <c r="D416" s="1575"/>
      <c r="E416" s="1576"/>
      <c r="F416" s="1576"/>
      <c r="G416" s="1576"/>
      <c r="H416" s="1544"/>
      <c r="I416" s="1544"/>
      <c r="J416" s="1576"/>
      <c r="K416" s="1576"/>
      <c r="L416" s="1576"/>
      <c r="M416" s="1548"/>
      <c r="N416" s="1549"/>
      <c r="O416" s="1550"/>
      <c r="P416" s="1555"/>
      <c r="Q416" s="1577">
        <f ca="1">IF(X416=0,0,IF(AND(P416='Data Base'!J425,G419&gt;0.5),0,G419*(IF(EXACT(M419,"نفر اول"),INDIRECT(CONCATENATE("'Data Base'!$C",J419)),INDIRECT(CONCATENATE("'Data Base'!$D",J419))))*((100-P419)/100)))</f>
        <v>0</v>
      </c>
      <c r="R416" s="1581">
        <f ca="1">IF(X416=0,0,IF(AND(P416='Data Base'!J425,G420&gt;0.5),0,G420*(IF(EXACT(M420,"نفر اول"),INDIRECT(CONCATENATE("'Data Base'!$C",J420)),INDIRECT(CONCATENATE("'Data Base'!$D",J420))))*((100-P420)/100)))</f>
        <v>0</v>
      </c>
      <c r="S416" s="1584"/>
      <c r="T416" s="1576"/>
      <c r="U416" s="1600"/>
      <c r="W416" s="220">
        <f t="shared" ref="W416" si="159">SUM(W411,X416)</f>
        <v>0</v>
      </c>
      <c r="X416" s="220">
        <f>IF(OR(E416="",P416="",J416="",M416="",D418="",C418="",B418=""),0,1)</f>
        <v>0</v>
      </c>
    </row>
    <row r="417" spans="1:24" ht="18" customHeight="1">
      <c r="A417" s="1574"/>
      <c r="B417" s="553" t="s">
        <v>230</v>
      </c>
      <c r="C417" s="553" t="s">
        <v>231</v>
      </c>
      <c r="D417" s="553" t="s">
        <v>16</v>
      </c>
      <c r="E417" s="1541"/>
      <c r="F417" s="1541"/>
      <c r="G417" s="1541"/>
      <c r="H417" s="1538"/>
      <c r="I417" s="1538"/>
      <c r="J417" s="1541"/>
      <c r="K417" s="1541"/>
      <c r="L417" s="1541"/>
      <c r="M417" s="1548"/>
      <c r="N417" s="1549"/>
      <c r="O417" s="1550"/>
      <c r="P417" s="1555"/>
      <c r="Q417" s="1558"/>
      <c r="R417" s="1598"/>
      <c r="S417" s="1599"/>
      <c r="T417" s="1541"/>
      <c r="U417" s="1601"/>
    </row>
    <row r="418" spans="1:24" ht="18" customHeight="1">
      <c r="A418" s="1574"/>
      <c r="B418" s="562"/>
      <c r="C418" s="562"/>
      <c r="D418" s="562"/>
      <c r="E418" s="1542"/>
      <c r="F418" s="1542"/>
      <c r="G418" s="1542"/>
      <c r="H418" s="1539"/>
      <c r="I418" s="1539"/>
      <c r="J418" s="1542"/>
      <c r="K418" s="1542"/>
      <c r="L418" s="1542"/>
      <c r="M418" s="1548"/>
      <c r="N418" s="1549"/>
      <c r="O418" s="1550"/>
      <c r="P418" s="1555"/>
      <c r="Q418" s="1559"/>
      <c r="R418" s="1579"/>
      <c r="S418" s="1582"/>
      <c r="T418" s="1542"/>
      <c r="U418" s="1602"/>
    </row>
    <row r="419" spans="1:24" ht="20.25">
      <c r="A419" s="1588" t="s">
        <v>279</v>
      </c>
      <c r="B419" s="1589"/>
      <c r="C419" s="1589"/>
      <c r="D419" s="1589"/>
      <c r="E419" s="1591" t="s">
        <v>800</v>
      </c>
      <c r="F419" s="1591"/>
      <c r="G419" s="555"/>
      <c r="H419" s="1499" t="s">
        <v>801</v>
      </c>
      <c r="I419" s="1499"/>
      <c r="J419" s="518"/>
      <c r="K419" s="1499" t="s">
        <v>802</v>
      </c>
      <c r="L419" s="1499"/>
      <c r="M419" s="556"/>
      <c r="N419" s="1499" t="s">
        <v>803</v>
      </c>
      <c r="O419" s="1499"/>
      <c r="P419" s="557"/>
      <c r="Q419" s="1570" t="s">
        <v>280</v>
      </c>
      <c r="R419" s="1570"/>
      <c r="S419" s="1568"/>
      <c r="T419" s="1568"/>
      <c r="U419" s="1569"/>
    </row>
    <row r="420" spans="1:24" ht="20.25">
      <c r="A420" s="1592" t="s">
        <v>30</v>
      </c>
      <c r="B420" s="1593"/>
      <c r="C420" s="1593"/>
      <c r="D420" s="1608"/>
      <c r="E420" s="1603" t="s">
        <v>800</v>
      </c>
      <c r="F420" s="1604"/>
      <c r="G420" s="558"/>
      <c r="H420" s="1607" t="s">
        <v>801</v>
      </c>
      <c r="I420" s="1607"/>
      <c r="J420" s="559"/>
      <c r="K420" s="1607" t="s">
        <v>802</v>
      </c>
      <c r="L420" s="1607"/>
      <c r="M420" s="560"/>
      <c r="N420" s="1607" t="s">
        <v>803</v>
      </c>
      <c r="O420" s="1607"/>
      <c r="P420" s="561"/>
      <c r="Q420" s="1571" t="s">
        <v>280</v>
      </c>
      <c r="R420" s="1571"/>
      <c r="S420" s="1605"/>
      <c r="T420" s="1605"/>
      <c r="U420" s="1606"/>
    </row>
    <row r="421" spans="1:24" ht="18" customHeight="1">
      <c r="A421" s="1574">
        <f t="shared" ref="A421" si="160">IF(X421=0,0,W421)</f>
        <v>0</v>
      </c>
      <c r="B421" s="1575"/>
      <c r="C421" s="1575"/>
      <c r="D421" s="1575"/>
      <c r="E421" s="1576"/>
      <c r="F421" s="1576"/>
      <c r="G421" s="1576"/>
      <c r="H421" s="1544"/>
      <c r="I421" s="1544"/>
      <c r="J421" s="1576"/>
      <c r="K421" s="1576"/>
      <c r="L421" s="1576"/>
      <c r="M421" s="1548"/>
      <c r="N421" s="1549"/>
      <c r="O421" s="1550"/>
      <c r="P421" s="1555"/>
      <c r="Q421" s="1577">
        <f ca="1">IF(X421=0,0,IF(AND(P421='Data Base'!J430,G424&gt;0.5),0,G424*(IF(EXACT(M424,"نفر اول"),INDIRECT(CONCATENATE("'Data Base'!$C",J424)),INDIRECT(CONCATENATE("'Data Base'!$D",J424))))*((100-P424)/100)))</f>
        <v>0</v>
      </c>
      <c r="R421" s="1581">
        <f ca="1">IF(X421=0,0,IF(AND(P421='Data Base'!J430,G425&gt;0.5),0,G425*(IF(EXACT(M425,"نفر اول"),INDIRECT(CONCATENATE("'Data Base'!$C",J425)),INDIRECT(CONCATENATE("'Data Base'!$D",J425))))*((100-P425)/100)))</f>
        <v>0</v>
      </c>
      <c r="S421" s="1584"/>
      <c r="T421" s="1576"/>
      <c r="U421" s="1600"/>
      <c r="W421" s="220">
        <f t="shared" ref="W421" si="161">SUM(W416,X421)</f>
        <v>0</v>
      </c>
      <c r="X421" s="220">
        <f>IF(OR(E421="",P421="",J421="",M421="",D423="",C423="",B423=""),0,1)</f>
        <v>0</v>
      </c>
    </row>
    <row r="422" spans="1:24" ht="18" customHeight="1">
      <c r="A422" s="1574"/>
      <c r="B422" s="553" t="s">
        <v>230</v>
      </c>
      <c r="C422" s="553" t="s">
        <v>231</v>
      </c>
      <c r="D422" s="553" t="s">
        <v>16</v>
      </c>
      <c r="E422" s="1541"/>
      <c r="F422" s="1541"/>
      <c r="G422" s="1541"/>
      <c r="H422" s="1538"/>
      <c r="I422" s="1538"/>
      <c r="J422" s="1541"/>
      <c r="K422" s="1541"/>
      <c r="L422" s="1541"/>
      <c r="M422" s="1548"/>
      <c r="N422" s="1549"/>
      <c r="O422" s="1550"/>
      <c r="P422" s="1555"/>
      <c r="Q422" s="1558"/>
      <c r="R422" s="1598"/>
      <c r="S422" s="1599"/>
      <c r="T422" s="1541"/>
      <c r="U422" s="1601"/>
    </row>
    <row r="423" spans="1:24" ht="18" customHeight="1">
      <c r="A423" s="1574"/>
      <c r="B423" s="562"/>
      <c r="C423" s="562"/>
      <c r="D423" s="562"/>
      <c r="E423" s="1542"/>
      <c r="F423" s="1542"/>
      <c r="G423" s="1542"/>
      <c r="H423" s="1539"/>
      <c r="I423" s="1539"/>
      <c r="J423" s="1542"/>
      <c r="K423" s="1542"/>
      <c r="L423" s="1542"/>
      <c r="M423" s="1548"/>
      <c r="N423" s="1549"/>
      <c r="O423" s="1550"/>
      <c r="P423" s="1555"/>
      <c r="Q423" s="1559"/>
      <c r="R423" s="1579"/>
      <c r="S423" s="1582"/>
      <c r="T423" s="1542"/>
      <c r="U423" s="1602"/>
    </row>
    <row r="424" spans="1:24" ht="20.25">
      <c r="A424" s="1588" t="s">
        <v>279</v>
      </c>
      <c r="B424" s="1589"/>
      <c r="C424" s="1589"/>
      <c r="D424" s="1589"/>
      <c r="E424" s="1591" t="s">
        <v>800</v>
      </c>
      <c r="F424" s="1591"/>
      <c r="G424" s="555"/>
      <c r="H424" s="1499" t="s">
        <v>801</v>
      </c>
      <c r="I424" s="1499"/>
      <c r="J424" s="518"/>
      <c r="K424" s="1499" t="s">
        <v>802</v>
      </c>
      <c r="L424" s="1499"/>
      <c r="M424" s="556"/>
      <c r="N424" s="1499" t="s">
        <v>803</v>
      </c>
      <c r="O424" s="1499"/>
      <c r="P424" s="557"/>
      <c r="Q424" s="1570" t="s">
        <v>280</v>
      </c>
      <c r="R424" s="1570"/>
      <c r="S424" s="1568"/>
      <c r="T424" s="1568"/>
      <c r="U424" s="1569"/>
    </row>
    <row r="425" spans="1:24" ht="20.25">
      <c r="A425" s="1592" t="s">
        <v>30</v>
      </c>
      <c r="B425" s="1593"/>
      <c r="C425" s="1593"/>
      <c r="D425" s="1608"/>
      <c r="E425" s="1603" t="s">
        <v>800</v>
      </c>
      <c r="F425" s="1604"/>
      <c r="G425" s="558"/>
      <c r="H425" s="1607" t="s">
        <v>801</v>
      </c>
      <c r="I425" s="1607"/>
      <c r="J425" s="559"/>
      <c r="K425" s="1607" t="s">
        <v>802</v>
      </c>
      <c r="L425" s="1607"/>
      <c r="M425" s="560"/>
      <c r="N425" s="1607" t="s">
        <v>803</v>
      </c>
      <c r="O425" s="1607"/>
      <c r="P425" s="561"/>
      <c r="Q425" s="1571" t="s">
        <v>280</v>
      </c>
      <c r="R425" s="1571"/>
      <c r="S425" s="1605"/>
      <c r="T425" s="1605"/>
      <c r="U425" s="1606"/>
    </row>
    <row r="426" spans="1:24" ht="18" customHeight="1">
      <c r="A426" s="1574">
        <f t="shared" ref="A426" si="162">IF(X426=0,0,W426)</f>
        <v>0</v>
      </c>
      <c r="B426" s="1575"/>
      <c r="C426" s="1575"/>
      <c r="D426" s="1575"/>
      <c r="E426" s="1576"/>
      <c r="F426" s="1576"/>
      <c r="G426" s="1576"/>
      <c r="H426" s="1544"/>
      <c r="I426" s="1544"/>
      <c r="J426" s="1576"/>
      <c r="K426" s="1576"/>
      <c r="L426" s="1576"/>
      <c r="M426" s="1548"/>
      <c r="N426" s="1549"/>
      <c r="O426" s="1550"/>
      <c r="P426" s="1555"/>
      <c r="Q426" s="1577">
        <f ca="1">IF(X426=0,0,IF(AND(P426='Data Base'!J435,G429&gt;0.5),0,G429*(IF(EXACT(M429,"نفر اول"),INDIRECT(CONCATENATE("'Data Base'!$C",J429)),INDIRECT(CONCATENATE("'Data Base'!$D",J429))))*((100-P429)/100)))</f>
        <v>0</v>
      </c>
      <c r="R426" s="1581">
        <f ca="1">IF(X426=0,0,IF(AND(P426='Data Base'!J435,G430&gt;0.5),0,G430*(IF(EXACT(M430,"نفر اول"),INDIRECT(CONCATENATE("'Data Base'!$C",J430)),INDIRECT(CONCATENATE("'Data Base'!$D",J430))))*((100-P430)/100)))</f>
        <v>0</v>
      </c>
      <c r="S426" s="1584"/>
      <c r="T426" s="1576"/>
      <c r="U426" s="1600"/>
      <c r="W426" s="220">
        <f t="shared" ref="W426" si="163">SUM(W421,X426)</f>
        <v>0</v>
      </c>
      <c r="X426" s="220">
        <f>IF(OR(E426="",P426="",J426="",M426="",D428="",C428="",B428=""),0,1)</f>
        <v>0</v>
      </c>
    </row>
    <row r="427" spans="1:24" ht="18" customHeight="1">
      <c r="A427" s="1574"/>
      <c r="B427" s="553" t="s">
        <v>230</v>
      </c>
      <c r="C427" s="553" t="s">
        <v>231</v>
      </c>
      <c r="D427" s="553" t="s">
        <v>16</v>
      </c>
      <c r="E427" s="1541"/>
      <c r="F427" s="1541"/>
      <c r="G427" s="1541"/>
      <c r="H427" s="1538"/>
      <c r="I427" s="1538"/>
      <c r="J427" s="1541"/>
      <c r="K427" s="1541"/>
      <c r="L427" s="1541"/>
      <c r="M427" s="1548"/>
      <c r="N427" s="1549"/>
      <c r="O427" s="1550"/>
      <c r="P427" s="1555"/>
      <c r="Q427" s="1558"/>
      <c r="R427" s="1598"/>
      <c r="S427" s="1599"/>
      <c r="T427" s="1541"/>
      <c r="U427" s="1601"/>
    </row>
    <row r="428" spans="1:24" ht="18" customHeight="1">
      <c r="A428" s="1574"/>
      <c r="B428" s="562"/>
      <c r="C428" s="562"/>
      <c r="D428" s="562"/>
      <c r="E428" s="1542"/>
      <c r="F428" s="1542"/>
      <c r="G428" s="1542"/>
      <c r="H428" s="1539"/>
      <c r="I428" s="1539"/>
      <c r="J428" s="1542"/>
      <c r="K428" s="1542"/>
      <c r="L428" s="1542"/>
      <c r="M428" s="1548"/>
      <c r="N428" s="1549"/>
      <c r="O428" s="1550"/>
      <c r="P428" s="1555"/>
      <c r="Q428" s="1559"/>
      <c r="R428" s="1579"/>
      <c r="S428" s="1582"/>
      <c r="T428" s="1542"/>
      <c r="U428" s="1602"/>
    </row>
    <row r="429" spans="1:24" ht="20.25">
      <c r="A429" s="1588" t="s">
        <v>279</v>
      </c>
      <c r="B429" s="1589"/>
      <c r="C429" s="1589"/>
      <c r="D429" s="1589"/>
      <c r="E429" s="1591" t="s">
        <v>800</v>
      </c>
      <c r="F429" s="1591"/>
      <c r="G429" s="555"/>
      <c r="H429" s="1499" t="s">
        <v>801</v>
      </c>
      <c r="I429" s="1499"/>
      <c r="J429" s="518"/>
      <c r="K429" s="1499" t="s">
        <v>802</v>
      </c>
      <c r="L429" s="1499"/>
      <c r="M429" s="556"/>
      <c r="N429" s="1499" t="s">
        <v>803</v>
      </c>
      <c r="O429" s="1499"/>
      <c r="P429" s="557"/>
      <c r="Q429" s="1570" t="s">
        <v>280</v>
      </c>
      <c r="R429" s="1570"/>
      <c r="S429" s="1568"/>
      <c r="T429" s="1568"/>
      <c r="U429" s="1569"/>
    </row>
    <row r="430" spans="1:24" ht="20.25">
      <c r="A430" s="1592" t="s">
        <v>30</v>
      </c>
      <c r="B430" s="1593"/>
      <c r="C430" s="1593"/>
      <c r="D430" s="1608"/>
      <c r="E430" s="1603" t="s">
        <v>800</v>
      </c>
      <c r="F430" s="1604"/>
      <c r="G430" s="558"/>
      <c r="H430" s="1607" t="s">
        <v>801</v>
      </c>
      <c r="I430" s="1607"/>
      <c r="J430" s="559"/>
      <c r="K430" s="1607" t="s">
        <v>802</v>
      </c>
      <c r="L430" s="1607"/>
      <c r="M430" s="560"/>
      <c r="N430" s="1607" t="s">
        <v>803</v>
      </c>
      <c r="O430" s="1607"/>
      <c r="P430" s="561"/>
      <c r="Q430" s="1571" t="s">
        <v>280</v>
      </c>
      <c r="R430" s="1571"/>
      <c r="S430" s="1605"/>
      <c r="T430" s="1605"/>
      <c r="U430" s="1606"/>
    </row>
    <row r="431" spans="1:24" ht="18" customHeight="1">
      <c r="A431" s="1574">
        <f t="shared" ref="A431" si="164">IF(X431=0,0,W431)</f>
        <v>0</v>
      </c>
      <c r="B431" s="1575"/>
      <c r="C431" s="1575"/>
      <c r="D431" s="1575"/>
      <c r="E431" s="1576"/>
      <c r="F431" s="1576"/>
      <c r="G431" s="1576"/>
      <c r="H431" s="1544"/>
      <c r="I431" s="1544"/>
      <c r="J431" s="1576"/>
      <c r="K431" s="1576"/>
      <c r="L431" s="1576"/>
      <c r="M431" s="1548"/>
      <c r="N431" s="1549"/>
      <c r="O431" s="1550"/>
      <c r="P431" s="1555"/>
      <c r="Q431" s="1577">
        <f ca="1">IF(X431=0,0,IF(AND(P431='Data Base'!J440,G434&gt;0.5),0,G434*(IF(EXACT(M434,"نفر اول"),INDIRECT(CONCATENATE("'Data Base'!$C",J434)),INDIRECT(CONCATENATE("'Data Base'!$D",J434))))*((100-P434)/100)))</f>
        <v>0</v>
      </c>
      <c r="R431" s="1581">
        <f ca="1">IF(X431=0,0,IF(AND(P431='Data Base'!J440,G435&gt;0.5),0,G435*(IF(EXACT(M435,"نفر اول"),INDIRECT(CONCATENATE("'Data Base'!$C",J435)),INDIRECT(CONCATENATE("'Data Base'!$D",J435))))*((100-P435)/100)))</f>
        <v>0</v>
      </c>
      <c r="S431" s="1584"/>
      <c r="T431" s="1576"/>
      <c r="U431" s="1600"/>
      <c r="W431" s="220">
        <f t="shared" ref="W431" si="165">SUM(W426,X431)</f>
        <v>0</v>
      </c>
      <c r="X431" s="220">
        <f>IF(OR(E431="",P431="",J431="",M431="",D433="",C433="",B433=""),0,1)</f>
        <v>0</v>
      </c>
    </row>
    <row r="432" spans="1:24" ht="18" customHeight="1">
      <c r="A432" s="1574"/>
      <c r="B432" s="553" t="s">
        <v>230</v>
      </c>
      <c r="C432" s="553" t="s">
        <v>231</v>
      </c>
      <c r="D432" s="553" t="s">
        <v>16</v>
      </c>
      <c r="E432" s="1541"/>
      <c r="F432" s="1541"/>
      <c r="G432" s="1541"/>
      <c r="H432" s="1538"/>
      <c r="I432" s="1538"/>
      <c r="J432" s="1541"/>
      <c r="K432" s="1541"/>
      <c r="L432" s="1541"/>
      <c r="M432" s="1548"/>
      <c r="N432" s="1549"/>
      <c r="O432" s="1550"/>
      <c r="P432" s="1555"/>
      <c r="Q432" s="1558"/>
      <c r="R432" s="1598"/>
      <c r="S432" s="1599"/>
      <c r="T432" s="1541"/>
      <c r="U432" s="1601"/>
    </row>
    <row r="433" spans="1:24" ht="18" customHeight="1">
      <c r="A433" s="1574"/>
      <c r="B433" s="562"/>
      <c r="C433" s="562"/>
      <c r="D433" s="562"/>
      <c r="E433" s="1542"/>
      <c r="F433" s="1542"/>
      <c r="G433" s="1542"/>
      <c r="H433" s="1539"/>
      <c r="I433" s="1539"/>
      <c r="J433" s="1542"/>
      <c r="K433" s="1542"/>
      <c r="L433" s="1542"/>
      <c r="M433" s="1548"/>
      <c r="N433" s="1549"/>
      <c r="O433" s="1550"/>
      <c r="P433" s="1555"/>
      <c r="Q433" s="1559"/>
      <c r="R433" s="1579"/>
      <c r="S433" s="1582"/>
      <c r="T433" s="1542"/>
      <c r="U433" s="1602"/>
    </row>
    <row r="434" spans="1:24" ht="20.25">
      <c r="A434" s="1588" t="s">
        <v>279</v>
      </c>
      <c r="B434" s="1589"/>
      <c r="C434" s="1589"/>
      <c r="D434" s="1589"/>
      <c r="E434" s="1591" t="s">
        <v>800</v>
      </c>
      <c r="F434" s="1591"/>
      <c r="G434" s="555"/>
      <c r="H434" s="1499" t="s">
        <v>801</v>
      </c>
      <c r="I434" s="1499"/>
      <c r="J434" s="518"/>
      <c r="K434" s="1499" t="s">
        <v>802</v>
      </c>
      <c r="L434" s="1499"/>
      <c r="M434" s="556"/>
      <c r="N434" s="1499" t="s">
        <v>803</v>
      </c>
      <c r="O434" s="1499"/>
      <c r="P434" s="557"/>
      <c r="Q434" s="1570" t="s">
        <v>280</v>
      </c>
      <c r="R434" s="1570"/>
      <c r="S434" s="1568"/>
      <c r="T434" s="1568"/>
      <c r="U434" s="1569"/>
    </row>
    <row r="435" spans="1:24" ht="20.25">
      <c r="A435" s="1592" t="s">
        <v>30</v>
      </c>
      <c r="B435" s="1593"/>
      <c r="C435" s="1593"/>
      <c r="D435" s="1608"/>
      <c r="E435" s="1603" t="s">
        <v>800</v>
      </c>
      <c r="F435" s="1604"/>
      <c r="G435" s="558"/>
      <c r="H435" s="1607" t="s">
        <v>801</v>
      </c>
      <c r="I435" s="1607"/>
      <c r="J435" s="559"/>
      <c r="K435" s="1607" t="s">
        <v>802</v>
      </c>
      <c r="L435" s="1607"/>
      <c r="M435" s="560"/>
      <c r="N435" s="1607" t="s">
        <v>803</v>
      </c>
      <c r="O435" s="1607"/>
      <c r="P435" s="561"/>
      <c r="Q435" s="1571" t="s">
        <v>280</v>
      </c>
      <c r="R435" s="1571"/>
      <c r="S435" s="1605"/>
      <c r="T435" s="1605"/>
      <c r="U435" s="1606"/>
    </row>
    <row r="436" spans="1:24" ht="18" customHeight="1">
      <c r="A436" s="1574">
        <f t="shared" ref="A436" si="166">IF(X436=0,0,W436)</f>
        <v>0</v>
      </c>
      <c r="B436" s="1575"/>
      <c r="C436" s="1575"/>
      <c r="D436" s="1575"/>
      <c r="E436" s="1576"/>
      <c r="F436" s="1576"/>
      <c r="G436" s="1576"/>
      <c r="H436" s="1544"/>
      <c r="I436" s="1544"/>
      <c r="J436" s="1576"/>
      <c r="K436" s="1576"/>
      <c r="L436" s="1576"/>
      <c r="M436" s="1548"/>
      <c r="N436" s="1549"/>
      <c r="O436" s="1550"/>
      <c r="P436" s="1555"/>
      <c r="Q436" s="1577">
        <f ca="1">IF(X436=0,0,IF(AND(P436='Data Base'!J445,G439&gt;0.5),0,G439*(IF(EXACT(M439,"نفر اول"),INDIRECT(CONCATENATE("'Data Base'!$C",J439)),INDIRECT(CONCATENATE("'Data Base'!$D",J439))))*((100-P439)/100)))</f>
        <v>0</v>
      </c>
      <c r="R436" s="1581">
        <f ca="1">IF(X436=0,0,IF(AND(P436='Data Base'!J445,G440&gt;0.5),0,G440*(IF(EXACT(M440,"نفر اول"),INDIRECT(CONCATENATE("'Data Base'!$C",J440)),INDIRECT(CONCATENATE("'Data Base'!$D",J440))))*((100-P440)/100)))</f>
        <v>0</v>
      </c>
      <c r="S436" s="1584"/>
      <c r="T436" s="1576"/>
      <c r="U436" s="1600"/>
      <c r="W436" s="220">
        <f t="shared" ref="W436" si="167">SUM(W431,X436)</f>
        <v>0</v>
      </c>
      <c r="X436" s="220">
        <f>IF(OR(E436="",P436="",J436="",M436="",D438="",C438="",B438=""),0,1)</f>
        <v>0</v>
      </c>
    </row>
    <row r="437" spans="1:24" ht="18" customHeight="1">
      <c r="A437" s="1574"/>
      <c r="B437" s="553" t="s">
        <v>230</v>
      </c>
      <c r="C437" s="553" t="s">
        <v>231</v>
      </c>
      <c r="D437" s="553" t="s">
        <v>16</v>
      </c>
      <c r="E437" s="1541"/>
      <c r="F437" s="1541"/>
      <c r="G437" s="1541"/>
      <c r="H437" s="1538"/>
      <c r="I437" s="1538"/>
      <c r="J437" s="1541"/>
      <c r="K437" s="1541"/>
      <c r="L437" s="1541"/>
      <c r="M437" s="1548"/>
      <c r="N437" s="1549"/>
      <c r="O437" s="1550"/>
      <c r="P437" s="1555"/>
      <c r="Q437" s="1558"/>
      <c r="R437" s="1598"/>
      <c r="S437" s="1599"/>
      <c r="T437" s="1541"/>
      <c r="U437" s="1601"/>
    </row>
    <row r="438" spans="1:24" ht="18" customHeight="1">
      <c r="A438" s="1574"/>
      <c r="B438" s="562"/>
      <c r="C438" s="562"/>
      <c r="D438" s="562"/>
      <c r="E438" s="1542"/>
      <c r="F438" s="1542"/>
      <c r="G438" s="1542"/>
      <c r="H438" s="1539"/>
      <c r="I438" s="1539"/>
      <c r="J438" s="1542"/>
      <c r="K438" s="1542"/>
      <c r="L438" s="1542"/>
      <c r="M438" s="1548"/>
      <c r="N438" s="1549"/>
      <c r="O438" s="1550"/>
      <c r="P438" s="1555"/>
      <c r="Q438" s="1559"/>
      <c r="R438" s="1579"/>
      <c r="S438" s="1582"/>
      <c r="T438" s="1542"/>
      <c r="U438" s="1602"/>
    </row>
    <row r="439" spans="1:24" ht="20.25">
      <c r="A439" s="1588" t="s">
        <v>279</v>
      </c>
      <c r="B439" s="1589"/>
      <c r="C439" s="1589"/>
      <c r="D439" s="1589"/>
      <c r="E439" s="1591" t="s">
        <v>800</v>
      </c>
      <c r="F439" s="1591"/>
      <c r="G439" s="555"/>
      <c r="H439" s="1499" t="s">
        <v>801</v>
      </c>
      <c r="I439" s="1499"/>
      <c r="J439" s="518"/>
      <c r="K439" s="1499" t="s">
        <v>802</v>
      </c>
      <c r="L439" s="1499"/>
      <c r="M439" s="556"/>
      <c r="N439" s="1499" t="s">
        <v>803</v>
      </c>
      <c r="O439" s="1499"/>
      <c r="P439" s="557"/>
      <c r="Q439" s="1570" t="s">
        <v>280</v>
      </c>
      <c r="R439" s="1570"/>
      <c r="S439" s="1568"/>
      <c r="T439" s="1568"/>
      <c r="U439" s="1569"/>
    </row>
    <row r="440" spans="1:24" ht="20.25">
      <c r="A440" s="1592" t="s">
        <v>30</v>
      </c>
      <c r="B440" s="1593"/>
      <c r="C440" s="1593"/>
      <c r="D440" s="1608"/>
      <c r="E440" s="1603" t="s">
        <v>800</v>
      </c>
      <c r="F440" s="1604"/>
      <c r="G440" s="558"/>
      <c r="H440" s="1607" t="s">
        <v>801</v>
      </c>
      <c r="I440" s="1607"/>
      <c r="J440" s="559"/>
      <c r="K440" s="1607" t="s">
        <v>802</v>
      </c>
      <c r="L440" s="1607"/>
      <c r="M440" s="560"/>
      <c r="N440" s="1607" t="s">
        <v>803</v>
      </c>
      <c r="O440" s="1607"/>
      <c r="P440" s="561"/>
      <c r="Q440" s="1571" t="s">
        <v>280</v>
      </c>
      <c r="R440" s="1571"/>
      <c r="S440" s="1605"/>
      <c r="T440" s="1605"/>
      <c r="U440" s="1606"/>
    </row>
    <row r="441" spans="1:24" ht="18" customHeight="1">
      <c r="A441" s="1574">
        <f t="shared" ref="A441" si="168">IF(X441=0,0,W441)</f>
        <v>0</v>
      </c>
      <c r="B441" s="1575"/>
      <c r="C441" s="1575"/>
      <c r="D441" s="1575"/>
      <c r="E441" s="1576"/>
      <c r="F441" s="1576"/>
      <c r="G441" s="1576"/>
      <c r="H441" s="1544"/>
      <c r="I441" s="1544"/>
      <c r="J441" s="1576"/>
      <c r="K441" s="1576"/>
      <c r="L441" s="1576"/>
      <c r="M441" s="1548"/>
      <c r="N441" s="1549"/>
      <c r="O441" s="1550"/>
      <c r="P441" s="1555"/>
      <c r="Q441" s="1577">
        <f ca="1">IF(X441=0,0,IF(AND(P441='Data Base'!J450,G444&gt;0.5),0,G444*(IF(EXACT(M444,"نفر اول"),INDIRECT(CONCATENATE("'Data Base'!$C",J444)),INDIRECT(CONCATENATE("'Data Base'!$D",J444))))*((100-P444)/100)))</f>
        <v>0</v>
      </c>
      <c r="R441" s="1581">
        <f ca="1">IF(X441=0,0,IF(AND(P441='Data Base'!J450,G445&gt;0.5),0,G445*(IF(EXACT(M445,"نفر اول"),INDIRECT(CONCATENATE("'Data Base'!$C",J445)),INDIRECT(CONCATENATE("'Data Base'!$D",J445))))*((100-P445)/100)))</f>
        <v>0</v>
      </c>
      <c r="S441" s="1584"/>
      <c r="T441" s="1576"/>
      <c r="U441" s="1600"/>
      <c r="W441" s="220">
        <f t="shared" ref="W441" si="169">SUM(W436,X441)</f>
        <v>0</v>
      </c>
      <c r="X441" s="220">
        <f>IF(OR(E441="",P441="",J441="",M441="",D443="",C443="",B443=""),0,1)</f>
        <v>0</v>
      </c>
    </row>
    <row r="442" spans="1:24" ht="18" customHeight="1">
      <c r="A442" s="1574"/>
      <c r="B442" s="553" t="s">
        <v>230</v>
      </c>
      <c r="C442" s="553" t="s">
        <v>231</v>
      </c>
      <c r="D442" s="553" t="s">
        <v>16</v>
      </c>
      <c r="E442" s="1541"/>
      <c r="F442" s="1541"/>
      <c r="G442" s="1541"/>
      <c r="H442" s="1538"/>
      <c r="I442" s="1538"/>
      <c r="J442" s="1541"/>
      <c r="K442" s="1541"/>
      <c r="L442" s="1541"/>
      <c r="M442" s="1548"/>
      <c r="N442" s="1549"/>
      <c r="O442" s="1550"/>
      <c r="P442" s="1555"/>
      <c r="Q442" s="1558"/>
      <c r="R442" s="1598"/>
      <c r="S442" s="1599"/>
      <c r="T442" s="1541"/>
      <c r="U442" s="1601"/>
    </row>
    <row r="443" spans="1:24" ht="18" customHeight="1">
      <c r="A443" s="1574"/>
      <c r="B443" s="562"/>
      <c r="C443" s="562"/>
      <c r="D443" s="562"/>
      <c r="E443" s="1542"/>
      <c r="F443" s="1542"/>
      <c r="G443" s="1542"/>
      <c r="H443" s="1539"/>
      <c r="I443" s="1539"/>
      <c r="J443" s="1542"/>
      <c r="K443" s="1542"/>
      <c r="L443" s="1542"/>
      <c r="M443" s="1548"/>
      <c r="N443" s="1549"/>
      <c r="O443" s="1550"/>
      <c r="P443" s="1555"/>
      <c r="Q443" s="1559"/>
      <c r="R443" s="1579"/>
      <c r="S443" s="1582"/>
      <c r="T443" s="1542"/>
      <c r="U443" s="1602"/>
    </row>
    <row r="444" spans="1:24" ht="20.25">
      <c r="A444" s="1588" t="s">
        <v>279</v>
      </c>
      <c r="B444" s="1589"/>
      <c r="C444" s="1589"/>
      <c r="D444" s="1589"/>
      <c r="E444" s="1591" t="s">
        <v>800</v>
      </c>
      <c r="F444" s="1591"/>
      <c r="G444" s="555"/>
      <c r="H444" s="1499" t="s">
        <v>801</v>
      </c>
      <c r="I444" s="1499"/>
      <c r="J444" s="518"/>
      <c r="K444" s="1499" t="s">
        <v>802</v>
      </c>
      <c r="L444" s="1499"/>
      <c r="M444" s="556"/>
      <c r="N444" s="1499" t="s">
        <v>803</v>
      </c>
      <c r="O444" s="1499"/>
      <c r="P444" s="557"/>
      <c r="Q444" s="1570" t="s">
        <v>280</v>
      </c>
      <c r="R444" s="1570"/>
      <c r="S444" s="1568"/>
      <c r="T444" s="1568"/>
      <c r="U444" s="1569"/>
    </row>
    <row r="445" spans="1:24" ht="20.25">
      <c r="A445" s="1592" t="s">
        <v>30</v>
      </c>
      <c r="B445" s="1593"/>
      <c r="C445" s="1593"/>
      <c r="D445" s="1608"/>
      <c r="E445" s="1603" t="s">
        <v>800</v>
      </c>
      <c r="F445" s="1604"/>
      <c r="G445" s="558"/>
      <c r="H445" s="1607" t="s">
        <v>801</v>
      </c>
      <c r="I445" s="1607"/>
      <c r="J445" s="559"/>
      <c r="K445" s="1607" t="s">
        <v>802</v>
      </c>
      <c r="L445" s="1607"/>
      <c r="M445" s="560"/>
      <c r="N445" s="1607" t="s">
        <v>803</v>
      </c>
      <c r="O445" s="1607"/>
      <c r="P445" s="561"/>
      <c r="Q445" s="1571" t="s">
        <v>280</v>
      </c>
      <c r="R445" s="1571"/>
      <c r="S445" s="1605"/>
      <c r="T445" s="1605"/>
      <c r="U445" s="1606"/>
    </row>
    <row r="446" spans="1:24" ht="18" customHeight="1">
      <c r="A446" s="1574">
        <f t="shared" ref="A446" si="170">IF(X446=0,0,W446)</f>
        <v>0</v>
      </c>
      <c r="B446" s="1575"/>
      <c r="C446" s="1575"/>
      <c r="D446" s="1575"/>
      <c r="E446" s="1576"/>
      <c r="F446" s="1576"/>
      <c r="G446" s="1576"/>
      <c r="H446" s="1544"/>
      <c r="I446" s="1544"/>
      <c r="J446" s="1576"/>
      <c r="K446" s="1576"/>
      <c r="L446" s="1576"/>
      <c r="M446" s="1548"/>
      <c r="N446" s="1549"/>
      <c r="O446" s="1550"/>
      <c r="P446" s="1555"/>
      <c r="Q446" s="1577">
        <f ca="1">IF(X446=0,0,IF(AND(P446='Data Base'!J455,G449&gt;0.5),0,G449*(IF(EXACT(M449,"نفر اول"),INDIRECT(CONCATENATE("'Data Base'!$C",J449)),INDIRECT(CONCATENATE("'Data Base'!$D",J449))))*((100-P449)/100)))</f>
        <v>0</v>
      </c>
      <c r="R446" s="1581">
        <f ca="1">IF(X446=0,0,IF(AND(P446='Data Base'!J455,G450&gt;0.5),0,G450*(IF(EXACT(M450,"نفر اول"),INDIRECT(CONCATENATE("'Data Base'!$C",J450)),INDIRECT(CONCATENATE("'Data Base'!$D",J450))))*((100-P450)/100)))</f>
        <v>0</v>
      </c>
      <c r="S446" s="1584"/>
      <c r="T446" s="1576"/>
      <c r="U446" s="1600"/>
      <c r="W446" s="220">
        <f t="shared" ref="W446" si="171">SUM(W441,X446)</f>
        <v>0</v>
      </c>
      <c r="X446" s="220">
        <f>IF(OR(E446="",P446="",J446="",M446="",D448="",C448="",B448=""),0,1)</f>
        <v>0</v>
      </c>
    </row>
    <row r="447" spans="1:24" ht="18" customHeight="1">
      <c r="A447" s="1574"/>
      <c r="B447" s="553" t="s">
        <v>230</v>
      </c>
      <c r="C447" s="553" t="s">
        <v>231</v>
      </c>
      <c r="D447" s="553" t="s">
        <v>16</v>
      </c>
      <c r="E447" s="1541"/>
      <c r="F447" s="1541"/>
      <c r="G447" s="1541"/>
      <c r="H447" s="1538"/>
      <c r="I447" s="1538"/>
      <c r="J447" s="1541"/>
      <c r="K447" s="1541"/>
      <c r="L447" s="1541"/>
      <c r="M447" s="1548"/>
      <c r="N447" s="1549"/>
      <c r="O447" s="1550"/>
      <c r="P447" s="1555"/>
      <c r="Q447" s="1558"/>
      <c r="R447" s="1598"/>
      <c r="S447" s="1599"/>
      <c r="T447" s="1541"/>
      <c r="U447" s="1601"/>
    </row>
    <row r="448" spans="1:24" ht="18" customHeight="1">
      <c r="A448" s="1574"/>
      <c r="B448" s="562"/>
      <c r="C448" s="562"/>
      <c r="D448" s="562"/>
      <c r="E448" s="1542"/>
      <c r="F448" s="1542"/>
      <c r="G448" s="1542"/>
      <c r="H448" s="1539"/>
      <c r="I448" s="1539"/>
      <c r="J448" s="1542"/>
      <c r="K448" s="1542"/>
      <c r="L448" s="1542"/>
      <c r="M448" s="1548"/>
      <c r="N448" s="1549"/>
      <c r="O448" s="1550"/>
      <c r="P448" s="1555"/>
      <c r="Q448" s="1559"/>
      <c r="R448" s="1579"/>
      <c r="S448" s="1582"/>
      <c r="T448" s="1542"/>
      <c r="U448" s="1602"/>
    </row>
    <row r="449" spans="1:24" ht="20.25">
      <c r="A449" s="1588" t="s">
        <v>279</v>
      </c>
      <c r="B449" s="1589"/>
      <c r="C449" s="1589"/>
      <c r="D449" s="1589"/>
      <c r="E449" s="1591" t="s">
        <v>800</v>
      </c>
      <c r="F449" s="1591"/>
      <c r="G449" s="555"/>
      <c r="H449" s="1499" t="s">
        <v>801</v>
      </c>
      <c r="I449" s="1499"/>
      <c r="J449" s="518"/>
      <c r="K449" s="1499" t="s">
        <v>802</v>
      </c>
      <c r="L449" s="1499"/>
      <c r="M449" s="556"/>
      <c r="N449" s="1499" t="s">
        <v>803</v>
      </c>
      <c r="O449" s="1499"/>
      <c r="P449" s="557"/>
      <c r="Q449" s="1570" t="s">
        <v>280</v>
      </c>
      <c r="R449" s="1570"/>
      <c r="S449" s="1568"/>
      <c r="T449" s="1568"/>
      <c r="U449" s="1569"/>
    </row>
    <row r="450" spans="1:24" ht="20.25">
      <c r="A450" s="1592" t="s">
        <v>30</v>
      </c>
      <c r="B450" s="1593"/>
      <c r="C450" s="1593"/>
      <c r="D450" s="1608"/>
      <c r="E450" s="1603" t="s">
        <v>800</v>
      </c>
      <c r="F450" s="1604"/>
      <c r="G450" s="558"/>
      <c r="H450" s="1607" t="s">
        <v>801</v>
      </c>
      <c r="I450" s="1607"/>
      <c r="J450" s="559"/>
      <c r="K450" s="1607" t="s">
        <v>802</v>
      </c>
      <c r="L450" s="1607"/>
      <c r="M450" s="560"/>
      <c r="N450" s="1607" t="s">
        <v>803</v>
      </c>
      <c r="O450" s="1607"/>
      <c r="P450" s="561"/>
      <c r="Q450" s="1571" t="s">
        <v>280</v>
      </c>
      <c r="R450" s="1571"/>
      <c r="S450" s="1605"/>
      <c r="T450" s="1605"/>
      <c r="U450" s="1606"/>
    </row>
    <row r="451" spans="1:24" ht="18" customHeight="1">
      <c r="A451" s="1574">
        <f t="shared" ref="A451" si="172">IF(X451=0,0,W451)</f>
        <v>0</v>
      </c>
      <c r="B451" s="1575"/>
      <c r="C451" s="1575"/>
      <c r="D451" s="1575"/>
      <c r="E451" s="1576"/>
      <c r="F451" s="1576"/>
      <c r="G451" s="1576"/>
      <c r="H451" s="1544"/>
      <c r="I451" s="1544"/>
      <c r="J451" s="1576"/>
      <c r="K451" s="1576"/>
      <c r="L451" s="1576"/>
      <c r="M451" s="1548"/>
      <c r="N451" s="1549"/>
      <c r="O451" s="1550"/>
      <c r="P451" s="1555"/>
      <c r="Q451" s="1577">
        <f ca="1">IF(X451=0,0,IF(AND(P451='Data Base'!J460,G454&gt;0.5),0,G454*(IF(EXACT(M454,"نفر اول"),INDIRECT(CONCATENATE("'Data Base'!$C",J454)),INDIRECT(CONCATENATE("'Data Base'!$D",J454))))*((100-P454)/100)))</f>
        <v>0</v>
      </c>
      <c r="R451" s="1581">
        <f ca="1">IF(X451=0,0,IF(AND(P451='Data Base'!J460,G455&gt;0.5),0,G455*(IF(EXACT(M455,"نفر اول"),INDIRECT(CONCATENATE("'Data Base'!$C",J455)),INDIRECT(CONCATENATE("'Data Base'!$D",J455))))*((100-P455)/100)))</f>
        <v>0</v>
      </c>
      <c r="S451" s="1584"/>
      <c r="T451" s="1576"/>
      <c r="U451" s="1600"/>
      <c r="W451" s="220">
        <f t="shared" ref="W451" si="173">SUM(W446,X451)</f>
        <v>0</v>
      </c>
      <c r="X451" s="220">
        <f>IF(OR(E451="",P451="",J451="",M451="",D453="",C453="",B453=""),0,1)</f>
        <v>0</v>
      </c>
    </row>
    <row r="452" spans="1:24" ht="18" customHeight="1">
      <c r="A452" s="1574"/>
      <c r="B452" s="553" t="s">
        <v>230</v>
      </c>
      <c r="C452" s="553" t="s">
        <v>231</v>
      </c>
      <c r="D452" s="553" t="s">
        <v>16</v>
      </c>
      <c r="E452" s="1541"/>
      <c r="F452" s="1541"/>
      <c r="G452" s="1541"/>
      <c r="H452" s="1538"/>
      <c r="I452" s="1538"/>
      <c r="J452" s="1541"/>
      <c r="K452" s="1541"/>
      <c r="L452" s="1541"/>
      <c r="M452" s="1548"/>
      <c r="N452" s="1549"/>
      <c r="O452" s="1550"/>
      <c r="P452" s="1555"/>
      <c r="Q452" s="1558"/>
      <c r="R452" s="1598"/>
      <c r="S452" s="1599"/>
      <c r="T452" s="1541"/>
      <c r="U452" s="1601"/>
    </row>
    <row r="453" spans="1:24" ht="18" customHeight="1">
      <c r="A453" s="1574"/>
      <c r="B453" s="562"/>
      <c r="C453" s="562"/>
      <c r="D453" s="562"/>
      <c r="E453" s="1542"/>
      <c r="F453" s="1542"/>
      <c r="G453" s="1542"/>
      <c r="H453" s="1539"/>
      <c r="I453" s="1539"/>
      <c r="J453" s="1542"/>
      <c r="K453" s="1542"/>
      <c r="L453" s="1542"/>
      <c r="M453" s="1548"/>
      <c r="N453" s="1549"/>
      <c r="O453" s="1550"/>
      <c r="P453" s="1555"/>
      <c r="Q453" s="1559"/>
      <c r="R453" s="1579"/>
      <c r="S453" s="1582"/>
      <c r="T453" s="1542"/>
      <c r="U453" s="1602"/>
    </row>
    <row r="454" spans="1:24" ht="20.25">
      <c r="A454" s="1588" t="s">
        <v>279</v>
      </c>
      <c r="B454" s="1589"/>
      <c r="C454" s="1589"/>
      <c r="D454" s="1589"/>
      <c r="E454" s="1591" t="s">
        <v>800</v>
      </c>
      <c r="F454" s="1591"/>
      <c r="G454" s="555"/>
      <c r="H454" s="1499" t="s">
        <v>801</v>
      </c>
      <c r="I454" s="1499"/>
      <c r="J454" s="518"/>
      <c r="K454" s="1499" t="s">
        <v>802</v>
      </c>
      <c r="L454" s="1499"/>
      <c r="M454" s="556"/>
      <c r="N454" s="1499" t="s">
        <v>803</v>
      </c>
      <c r="O454" s="1499"/>
      <c r="P454" s="557"/>
      <c r="Q454" s="1570" t="s">
        <v>280</v>
      </c>
      <c r="R454" s="1570"/>
      <c r="S454" s="1568"/>
      <c r="T454" s="1568"/>
      <c r="U454" s="1569"/>
    </row>
    <row r="455" spans="1:24" ht="20.25">
      <c r="A455" s="1592" t="s">
        <v>30</v>
      </c>
      <c r="B455" s="1593"/>
      <c r="C455" s="1593"/>
      <c r="D455" s="1608"/>
      <c r="E455" s="1603" t="s">
        <v>800</v>
      </c>
      <c r="F455" s="1604"/>
      <c r="G455" s="558"/>
      <c r="H455" s="1607" t="s">
        <v>801</v>
      </c>
      <c r="I455" s="1607"/>
      <c r="J455" s="559"/>
      <c r="K455" s="1607" t="s">
        <v>802</v>
      </c>
      <c r="L455" s="1607"/>
      <c r="M455" s="560"/>
      <c r="N455" s="1607" t="s">
        <v>803</v>
      </c>
      <c r="O455" s="1607"/>
      <c r="P455" s="561"/>
      <c r="Q455" s="1571" t="s">
        <v>280</v>
      </c>
      <c r="R455" s="1571"/>
      <c r="S455" s="1605"/>
      <c r="T455" s="1605"/>
      <c r="U455" s="1606"/>
    </row>
    <row r="456" spans="1:24" ht="18" customHeight="1">
      <c r="A456" s="1574">
        <f t="shared" ref="A456" si="174">IF(X456=0,0,W456)</f>
        <v>0</v>
      </c>
      <c r="B456" s="1575"/>
      <c r="C456" s="1575"/>
      <c r="D456" s="1575"/>
      <c r="E456" s="1576"/>
      <c r="F456" s="1576"/>
      <c r="G456" s="1576"/>
      <c r="H456" s="1544"/>
      <c r="I456" s="1544"/>
      <c r="J456" s="1576"/>
      <c r="K456" s="1576"/>
      <c r="L456" s="1576"/>
      <c r="M456" s="1548"/>
      <c r="N456" s="1549"/>
      <c r="O456" s="1550"/>
      <c r="P456" s="1555"/>
      <c r="Q456" s="1577">
        <f ca="1">IF(X456=0,0,IF(AND(P456='Data Base'!J465,G459&gt;0.5),0,G459*(IF(EXACT(M459,"نفر اول"),INDIRECT(CONCATENATE("'Data Base'!$C",J459)),INDIRECT(CONCATENATE("'Data Base'!$D",J459))))*((100-P459)/100)))</f>
        <v>0</v>
      </c>
      <c r="R456" s="1581">
        <f ca="1">IF(X456=0,0,IF(AND(P456='Data Base'!J465,G460&gt;0.5),0,G460*(IF(EXACT(M460,"نفر اول"),INDIRECT(CONCATENATE("'Data Base'!$C",J460)),INDIRECT(CONCATENATE("'Data Base'!$D",J460))))*((100-P460)/100)))</f>
        <v>0</v>
      </c>
      <c r="S456" s="1584"/>
      <c r="T456" s="1576"/>
      <c r="U456" s="1600"/>
      <c r="W456" s="220">
        <f t="shared" ref="W456" si="175">SUM(W451,X456)</f>
        <v>0</v>
      </c>
      <c r="X456" s="220">
        <f>IF(OR(E456="",P456="",J456="",M456="",D458="",C458="",B458=""),0,1)</f>
        <v>0</v>
      </c>
    </row>
    <row r="457" spans="1:24" ht="18" customHeight="1">
      <c r="A457" s="1574"/>
      <c r="B457" s="553" t="s">
        <v>230</v>
      </c>
      <c r="C457" s="553" t="s">
        <v>231</v>
      </c>
      <c r="D457" s="553" t="s">
        <v>16</v>
      </c>
      <c r="E457" s="1541"/>
      <c r="F457" s="1541"/>
      <c r="G457" s="1541"/>
      <c r="H457" s="1538"/>
      <c r="I457" s="1538"/>
      <c r="J457" s="1541"/>
      <c r="K457" s="1541"/>
      <c r="L457" s="1541"/>
      <c r="M457" s="1548"/>
      <c r="N457" s="1549"/>
      <c r="O457" s="1550"/>
      <c r="P457" s="1555"/>
      <c r="Q457" s="1558"/>
      <c r="R457" s="1598"/>
      <c r="S457" s="1599"/>
      <c r="T457" s="1541"/>
      <c r="U457" s="1601"/>
    </row>
    <row r="458" spans="1:24" ht="18" customHeight="1">
      <c r="A458" s="1574"/>
      <c r="B458" s="562"/>
      <c r="C458" s="562"/>
      <c r="D458" s="562"/>
      <c r="E458" s="1542"/>
      <c r="F458" s="1542"/>
      <c r="G458" s="1542"/>
      <c r="H458" s="1539"/>
      <c r="I458" s="1539"/>
      <c r="J458" s="1542"/>
      <c r="K458" s="1542"/>
      <c r="L458" s="1542"/>
      <c r="M458" s="1548"/>
      <c r="N458" s="1549"/>
      <c r="O458" s="1550"/>
      <c r="P458" s="1555"/>
      <c r="Q458" s="1559"/>
      <c r="R458" s="1579"/>
      <c r="S458" s="1582"/>
      <c r="T458" s="1542"/>
      <c r="U458" s="1602"/>
    </row>
    <row r="459" spans="1:24" ht="20.25">
      <c r="A459" s="1588" t="s">
        <v>279</v>
      </c>
      <c r="B459" s="1589"/>
      <c r="C459" s="1589"/>
      <c r="D459" s="1589"/>
      <c r="E459" s="1591" t="s">
        <v>800</v>
      </c>
      <c r="F459" s="1591"/>
      <c r="G459" s="555"/>
      <c r="H459" s="1499" t="s">
        <v>801</v>
      </c>
      <c r="I459" s="1499"/>
      <c r="J459" s="518"/>
      <c r="K459" s="1499" t="s">
        <v>802</v>
      </c>
      <c r="L459" s="1499"/>
      <c r="M459" s="556"/>
      <c r="N459" s="1499" t="s">
        <v>803</v>
      </c>
      <c r="O459" s="1499"/>
      <c r="P459" s="557"/>
      <c r="Q459" s="1570" t="s">
        <v>280</v>
      </c>
      <c r="R459" s="1570"/>
      <c r="S459" s="1568"/>
      <c r="T459" s="1568"/>
      <c r="U459" s="1569"/>
    </row>
    <row r="460" spans="1:24" ht="20.25">
      <c r="A460" s="1592" t="s">
        <v>30</v>
      </c>
      <c r="B460" s="1593"/>
      <c r="C460" s="1593"/>
      <c r="D460" s="1608"/>
      <c r="E460" s="1603" t="s">
        <v>800</v>
      </c>
      <c r="F460" s="1604"/>
      <c r="G460" s="558"/>
      <c r="H460" s="1607" t="s">
        <v>801</v>
      </c>
      <c r="I460" s="1607"/>
      <c r="J460" s="559"/>
      <c r="K460" s="1607" t="s">
        <v>802</v>
      </c>
      <c r="L460" s="1607"/>
      <c r="M460" s="560"/>
      <c r="N460" s="1607" t="s">
        <v>803</v>
      </c>
      <c r="O460" s="1607"/>
      <c r="P460" s="561"/>
      <c r="Q460" s="1571" t="s">
        <v>280</v>
      </c>
      <c r="R460" s="1571"/>
      <c r="S460" s="1605"/>
      <c r="T460" s="1605"/>
      <c r="U460" s="1606"/>
    </row>
    <row r="461" spans="1:24" ht="18" customHeight="1">
      <c r="A461" s="1574">
        <f t="shared" ref="A461" si="176">IF(X461=0,0,W461)</f>
        <v>0</v>
      </c>
      <c r="B461" s="1575"/>
      <c r="C461" s="1575"/>
      <c r="D461" s="1575"/>
      <c r="E461" s="1576"/>
      <c r="F461" s="1576"/>
      <c r="G461" s="1576"/>
      <c r="H461" s="1544"/>
      <c r="I461" s="1544"/>
      <c r="J461" s="1576"/>
      <c r="K461" s="1576"/>
      <c r="L461" s="1576"/>
      <c r="M461" s="1548"/>
      <c r="N461" s="1549"/>
      <c r="O461" s="1550"/>
      <c r="P461" s="1555"/>
      <c r="Q461" s="1577">
        <f ca="1">IF(X461=0,0,IF(AND(P461='Data Base'!J470,G464&gt;0.5),0,G464*(IF(EXACT(M464,"نفر اول"),INDIRECT(CONCATENATE("'Data Base'!$C",J464)),INDIRECT(CONCATENATE("'Data Base'!$D",J464))))*((100-P464)/100)))</f>
        <v>0</v>
      </c>
      <c r="R461" s="1581">
        <f ca="1">IF(X461=0,0,IF(AND(P461='Data Base'!J470,G465&gt;0.5),0,G465*(IF(EXACT(M465,"نفر اول"),INDIRECT(CONCATENATE("'Data Base'!$C",J465)),INDIRECT(CONCATENATE("'Data Base'!$D",J465))))*((100-P465)/100)))</f>
        <v>0</v>
      </c>
      <c r="S461" s="1584"/>
      <c r="T461" s="1576"/>
      <c r="U461" s="1600"/>
      <c r="W461" s="220">
        <f t="shared" ref="W461" si="177">SUM(W456,X461)</f>
        <v>0</v>
      </c>
      <c r="X461" s="220">
        <f>IF(OR(E461="",P461="",J461="",M461="",D463="",C463="",B463=""),0,1)</f>
        <v>0</v>
      </c>
    </row>
    <row r="462" spans="1:24" ht="18" customHeight="1">
      <c r="A462" s="1574"/>
      <c r="B462" s="553" t="s">
        <v>230</v>
      </c>
      <c r="C462" s="553" t="s">
        <v>231</v>
      </c>
      <c r="D462" s="553" t="s">
        <v>16</v>
      </c>
      <c r="E462" s="1541"/>
      <c r="F462" s="1541"/>
      <c r="G462" s="1541"/>
      <c r="H462" s="1538"/>
      <c r="I462" s="1538"/>
      <c r="J462" s="1541"/>
      <c r="K462" s="1541"/>
      <c r="L462" s="1541"/>
      <c r="M462" s="1548"/>
      <c r="N462" s="1549"/>
      <c r="O462" s="1550"/>
      <c r="P462" s="1555"/>
      <c r="Q462" s="1558"/>
      <c r="R462" s="1598"/>
      <c r="S462" s="1599"/>
      <c r="T462" s="1541"/>
      <c r="U462" s="1601"/>
    </row>
    <row r="463" spans="1:24" ht="18" customHeight="1">
      <c r="A463" s="1574"/>
      <c r="B463" s="562"/>
      <c r="C463" s="562"/>
      <c r="D463" s="562"/>
      <c r="E463" s="1542"/>
      <c r="F463" s="1542"/>
      <c r="G463" s="1542"/>
      <c r="H463" s="1539"/>
      <c r="I463" s="1539"/>
      <c r="J463" s="1542"/>
      <c r="K463" s="1542"/>
      <c r="L463" s="1542"/>
      <c r="M463" s="1548"/>
      <c r="N463" s="1549"/>
      <c r="O463" s="1550"/>
      <c r="P463" s="1555"/>
      <c r="Q463" s="1559"/>
      <c r="R463" s="1579"/>
      <c r="S463" s="1582"/>
      <c r="T463" s="1542"/>
      <c r="U463" s="1602"/>
    </row>
    <row r="464" spans="1:24" ht="20.25">
      <c r="A464" s="1588" t="s">
        <v>279</v>
      </c>
      <c r="B464" s="1589"/>
      <c r="C464" s="1589"/>
      <c r="D464" s="1589"/>
      <c r="E464" s="1591" t="s">
        <v>800</v>
      </c>
      <c r="F464" s="1591"/>
      <c r="G464" s="555"/>
      <c r="H464" s="1499" t="s">
        <v>801</v>
      </c>
      <c r="I464" s="1499"/>
      <c r="J464" s="518"/>
      <c r="K464" s="1499" t="s">
        <v>802</v>
      </c>
      <c r="L464" s="1499"/>
      <c r="M464" s="556"/>
      <c r="N464" s="1499" t="s">
        <v>803</v>
      </c>
      <c r="O464" s="1499"/>
      <c r="P464" s="557"/>
      <c r="Q464" s="1570" t="s">
        <v>280</v>
      </c>
      <c r="R464" s="1570"/>
      <c r="S464" s="1568"/>
      <c r="T464" s="1568"/>
      <c r="U464" s="1569"/>
    </row>
    <row r="465" spans="1:24" ht="20.25">
      <c r="A465" s="1592" t="s">
        <v>30</v>
      </c>
      <c r="B465" s="1593"/>
      <c r="C465" s="1593"/>
      <c r="D465" s="1608"/>
      <c r="E465" s="1603" t="s">
        <v>800</v>
      </c>
      <c r="F465" s="1604"/>
      <c r="G465" s="558"/>
      <c r="H465" s="1607" t="s">
        <v>801</v>
      </c>
      <c r="I465" s="1607"/>
      <c r="J465" s="559"/>
      <c r="K465" s="1607" t="s">
        <v>802</v>
      </c>
      <c r="L465" s="1607"/>
      <c r="M465" s="560"/>
      <c r="N465" s="1607" t="s">
        <v>803</v>
      </c>
      <c r="O465" s="1607"/>
      <c r="P465" s="561"/>
      <c r="Q465" s="1571" t="s">
        <v>280</v>
      </c>
      <c r="R465" s="1571"/>
      <c r="S465" s="1605"/>
      <c r="T465" s="1605"/>
      <c r="U465" s="1606"/>
    </row>
    <row r="466" spans="1:24" ht="18" customHeight="1">
      <c r="A466" s="1574">
        <f t="shared" ref="A466" si="178">IF(X466=0,0,W466)</f>
        <v>0</v>
      </c>
      <c r="B466" s="1575"/>
      <c r="C466" s="1575"/>
      <c r="D466" s="1575"/>
      <c r="E466" s="1576"/>
      <c r="F466" s="1576"/>
      <c r="G466" s="1576"/>
      <c r="H466" s="1544"/>
      <c r="I466" s="1544"/>
      <c r="J466" s="1576"/>
      <c r="K466" s="1576"/>
      <c r="L466" s="1576"/>
      <c r="M466" s="1548"/>
      <c r="N466" s="1549"/>
      <c r="O466" s="1550"/>
      <c r="P466" s="1555"/>
      <c r="Q466" s="1577">
        <f ca="1">IF(X466=0,0,IF(AND(P466='Data Base'!J475,G469&gt;0.5),0,G469*(IF(EXACT(M469,"نفر اول"),INDIRECT(CONCATENATE("'Data Base'!$C",J469)),INDIRECT(CONCATENATE("'Data Base'!$D",J469))))*((100-P469)/100)))</f>
        <v>0</v>
      </c>
      <c r="R466" s="1581">
        <f ca="1">IF(X466=0,0,IF(AND(P466='Data Base'!J475,G470&gt;0.5),0,G470*(IF(EXACT(M470,"نفر اول"),INDIRECT(CONCATENATE("'Data Base'!$C",J470)),INDIRECT(CONCATENATE("'Data Base'!$D",J470))))*((100-P470)/100)))</f>
        <v>0</v>
      </c>
      <c r="S466" s="1584"/>
      <c r="T466" s="1576"/>
      <c r="U466" s="1600"/>
      <c r="W466" s="220">
        <f t="shared" ref="W466" si="179">SUM(W461,X466)</f>
        <v>0</v>
      </c>
      <c r="X466" s="220">
        <f>IF(OR(E466="",P466="",J466="",M466="",D468="",C468="",B468=""),0,1)</f>
        <v>0</v>
      </c>
    </row>
    <row r="467" spans="1:24" ht="18" customHeight="1">
      <c r="A467" s="1574"/>
      <c r="B467" s="553" t="s">
        <v>230</v>
      </c>
      <c r="C467" s="553" t="s">
        <v>231</v>
      </c>
      <c r="D467" s="553" t="s">
        <v>16</v>
      </c>
      <c r="E467" s="1541"/>
      <c r="F467" s="1541"/>
      <c r="G467" s="1541"/>
      <c r="H467" s="1538"/>
      <c r="I467" s="1538"/>
      <c r="J467" s="1541"/>
      <c r="K467" s="1541"/>
      <c r="L467" s="1541"/>
      <c r="M467" s="1548"/>
      <c r="N467" s="1549"/>
      <c r="O467" s="1550"/>
      <c r="P467" s="1555"/>
      <c r="Q467" s="1558"/>
      <c r="R467" s="1598"/>
      <c r="S467" s="1599"/>
      <c r="T467" s="1541"/>
      <c r="U467" s="1601"/>
    </row>
    <row r="468" spans="1:24" ht="18" customHeight="1">
      <c r="A468" s="1574"/>
      <c r="B468" s="562"/>
      <c r="C468" s="562"/>
      <c r="D468" s="562"/>
      <c r="E468" s="1542"/>
      <c r="F468" s="1542"/>
      <c r="G468" s="1542"/>
      <c r="H468" s="1539"/>
      <c r="I468" s="1539"/>
      <c r="J468" s="1542"/>
      <c r="K468" s="1542"/>
      <c r="L468" s="1542"/>
      <c r="M468" s="1548"/>
      <c r="N468" s="1549"/>
      <c r="O468" s="1550"/>
      <c r="P468" s="1555"/>
      <c r="Q468" s="1559"/>
      <c r="R468" s="1579"/>
      <c r="S468" s="1582"/>
      <c r="T468" s="1542"/>
      <c r="U468" s="1602"/>
    </row>
    <row r="469" spans="1:24" ht="20.25">
      <c r="A469" s="1588" t="s">
        <v>279</v>
      </c>
      <c r="B469" s="1589"/>
      <c r="C469" s="1589"/>
      <c r="D469" s="1589"/>
      <c r="E469" s="1591" t="s">
        <v>800</v>
      </c>
      <c r="F469" s="1591"/>
      <c r="G469" s="555"/>
      <c r="H469" s="1499" t="s">
        <v>801</v>
      </c>
      <c r="I469" s="1499"/>
      <c r="J469" s="518"/>
      <c r="K469" s="1499" t="s">
        <v>802</v>
      </c>
      <c r="L469" s="1499"/>
      <c r="M469" s="556"/>
      <c r="N469" s="1499" t="s">
        <v>803</v>
      </c>
      <c r="O469" s="1499"/>
      <c r="P469" s="557"/>
      <c r="Q469" s="1570" t="s">
        <v>280</v>
      </c>
      <c r="R469" s="1570"/>
      <c r="S469" s="1568"/>
      <c r="T469" s="1568"/>
      <c r="U469" s="1569"/>
    </row>
    <row r="470" spans="1:24" ht="20.25">
      <c r="A470" s="1592" t="s">
        <v>30</v>
      </c>
      <c r="B470" s="1593"/>
      <c r="C470" s="1593"/>
      <c r="D470" s="1608"/>
      <c r="E470" s="1603" t="s">
        <v>800</v>
      </c>
      <c r="F470" s="1604"/>
      <c r="G470" s="558"/>
      <c r="H470" s="1607" t="s">
        <v>801</v>
      </c>
      <c r="I470" s="1607"/>
      <c r="J470" s="559"/>
      <c r="K470" s="1607" t="s">
        <v>802</v>
      </c>
      <c r="L470" s="1607"/>
      <c r="M470" s="560"/>
      <c r="N470" s="1607" t="s">
        <v>803</v>
      </c>
      <c r="O470" s="1607"/>
      <c r="P470" s="561"/>
      <c r="Q470" s="1571" t="s">
        <v>280</v>
      </c>
      <c r="R470" s="1571"/>
      <c r="S470" s="1605"/>
      <c r="T470" s="1605"/>
      <c r="U470" s="1606"/>
    </row>
    <row r="471" spans="1:24" ht="18" customHeight="1">
      <c r="A471" s="1574">
        <f t="shared" ref="A471" si="180">IF(X471=0,0,W471)</f>
        <v>0</v>
      </c>
      <c r="B471" s="1575"/>
      <c r="C471" s="1575"/>
      <c r="D471" s="1575"/>
      <c r="E471" s="1576"/>
      <c r="F471" s="1576"/>
      <c r="G471" s="1576"/>
      <c r="H471" s="1544"/>
      <c r="I471" s="1544"/>
      <c r="J471" s="1576"/>
      <c r="K471" s="1576"/>
      <c r="L471" s="1576"/>
      <c r="M471" s="1548"/>
      <c r="N471" s="1549"/>
      <c r="O471" s="1550"/>
      <c r="P471" s="1555"/>
      <c r="Q471" s="1577">
        <f ca="1">IF(X471=0,0,IF(AND(P471='Data Base'!J480,G474&gt;0.5),0,G474*(IF(EXACT(M474,"نفر اول"),INDIRECT(CONCATENATE("'Data Base'!$C",J474)),INDIRECT(CONCATENATE("'Data Base'!$D",J474))))*((100-P474)/100)))</f>
        <v>0</v>
      </c>
      <c r="R471" s="1581">
        <f ca="1">IF(X471=0,0,IF(AND(P471='Data Base'!J480,G475&gt;0.5),0,G475*(IF(EXACT(M475,"نفر اول"),INDIRECT(CONCATENATE("'Data Base'!$C",J475)),INDIRECT(CONCATENATE("'Data Base'!$D",J475))))*((100-P475)/100)))</f>
        <v>0</v>
      </c>
      <c r="S471" s="1584"/>
      <c r="T471" s="1576"/>
      <c r="U471" s="1600"/>
      <c r="W471" s="220">
        <f t="shared" ref="W471" si="181">SUM(W466,X471)</f>
        <v>0</v>
      </c>
      <c r="X471" s="220">
        <f>IF(OR(E471="",P471="",J471="",M471="",D473="",C473="",B473=""),0,1)</f>
        <v>0</v>
      </c>
    </row>
    <row r="472" spans="1:24" ht="18" customHeight="1">
      <c r="A472" s="1574"/>
      <c r="B472" s="553" t="s">
        <v>230</v>
      </c>
      <c r="C472" s="553" t="s">
        <v>231</v>
      </c>
      <c r="D472" s="553" t="s">
        <v>16</v>
      </c>
      <c r="E472" s="1541"/>
      <c r="F472" s="1541"/>
      <c r="G472" s="1541"/>
      <c r="H472" s="1538"/>
      <c r="I472" s="1538"/>
      <c r="J472" s="1541"/>
      <c r="K472" s="1541"/>
      <c r="L472" s="1541"/>
      <c r="M472" s="1548"/>
      <c r="N472" s="1549"/>
      <c r="O472" s="1550"/>
      <c r="P472" s="1555"/>
      <c r="Q472" s="1558"/>
      <c r="R472" s="1598"/>
      <c r="S472" s="1599"/>
      <c r="T472" s="1541"/>
      <c r="U472" s="1601"/>
    </row>
    <row r="473" spans="1:24" ht="18" customHeight="1">
      <c r="A473" s="1574"/>
      <c r="B473" s="562"/>
      <c r="C473" s="562"/>
      <c r="D473" s="562"/>
      <c r="E473" s="1542"/>
      <c r="F473" s="1542"/>
      <c r="G473" s="1542"/>
      <c r="H473" s="1539"/>
      <c r="I473" s="1539"/>
      <c r="J473" s="1542"/>
      <c r="K473" s="1542"/>
      <c r="L473" s="1542"/>
      <c r="M473" s="1548"/>
      <c r="N473" s="1549"/>
      <c r="O473" s="1550"/>
      <c r="P473" s="1555"/>
      <c r="Q473" s="1559"/>
      <c r="R473" s="1579"/>
      <c r="S473" s="1582"/>
      <c r="T473" s="1542"/>
      <c r="U473" s="1602"/>
    </row>
    <row r="474" spans="1:24" ht="20.25">
      <c r="A474" s="1588" t="s">
        <v>279</v>
      </c>
      <c r="B474" s="1589"/>
      <c r="C474" s="1589"/>
      <c r="D474" s="1589"/>
      <c r="E474" s="1591" t="s">
        <v>800</v>
      </c>
      <c r="F474" s="1591"/>
      <c r="G474" s="555"/>
      <c r="H474" s="1499" t="s">
        <v>801</v>
      </c>
      <c r="I474" s="1499"/>
      <c r="J474" s="518"/>
      <c r="K474" s="1499" t="s">
        <v>802</v>
      </c>
      <c r="L474" s="1499"/>
      <c r="M474" s="556"/>
      <c r="N474" s="1499" t="s">
        <v>803</v>
      </c>
      <c r="O474" s="1499"/>
      <c r="P474" s="557"/>
      <c r="Q474" s="1570" t="s">
        <v>280</v>
      </c>
      <c r="R474" s="1570"/>
      <c r="S474" s="1568"/>
      <c r="T474" s="1568"/>
      <c r="U474" s="1569"/>
    </row>
    <row r="475" spans="1:24" ht="20.25">
      <c r="A475" s="1592" t="s">
        <v>30</v>
      </c>
      <c r="B475" s="1593"/>
      <c r="C475" s="1593"/>
      <c r="D475" s="1608"/>
      <c r="E475" s="1603" t="s">
        <v>800</v>
      </c>
      <c r="F475" s="1604"/>
      <c r="G475" s="558"/>
      <c r="H475" s="1607" t="s">
        <v>801</v>
      </c>
      <c r="I475" s="1607"/>
      <c r="J475" s="559"/>
      <c r="K475" s="1607" t="s">
        <v>802</v>
      </c>
      <c r="L475" s="1607"/>
      <c r="M475" s="560"/>
      <c r="N475" s="1607" t="s">
        <v>803</v>
      </c>
      <c r="O475" s="1607"/>
      <c r="P475" s="561"/>
      <c r="Q475" s="1571" t="s">
        <v>280</v>
      </c>
      <c r="R475" s="1571"/>
      <c r="S475" s="1605"/>
      <c r="T475" s="1605"/>
      <c r="U475" s="1606"/>
    </row>
    <row r="476" spans="1:24" ht="18" customHeight="1">
      <c r="A476" s="1574">
        <f t="shared" ref="A476" si="182">IF(X476=0,0,W476)</f>
        <v>0</v>
      </c>
      <c r="B476" s="1575"/>
      <c r="C476" s="1575"/>
      <c r="D476" s="1575"/>
      <c r="E476" s="1576"/>
      <c r="F476" s="1576"/>
      <c r="G476" s="1576"/>
      <c r="H476" s="1544"/>
      <c r="I476" s="1544"/>
      <c r="J476" s="1576"/>
      <c r="K476" s="1576"/>
      <c r="L476" s="1576"/>
      <c r="M476" s="1548"/>
      <c r="N476" s="1549"/>
      <c r="O476" s="1550"/>
      <c r="P476" s="1555"/>
      <c r="Q476" s="1577">
        <f ca="1">IF(X476=0,0,IF(AND(P476='Data Base'!J485,G479&gt;0.5),0,G479*(IF(EXACT(M479,"نفر اول"),INDIRECT(CONCATENATE("'Data Base'!$C",J479)),INDIRECT(CONCATENATE("'Data Base'!$D",J479))))*((100-P479)/100)))</f>
        <v>0</v>
      </c>
      <c r="R476" s="1581">
        <f ca="1">IF(X476=0,0,IF(AND(P476='Data Base'!J485,G480&gt;0.5),0,G480*(IF(EXACT(M480,"نفر اول"),INDIRECT(CONCATENATE("'Data Base'!$C",J480)),INDIRECT(CONCATENATE("'Data Base'!$D",J480))))*((100-P480)/100)))</f>
        <v>0</v>
      </c>
      <c r="S476" s="1584"/>
      <c r="T476" s="1576"/>
      <c r="U476" s="1600"/>
      <c r="W476" s="220">
        <f t="shared" ref="W476" si="183">SUM(W471,X476)</f>
        <v>0</v>
      </c>
      <c r="X476" s="220">
        <f>IF(OR(E476="",P476="",J476="",M476="",D478="",C478="",B478=""),0,1)</f>
        <v>0</v>
      </c>
    </row>
    <row r="477" spans="1:24" ht="18" customHeight="1">
      <c r="A477" s="1574"/>
      <c r="B477" s="553" t="s">
        <v>230</v>
      </c>
      <c r="C477" s="553" t="s">
        <v>231</v>
      </c>
      <c r="D477" s="553" t="s">
        <v>16</v>
      </c>
      <c r="E477" s="1541"/>
      <c r="F477" s="1541"/>
      <c r="G477" s="1541"/>
      <c r="H477" s="1538"/>
      <c r="I477" s="1538"/>
      <c r="J477" s="1541"/>
      <c r="K477" s="1541"/>
      <c r="L477" s="1541"/>
      <c r="M477" s="1548"/>
      <c r="N477" s="1549"/>
      <c r="O477" s="1550"/>
      <c r="P477" s="1555"/>
      <c r="Q477" s="1558"/>
      <c r="R477" s="1598"/>
      <c r="S477" s="1599"/>
      <c r="T477" s="1541"/>
      <c r="U477" s="1601"/>
    </row>
    <row r="478" spans="1:24" ht="18" customHeight="1">
      <c r="A478" s="1574"/>
      <c r="B478" s="562"/>
      <c r="C478" s="562"/>
      <c r="D478" s="562"/>
      <c r="E478" s="1542"/>
      <c r="F478" s="1542"/>
      <c r="G478" s="1542"/>
      <c r="H478" s="1539"/>
      <c r="I478" s="1539"/>
      <c r="J478" s="1542"/>
      <c r="K478" s="1542"/>
      <c r="L478" s="1542"/>
      <c r="M478" s="1548"/>
      <c r="N478" s="1549"/>
      <c r="O478" s="1550"/>
      <c r="P478" s="1555"/>
      <c r="Q478" s="1559"/>
      <c r="R478" s="1579"/>
      <c r="S478" s="1582"/>
      <c r="T478" s="1542"/>
      <c r="U478" s="1602"/>
    </row>
    <row r="479" spans="1:24" ht="20.25">
      <c r="A479" s="1588" t="s">
        <v>279</v>
      </c>
      <c r="B479" s="1589"/>
      <c r="C479" s="1589"/>
      <c r="D479" s="1589"/>
      <c r="E479" s="1591" t="s">
        <v>800</v>
      </c>
      <c r="F479" s="1591"/>
      <c r="G479" s="555"/>
      <c r="H479" s="1499" t="s">
        <v>801</v>
      </c>
      <c r="I479" s="1499"/>
      <c r="J479" s="518"/>
      <c r="K479" s="1499" t="s">
        <v>802</v>
      </c>
      <c r="L479" s="1499"/>
      <c r="M479" s="556"/>
      <c r="N479" s="1499" t="s">
        <v>803</v>
      </c>
      <c r="O479" s="1499"/>
      <c r="P479" s="557"/>
      <c r="Q479" s="1570" t="s">
        <v>280</v>
      </c>
      <c r="R479" s="1570"/>
      <c r="S479" s="1568"/>
      <c r="T479" s="1568"/>
      <c r="U479" s="1569"/>
    </row>
    <row r="480" spans="1:24" ht="20.25">
      <c r="A480" s="1592" t="s">
        <v>30</v>
      </c>
      <c r="B480" s="1593"/>
      <c r="C480" s="1593"/>
      <c r="D480" s="1608"/>
      <c r="E480" s="1603" t="s">
        <v>800</v>
      </c>
      <c r="F480" s="1604"/>
      <c r="G480" s="558"/>
      <c r="H480" s="1607" t="s">
        <v>801</v>
      </c>
      <c r="I480" s="1607"/>
      <c r="J480" s="559"/>
      <c r="K480" s="1607" t="s">
        <v>802</v>
      </c>
      <c r="L480" s="1607"/>
      <c r="M480" s="560"/>
      <c r="N480" s="1607" t="s">
        <v>803</v>
      </c>
      <c r="O480" s="1607"/>
      <c r="P480" s="561"/>
      <c r="Q480" s="1571" t="s">
        <v>280</v>
      </c>
      <c r="R480" s="1571"/>
      <c r="S480" s="1605"/>
      <c r="T480" s="1605"/>
      <c r="U480" s="1606"/>
    </row>
    <row r="481" spans="1:24" ht="18" customHeight="1">
      <c r="A481" s="1574">
        <f t="shared" ref="A481" si="184">IF(X481=0,0,W481)</f>
        <v>0</v>
      </c>
      <c r="B481" s="1575"/>
      <c r="C481" s="1575"/>
      <c r="D481" s="1575"/>
      <c r="E481" s="1576"/>
      <c r="F481" s="1576"/>
      <c r="G481" s="1576"/>
      <c r="H481" s="1544"/>
      <c r="I481" s="1544"/>
      <c r="J481" s="1576"/>
      <c r="K481" s="1576"/>
      <c r="L481" s="1576"/>
      <c r="M481" s="1548"/>
      <c r="N481" s="1549"/>
      <c r="O481" s="1550"/>
      <c r="P481" s="1555"/>
      <c r="Q481" s="1577">
        <f ca="1">IF(X481=0,0,IF(AND(P481='Data Base'!J490,G484&gt;0.5),0,G484*(IF(EXACT(M484,"نفر اول"),INDIRECT(CONCATENATE("'Data Base'!$C",J484)),INDIRECT(CONCATENATE("'Data Base'!$D",J484))))*((100-P484)/100)))</f>
        <v>0</v>
      </c>
      <c r="R481" s="1581">
        <f ca="1">IF(X481=0,0,IF(AND(P481='Data Base'!J490,G485&gt;0.5),0,G485*(IF(EXACT(M485,"نفر اول"),INDIRECT(CONCATENATE("'Data Base'!$C",J485)),INDIRECT(CONCATENATE("'Data Base'!$D",J485))))*((100-P485)/100)))</f>
        <v>0</v>
      </c>
      <c r="S481" s="1584"/>
      <c r="T481" s="1576"/>
      <c r="U481" s="1600"/>
      <c r="W481" s="220">
        <f t="shared" ref="W481" si="185">SUM(W476,X481)</f>
        <v>0</v>
      </c>
      <c r="X481" s="220">
        <f>IF(OR(E481="",P481="",J481="",M481="",D483="",C483="",B483=""),0,1)</f>
        <v>0</v>
      </c>
    </row>
    <row r="482" spans="1:24" ht="18" customHeight="1">
      <c r="A482" s="1574"/>
      <c r="B482" s="553" t="s">
        <v>230</v>
      </c>
      <c r="C482" s="553" t="s">
        <v>231</v>
      </c>
      <c r="D482" s="553" t="s">
        <v>16</v>
      </c>
      <c r="E482" s="1541"/>
      <c r="F482" s="1541"/>
      <c r="G482" s="1541"/>
      <c r="H482" s="1538"/>
      <c r="I482" s="1538"/>
      <c r="J482" s="1541"/>
      <c r="K482" s="1541"/>
      <c r="L482" s="1541"/>
      <c r="M482" s="1548"/>
      <c r="N482" s="1549"/>
      <c r="O482" s="1550"/>
      <c r="P482" s="1555"/>
      <c r="Q482" s="1558"/>
      <c r="R482" s="1598"/>
      <c r="S482" s="1599"/>
      <c r="T482" s="1541"/>
      <c r="U482" s="1601"/>
    </row>
    <row r="483" spans="1:24" ht="18" customHeight="1">
      <c r="A483" s="1574"/>
      <c r="B483" s="562"/>
      <c r="C483" s="562"/>
      <c r="D483" s="562"/>
      <c r="E483" s="1542"/>
      <c r="F483" s="1542"/>
      <c r="G483" s="1542"/>
      <c r="H483" s="1539"/>
      <c r="I483" s="1539"/>
      <c r="J483" s="1542"/>
      <c r="K483" s="1542"/>
      <c r="L483" s="1542"/>
      <c r="M483" s="1548"/>
      <c r="N483" s="1549"/>
      <c r="O483" s="1550"/>
      <c r="P483" s="1555"/>
      <c r="Q483" s="1559"/>
      <c r="R483" s="1579"/>
      <c r="S483" s="1582"/>
      <c r="T483" s="1542"/>
      <c r="U483" s="1602"/>
    </row>
    <row r="484" spans="1:24" ht="20.25">
      <c r="A484" s="1588" t="s">
        <v>279</v>
      </c>
      <c r="B484" s="1589"/>
      <c r="C484" s="1589"/>
      <c r="D484" s="1589"/>
      <c r="E484" s="1591" t="s">
        <v>800</v>
      </c>
      <c r="F484" s="1591"/>
      <c r="G484" s="555"/>
      <c r="H484" s="1499" t="s">
        <v>801</v>
      </c>
      <c r="I484" s="1499"/>
      <c r="J484" s="518"/>
      <c r="K484" s="1499" t="s">
        <v>802</v>
      </c>
      <c r="L484" s="1499"/>
      <c r="M484" s="556"/>
      <c r="N484" s="1499" t="s">
        <v>803</v>
      </c>
      <c r="O484" s="1499"/>
      <c r="P484" s="557"/>
      <c r="Q484" s="1570" t="s">
        <v>280</v>
      </c>
      <c r="R484" s="1570"/>
      <c r="S484" s="1568"/>
      <c r="T484" s="1568"/>
      <c r="U484" s="1569"/>
    </row>
    <row r="485" spans="1:24" ht="20.25">
      <c r="A485" s="1592" t="s">
        <v>30</v>
      </c>
      <c r="B485" s="1593"/>
      <c r="C485" s="1593"/>
      <c r="D485" s="1608"/>
      <c r="E485" s="1603" t="s">
        <v>800</v>
      </c>
      <c r="F485" s="1604"/>
      <c r="G485" s="558"/>
      <c r="H485" s="1607" t="s">
        <v>801</v>
      </c>
      <c r="I485" s="1607"/>
      <c r="J485" s="559"/>
      <c r="K485" s="1607" t="s">
        <v>802</v>
      </c>
      <c r="L485" s="1607"/>
      <c r="M485" s="560"/>
      <c r="N485" s="1607" t="s">
        <v>803</v>
      </c>
      <c r="O485" s="1607"/>
      <c r="P485" s="561"/>
      <c r="Q485" s="1571" t="s">
        <v>280</v>
      </c>
      <c r="R485" s="1571"/>
      <c r="S485" s="1605"/>
      <c r="T485" s="1605"/>
      <c r="U485" s="1606"/>
    </row>
    <row r="486" spans="1:24" ht="18" customHeight="1">
      <c r="A486" s="1574">
        <f t="shared" ref="A486" si="186">IF(X486=0,0,W486)</f>
        <v>0</v>
      </c>
      <c r="B486" s="1575"/>
      <c r="C486" s="1575"/>
      <c r="D486" s="1575"/>
      <c r="E486" s="1576"/>
      <c r="F486" s="1576"/>
      <c r="G486" s="1576"/>
      <c r="H486" s="1544"/>
      <c r="I486" s="1544"/>
      <c r="J486" s="1576"/>
      <c r="K486" s="1576"/>
      <c r="L486" s="1576"/>
      <c r="M486" s="1548"/>
      <c r="N486" s="1549"/>
      <c r="O486" s="1550"/>
      <c r="P486" s="1555"/>
      <c r="Q486" s="1577">
        <f ca="1">IF(X486=0,0,IF(AND(P486='Data Base'!J495,G489&gt;0.5),0,G489*(IF(EXACT(M489,"نفر اول"),INDIRECT(CONCATENATE("'Data Base'!$C",J489)),INDIRECT(CONCATENATE("'Data Base'!$D",J489))))*((100-P489)/100)))</f>
        <v>0</v>
      </c>
      <c r="R486" s="1581">
        <f ca="1">IF(X486=0,0,IF(AND(P486='Data Base'!J495,G490&gt;0.5),0,G490*(IF(EXACT(M490,"نفر اول"),INDIRECT(CONCATENATE("'Data Base'!$C",J490)),INDIRECT(CONCATENATE("'Data Base'!$D",J490))))*((100-P490)/100)))</f>
        <v>0</v>
      </c>
      <c r="S486" s="1584"/>
      <c r="T486" s="1576"/>
      <c r="U486" s="1600"/>
      <c r="W486" s="220">
        <f t="shared" ref="W486" si="187">SUM(W481,X486)</f>
        <v>0</v>
      </c>
      <c r="X486" s="220">
        <f>IF(OR(E486="",P486="",J486="",M486="",D488="",C488="",B488=""),0,1)</f>
        <v>0</v>
      </c>
    </row>
    <row r="487" spans="1:24" ht="18" customHeight="1">
      <c r="A487" s="1574"/>
      <c r="B487" s="553" t="s">
        <v>230</v>
      </c>
      <c r="C487" s="553" t="s">
        <v>231</v>
      </c>
      <c r="D487" s="553" t="s">
        <v>16</v>
      </c>
      <c r="E487" s="1541"/>
      <c r="F487" s="1541"/>
      <c r="G487" s="1541"/>
      <c r="H487" s="1538"/>
      <c r="I487" s="1538"/>
      <c r="J487" s="1541"/>
      <c r="K487" s="1541"/>
      <c r="L487" s="1541"/>
      <c r="M487" s="1548"/>
      <c r="N487" s="1549"/>
      <c r="O487" s="1550"/>
      <c r="P487" s="1555"/>
      <c r="Q487" s="1558"/>
      <c r="R487" s="1598"/>
      <c r="S487" s="1599"/>
      <c r="T487" s="1541"/>
      <c r="U487" s="1601"/>
    </row>
    <row r="488" spans="1:24" ht="18" customHeight="1">
      <c r="A488" s="1574"/>
      <c r="B488" s="562"/>
      <c r="C488" s="562"/>
      <c r="D488" s="562"/>
      <c r="E488" s="1542"/>
      <c r="F488" s="1542"/>
      <c r="G488" s="1542"/>
      <c r="H488" s="1539"/>
      <c r="I488" s="1539"/>
      <c r="J488" s="1542"/>
      <c r="K488" s="1542"/>
      <c r="L488" s="1542"/>
      <c r="M488" s="1548"/>
      <c r="N488" s="1549"/>
      <c r="O488" s="1550"/>
      <c r="P488" s="1555"/>
      <c r="Q488" s="1559"/>
      <c r="R488" s="1579"/>
      <c r="S488" s="1582"/>
      <c r="T488" s="1542"/>
      <c r="U488" s="1602"/>
    </row>
    <row r="489" spans="1:24" ht="20.25">
      <c r="A489" s="1588" t="s">
        <v>279</v>
      </c>
      <c r="B489" s="1589"/>
      <c r="C489" s="1589"/>
      <c r="D489" s="1589"/>
      <c r="E489" s="1591" t="s">
        <v>800</v>
      </c>
      <c r="F489" s="1591"/>
      <c r="G489" s="555"/>
      <c r="H489" s="1499" t="s">
        <v>801</v>
      </c>
      <c r="I489" s="1499"/>
      <c r="J489" s="518"/>
      <c r="K489" s="1499" t="s">
        <v>802</v>
      </c>
      <c r="L489" s="1499"/>
      <c r="M489" s="556"/>
      <c r="N489" s="1499" t="s">
        <v>803</v>
      </c>
      <c r="O489" s="1499"/>
      <c r="P489" s="557"/>
      <c r="Q489" s="1570" t="s">
        <v>280</v>
      </c>
      <c r="R489" s="1570"/>
      <c r="S489" s="1568"/>
      <c r="T489" s="1568"/>
      <c r="U489" s="1569"/>
    </row>
    <row r="490" spans="1:24" ht="20.25">
      <c r="A490" s="1592" t="s">
        <v>30</v>
      </c>
      <c r="B490" s="1593"/>
      <c r="C490" s="1593"/>
      <c r="D490" s="1608"/>
      <c r="E490" s="1603" t="s">
        <v>800</v>
      </c>
      <c r="F490" s="1604"/>
      <c r="G490" s="558"/>
      <c r="H490" s="1607" t="s">
        <v>801</v>
      </c>
      <c r="I490" s="1607"/>
      <c r="J490" s="559"/>
      <c r="K490" s="1607" t="s">
        <v>802</v>
      </c>
      <c r="L490" s="1607"/>
      <c r="M490" s="560"/>
      <c r="N490" s="1607" t="s">
        <v>803</v>
      </c>
      <c r="O490" s="1607"/>
      <c r="P490" s="561"/>
      <c r="Q490" s="1571" t="s">
        <v>280</v>
      </c>
      <c r="R490" s="1571"/>
      <c r="S490" s="1605"/>
      <c r="T490" s="1605"/>
      <c r="U490" s="1606"/>
    </row>
    <row r="491" spans="1:24" ht="18" customHeight="1">
      <c r="A491" s="1574">
        <f t="shared" ref="A491" si="188">IF(X491=0,0,W491)</f>
        <v>0</v>
      </c>
      <c r="B491" s="1575"/>
      <c r="C491" s="1575"/>
      <c r="D491" s="1575"/>
      <c r="E491" s="1576"/>
      <c r="F491" s="1576"/>
      <c r="G491" s="1576"/>
      <c r="H491" s="1544"/>
      <c r="I491" s="1544"/>
      <c r="J491" s="1576"/>
      <c r="K491" s="1576"/>
      <c r="L491" s="1576"/>
      <c r="M491" s="1548"/>
      <c r="N491" s="1549"/>
      <c r="O491" s="1550"/>
      <c r="P491" s="1555"/>
      <c r="Q491" s="1577">
        <f ca="1">IF(X491=0,0,IF(AND(P491='Data Base'!J500,G494&gt;0.5),0,G494*(IF(EXACT(M494,"نفر اول"),INDIRECT(CONCATENATE("'Data Base'!$C",J494)),INDIRECT(CONCATENATE("'Data Base'!$D",J494))))*((100-P494)/100)))</f>
        <v>0</v>
      </c>
      <c r="R491" s="1581">
        <f ca="1">IF(X491=0,0,IF(AND(P491='Data Base'!J500,G495&gt;0.5),0,G495*(IF(EXACT(M495,"نفر اول"),INDIRECT(CONCATENATE("'Data Base'!$C",J495)),INDIRECT(CONCATENATE("'Data Base'!$D",J495))))*((100-P495)/100)))</f>
        <v>0</v>
      </c>
      <c r="S491" s="1584"/>
      <c r="T491" s="1576"/>
      <c r="U491" s="1600"/>
      <c r="W491" s="220">
        <f t="shared" ref="W491" si="189">SUM(W486,X491)</f>
        <v>0</v>
      </c>
      <c r="X491" s="220">
        <f>IF(OR(E491="",P491="",J491="",M491="",D493="",C493="",B493=""),0,1)</f>
        <v>0</v>
      </c>
    </row>
    <row r="492" spans="1:24" ht="18" customHeight="1">
      <c r="A492" s="1574"/>
      <c r="B492" s="553" t="s">
        <v>230</v>
      </c>
      <c r="C492" s="553" t="s">
        <v>231</v>
      </c>
      <c r="D492" s="553" t="s">
        <v>16</v>
      </c>
      <c r="E492" s="1541"/>
      <c r="F492" s="1541"/>
      <c r="G492" s="1541"/>
      <c r="H492" s="1538"/>
      <c r="I492" s="1538"/>
      <c r="J492" s="1541"/>
      <c r="K492" s="1541"/>
      <c r="L492" s="1541"/>
      <c r="M492" s="1548"/>
      <c r="N492" s="1549"/>
      <c r="O492" s="1550"/>
      <c r="P492" s="1555"/>
      <c r="Q492" s="1558"/>
      <c r="R492" s="1598"/>
      <c r="S492" s="1599"/>
      <c r="T492" s="1541"/>
      <c r="U492" s="1601"/>
    </row>
    <row r="493" spans="1:24" ht="18" customHeight="1">
      <c r="A493" s="1574"/>
      <c r="B493" s="562"/>
      <c r="C493" s="562"/>
      <c r="D493" s="562"/>
      <c r="E493" s="1542"/>
      <c r="F493" s="1542"/>
      <c r="G493" s="1542"/>
      <c r="H493" s="1539"/>
      <c r="I493" s="1539"/>
      <c r="J493" s="1542"/>
      <c r="K493" s="1542"/>
      <c r="L493" s="1542"/>
      <c r="M493" s="1548"/>
      <c r="N493" s="1549"/>
      <c r="O493" s="1550"/>
      <c r="P493" s="1555"/>
      <c r="Q493" s="1559"/>
      <c r="R493" s="1579"/>
      <c r="S493" s="1582"/>
      <c r="T493" s="1542"/>
      <c r="U493" s="1602"/>
    </row>
    <row r="494" spans="1:24" ht="20.25">
      <c r="A494" s="1588" t="s">
        <v>279</v>
      </c>
      <c r="B494" s="1589"/>
      <c r="C494" s="1589"/>
      <c r="D494" s="1589"/>
      <c r="E494" s="1591" t="s">
        <v>800</v>
      </c>
      <c r="F494" s="1591"/>
      <c r="G494" s="555"/>
      <c r="H494" s="1499" t="s">
        <v>801</v>
      </c>
      <c r="I494" s="1499"/>
      <c r="J494" s="518"/>
      <c r="K494" s="1499" t="s">
        <v>802</v>
      </c>
      <c r="L494" s="1499"/>
      <c r="M494" s="556"/>
      <c r="N494" s="1499" t="s">
        <v>803</v>
      </c>
      <c r="O494" s="1499"/>
      <c r="P494" s="557"/>
      <c r="Q494" s="1570" t="s">
        <v>280</v>
      </c>
      <c r="R494" s="1570"/>
      <c r="S494" s="1568"/>
      <c r="T494" s="1568"/>
      <c r="U494" s="1569"/>
    </row>
    <row r="495" spans="1:24" ht="20.25">
      <c r="A495" s="1592" t="s">
        <v>30</v>
      </c>
      <c r="B495" s="1593"/>
      <c r="C495" s="1593"/>
      <c r="D495" s="1608"/>
      <c r="E495" s="1603" t="s">
        <v>800</v>
      </c>
      <c r="F495" s="1604"/>
      <c r="G495" s="558"/>
      <c r="H495" s="1607" t="s">
        <v>801</v>
      </c>
      <c r="I495" s="1607"/>
      <c r="J495" s="559"/>
      <c r="K495" s="1607" t="s">
        <v>802</v>
      </c>
      <c r="L495" s="1607"/>
      <c r="M495" s="560"/>
      <c r="N495" s="1607" t="s">
        <v>803</v>
      </c>
      <c r="O495" s="1607"/>
      <c r="P495" s="561"/>
      <c r="Q495" s="1571" t="s">
        <v>280</v>
      </c>
      <c r="R495" s="1571"/>
      <c r="S495" s="1605"/>
      <c r="T495" s="1605"/>
      <c r="U495" s="1606"/>
    </row>
    <row r="496" spans="1:24" ht="18" customHeight="1">
      <c r="A496" s="1574">
        <f t="shared" ref="A496" si="190">IF(X496=0,0,W496)</f>
        <v>0</v>
      </c>
      <c r="B496" s="1575"/>
      <c r="C496" s="1575"/>
      <c r="D496" s="1575"/>
      <c r="E496" s="1576"/>
      <c r="F496" s="1576"/>
      <c r="G496" s="1576"/>
      <c r="H496" s="1544"/>
      <c r="I496" s="1544"/>
      <c r="J496" s="1576"/>
      <c r="K496" s="1576"/>
      <c r="L496" s="1576"/>
      <c r="M496" s="1548"/>
      <c r="N496" s="1549"/>
      <c r="O496" s="1550"/>
      <c r="P496" s="1555"/>
      <c r="Q496" s="1577">
        <f ca="1">IF(X496=0,0,IF(AND(P496='Data Base'!J505,G499&gt;0.5),0,G499*(IF(EXACT(M499,"نفر اول"),INDIRECT(CONCATENATE("'Data Base'!$C",J499)),INDIRECT(CONCATENATE("'Data Base'!$D",J499))))*((100-P499)/100)))</f>
        <v>0</v>
      </c>
      <c r="R496" s="1581">
        <f ca="1">IF(X496=0,0,IF(AND(P496='Data Base'!J505,G500&gt;0.5),0,G500*(IF(EXACT(M500,"نفر اول"),INDIRECT(CONCATENATE("'Data Base'!$C",J500)),INDIRECT(CONCATENATE("'Data Base'!$D",J500))))*((100-P500)/100)))</f>
        <v>0</v>
      </c>
      <c r="S496" s="1584"/>
      <c r="T496" s="1576"/>
      <c r="U496" s="1600"/>
      <c r="W496" s="220">
        <f t="shared" ref="W496" si="191">SUM(W491,X496)</f>
        <v>0</v>
      </c>
      <c r="X496" s="220">
        <f>IF(OR(E496="",P496="",J496="",M496="",D498="",C498="",B498=""),0,1)</f>
        <v>0</v>
      </c>
    </row>
    <row r="497" spans="1:24" ht="18" customHeight="1">
      <c r="A497" s="1574"/>
      <c r="B497" s="553" t="s">
        <v>230</v>
      </c>
      <c r="C497" s="553" t="s">
        <v>231</v>
      </c>
      <c r="D497" s="553" t="s">
        <v>16</v>
      </c>
      <c r="E497" s="1541"/>
      <c r="F497" s="1541"/>
      <c r="G497" s="1541"/>
      <c r="H497" s="1538"/>
      <c r="I497" s="1538"/>
      <c r="J497" s="1541"/>
      <c r="K497" s="1541"/>
      <c r="L497" s="1541"/>
      <c r="M497" s="1548"/>
      <c r="N497" s="1549"/>
      <c r="O497" s="1550"/>
      <c r="P497" s="1555"/>
      <c r="Q497" s="1558"/>
      <c r="R497" s="1598"/>
      <c r="S497" s="1599"/>
      <c r="T497" s="1541"/>
      <c r="U497" s="1601"/>
    </row>
    <row r="498" spans="1:24" ht="18" customHeight="1">
      <c r="A498" s="1574"/>
      <c r="B498" s="562"/>
      <c r="C498" s="562"/>
      <c r="D498" s="562"/>
      <c r="E498" s="1542"/>
      <c r="F498" s="1542"/>
      <c r="G498" s="1542"/>
      <c r="H498" s="1539"/>
      <c r="I498" s="1539"/>
      <c r="J498" s="1542"/>
      <c r="K498" s="1542"/>
      <c r="L498" s="1542"/>
      <c r="M498" s="1548"/>
      <c r="N498" s="1549"/>
      <c r="O498" s="1550"/>
      <c r="P498" s="1555"/>
      <c r="Q498" s="1559"/>
      <c r="R498" s="1579"/>
      <c r="S498" s="1582"/>
      <c r="T498" s="1542"/>
      <c r="U498" s="1602"/>
    </row>
    <row r="499" spans="1:24" ht="20.25">
      <c r="A499" s="1588" t="s">
        <v>279</v>
      </c>
      <c r="B499" s="1589"/>
      <c r="C499" s="1589"/>
      <c r="D499" s="1589"/>
      <c r="E499" s="1591" t="s">
        <v>800</v>
      </c>
      <c r="F499" s="1591"/>
      <c r="G499" s="555"/>
      <c r="H499" s="1499" t="s">
        <v>801</v>
      </c>
      <c r="I499" s="1499"/>
      <c r="J499" s="518"/>
      <c r="K499" s="1499" t="s">
        <v>802</v>
      </c>
      <c r="L499" s="1499"/>
      <c r="M499" s="556"/>
      <c r="N499" s="1499" t="s">
        <v>803</v>
      </c>
      <c r="O499" s="1499"/>
      <c r="P499" s="557"/>
      <c r="Q499" s="1570" t="s">
        <v>280</v>
      </c>
      <c r="R499" s="1570"/>
      <c r="S499" s="1568"/>
      <c r="T499" s="1568"/>
      <c r="U499" s="1569"/>
    </row>
    <row r="500" spans="1:24" ht="20.25">
      <c r="A500" s="1592" t="s">
        <v>30</v>
      </c>
      <c r="B500" s="1593"/>
      <c r="C500" s="1593"/>
      <c r="D500" s="1608"/>
      <c r="E500" s="1603" t="s">
        <v>800</v>
      </c>
      <c r="F500" s="1604"/>
      <c r="G500" s="558"/>
      <c r="H500" s="1607" t="s">
        <v>801</v>
      </c>
      <c r="I500" s="1607"/>
      <c r="J500" s="559"/>
      <c r="K500" s="1607" t="s">
        <v>802</v>
      </c>
      <c r="L500" s="1607"/>
      <c r="M500" s="560"/>
      <c r="N500" s="1607" t="s">
        <v>803</v>
      </c>
      <c r="O500" s="1607"/>
      <c r="P500" s="561"/>
      <c r="Q500" s="1571" t="s">
        <v>280</v>
      </c>
      <c r="R500" s="1571"/>
      <c r="S500" s="1605"/>
      <c r="T500" s="1605"/>
      <c r="U500" s="1606"/>
    </row>
    <row r="501" spans="1:24" ht="18" customHeight="1">
      <c r="A501" s="1574">
        <f t="shared" ref="A501" si="192">IF(X501=0,0,W501)</f>
        <v>0</v>
      </c>
      <c r="B501" s="1575"/>
      <c r="C501" s="1575"/>
      <c r="D501" s="1575"/>
      <c r="E501" s="1576"/>
      <c r="F501" s="1576"/>
      <c r="G501" s="1576"/>
      <c r="H501" s="1544"/>
      <c r="I501" s="1544"/>
      <c r="J501" s="1576"/>
      <c r="K501" s="1576"/>
      <c r="L501" s="1576"/>
      <c r="M501" s="1548"/>
      <c r="N501" s="1549"/>
      <c r="O501" s="1550"/>
      <c r="P501" s="1555"/>
      <c r="Q501" s="1577">
        <f ca="1">IF(X501=0,0,IF(AND(P501='Data Base'!J510,G504&gt;0.5),0,G504*(IF(EXACT(M504,"نفر اول"),INDIRECT(CONCATENATE("'Data Base'!$C",J504)),INDIRECT(CONCATENATE("'Data Base'!$D",J504))))*((100-P504)/100)))</f>
        <v>0</v>
      </c>
      <c r="R501" s="1581">
        <f ca="1">IF(X501=0,0,IF(AND(P501='Data Base'!J510,G505&gt;0.5),0,G505*(IF(EXACT(M505,"نفر اول"),INDIRECT(CONCATENATE("'Data Base'!$C",J505)),INDIRECT(CONCATENATE("'Data Base'!$D",J505))))*((100-P505)/100)))</f>
        <v>0</v>
      </c>
      <c r="S501" s="1584"/>
      <c r="T501" s="1576"/>
      <c r="U501" s="1600"/>
      <c r="W501" s="220">
        <f t="shared" ref="W501" si="193">SUM(W496,X501)</f>
        <v>0</v>
      </c>
      <c r="X501" s="220">
        <f>IF(OR(E501="",P501="",J501="",M501="",D503="",C503="",B503=""),0,1)</f>
        <v>0</v>
      </c>
    </row>
    <row r="502" spans="1:24" ht="18" customHeight="1">
      <c r="A502" s="1574"/>
      <c r="B502" s="553" t="s">
        <v>230</v>
      </c>
      <c r="C502" s="553" t="s">
        <v>231</v>
      </c>
      <c r="D502" s="553" t="s">
        <v>16</v>
      </c>
      <c r="E502" s="1541"/>
      <c r="F502" s="1541"/>
      <c r="G502" s="1541"/>
      <c r="H502" s="1538"/>
      <c r="I502" s="1538"/>
      <c r="J502" s="1541"/>
      <c r="K502" s="1541"/>
      <c r="L502" s="1541"/>
      <c r="M502" s="1548"/>
      <c r="N502" s="1549"/>
      <c r="O502" s="1550"/>
      <c r="P502" s="1555"/>
      <c r="Q502" s="1558"/>
      <c r="R502" s="1598"/>
      <c r="S502" s="1599"/>
      <c r="T502" s="1541"/>
      <c r="U502" s="1601"/>
    </row>
    <row r="503" spans="1:24" ht="18" customHeight="1">
      <c r="A503" s="1574"/>
      <c r="B503" s="562"/>
      <c r="C503" s="562"/>
      <c r="D503" s="562"/>
      <c r="E503" s="1542"/>
      <c r="F503" s="1542"/>
      <c r="G503" s="1542"/>
      <c r="H503" s="1539"/>
      <c r="I503" s="1539"/>
      <c r="J503" s="1542"/>
      <c r="K503" s="1542"/>
      <c r="L503" s="1542"/>
      <c r="M503" s="1548"/>
      <c r="N503" s="1549"/>
      <c r="O503" s="1550"/>
      <c r="P503" s="1555"/>
      <c r="Q503" s="1559"/>
      <c r="R503" s="1579"/>
      <c r="S503" s="1582"/>
      <c r="T503" s="1542"/>
      <c r="U503" s="1602"/>
    </row>
    <row r="504" spans="1:24" ht="20.25">
      <c r="A504" s="1588" t="s">
        <v>279</v>
      </c>
      <c r="B504" s="1589"/>
      <c r="C504" s="1589"/>
      <c r="D504" s="1589"/>
      <c r="E504" s="1591" t="s">
        <v>800</v>
      </c>
      <c r="F504" s="1591"/>
      <c r="G504" s="555"/>
      <c r="H504" s="1499" t="s">
        <v>801</v>
      </c>
      <c r="I504" s="1499"/>
      <c r="J504" s="518"/>
      <c r="K504" s="1499" t="s">
        <v>802</v>
      </c>
      <c r="L504" s="1499"/>
      <c r="M504" s="556"/>
      <c r="N504" s="1499" t="s">
        <v>803</v>
      </c>
      <c r="O504" s="1499"/>
      <c r="P504" s="557"/>
      <c r="Q504" s="1570" t="s">
        <v>280</v>
      </c>
      <c r="R504" s="1570"/>
      <c r="S504" s="1568"/>
      <c r="T504" s="1568"/>
      <c r="U504" s="1569"/>
    </row>
    <row r="505" spans="1:24" ht="21" thickBot="1">
      <c r="A505" s="1592" t="s">
        <v>30</v>
      </c>
      <c r="B505" s="1593"/>
      <c r="C505" s="1593"/>
      <c r="D505" s="1608"/>
      <c r="E505" s="1603" t="s">
        <v>800</v>
      </c>
      <c r="F505" s="1604"/>
      <c r="G505" s="558"/>
      <c r="H505" s="1607" t="s">
        <v>801</v>
      </c>
      <c r="I505" s="1607"/>
      <c r="J505" s="559"/>
      <c r="K505" s="1607" t="s">
        <v>802</v>
      </c>
      <c r="L505" s="1607"/>
      <c r="M505" s="560"/>
      <c r="N505" s="1607" t="s">
        <v>803</v>
      </c>
      <c r="O505" s="1607"/>
      <c r="P505" s="561"/>
      <c r="Q505" s="1571" t="s">
        <v>280</v>
      </c>
      <c r="R505" s="1571"/>
      <c r="S505" s="1605"/>
      <c r="T505" s="1605"/>
      <c r="U505" s="1606"/>
    </row>
    <row r="506" spans="1:24" ht="33.75" customHeight="1">
      <c r="A506" s="1617" t="s">
        <v>260</v>
      </c>
      <c r="B506" s="1618"/>
      <c r="C506" s="1618"/>
      <c r="D506" s="1618"/>
      <c r="E506" s="1618"/>
      <c r="F506" s="1618"/>
      <c r="G506" s="1618"/>
      <c r="H506" s="1618"/>
      <c r="I506" s="1618"/>
      <c r="J506" s="226">
        <f>SUMIF((P6:P501),('Data Base'!I16),(Q6:Q501))</f>
        <v>0</v>
      </c>
      <c r="K506" s="1613" t="s">
        <v>964</v>
      </c>
      <c r="L506" s="1613"/>
      <c r="M506" s="1613"/>
      <c r="N506" s="1613"/>
      <c r="O506" s="1613"/>
      <c r="P506" s="1614"/>
      <c r="Q506" s="472">
        <f>IF(J506&gt;12,12,J506)</f>
        <v>0</v>
      </c>
      <c r="R506" s="471">
        <f>IF(SUMIF((P6:P501),('Data Base'!I16),(R6:R501))&gt;12,12,SUMIF((P6:P501),('Data Base'!I16),(R6:R501)))</f>
        <v>0</v>
      </c>
      <c r="S506" s="236"/>
      <c r="T506" s="1609"/>
      <c r="U506" s="1610"/>
    </row>
    <row r="507" spans="1:24" ht="33.75" customHeight="1" thickBot="1">
      <c r="A507" s="1619" t="s">
        <v>261</v>
      </c>
      <c r="B507" s="1620"/>
      <c r="C507" s="1620"/>
      <c r="D507" s="1620"/>
      <c r="E507" s="1620"/>
      <c r="F507" s="1620"/>
      <c r="G507" s="1620"/>
      <c r="H507" s="1620"/>
      <c r="I507" s="1620"/>
      <c r="J507" s="227">
        <f>SUMIF((P6:P501),('Data Base'!J16),(Q6:Q501))</f>
        <v>0</v>
      </c>
      <c r="K507" s="1615" t="s">
        <v>965</v>
      </c>
      <c r="L507" s="1615"/>
      <c r="M507" s="1615"/>
      <c r="N507" s="1615"/>
      <c r="O507" s="1615"/>
      <c r="P507" s="1616"/>
      <c r="Q507" s="228">
        <f>IF(J507&gt;5,5,J507)</f>
        <v>0</v>
      </c>
      <c r="R507" s="229">
        <f>IF(SUMIF((P6:P501),('Data Base'!J16),(R6:R501))&gt;5,5,SUMIF((P6:P501),('Data Base'!J16),(R6:R501)))</f>
        <v>0</v>
      </c>
      <c r="S507" s="473"/>
      <c r="T507" s="1611"/>
      <c r="U507" s="1612"/>
    </row>
    <row r="508" spans="1:24" ht="30.75" customHeight="1">
      <c r="A508" s="1507" t="s">
        <v>31</v>
      </c>
      <c r="B508" s="1508"/>
      <c r="C508" s="1508"/>
      <c r="D508" s="1508"/>
      <c r="E508" s="1508"/>
      <c r="F508" s="1508"/>
      <c r="G508" s="1508"/>
      <c r="H508" s="1430" t="s">
        <v>32</v>
      </c>
      <c r="I508" s="1430"/>
      <c r="J508" s="1430"/>
      <c r="K508" s="1431">
        <f>Q2</f>
        <v>0</v>
      </c>
      <c r="L508" s="1432"/>
      <c r="M508" s="1432"/>
      <c r="N508" s="1430" t="s">
        <v>33</v>
      </c>
      <c r="O508" s="1430"/>
      <c r="P508" s="1430"/>
      <c r="Q508" s="1432">
        <f>C2</f>
        <v>0</v>
      </c>
      <c r="R508" s="1432"/>
      <c r="S508" s="1432"/>
      <c r="T508" s="1432"/>
      <c r="U508" s="1506"/>
    </row>
    <row r="509" spans="1:24" ht="30.75" customHeight="1" thickBot="1">
      <c r="A509" s="1437">
        <f>'فرم الف'!A27</f>
        <v>0</v>
      </c>
      <c r="B509" s="1425"/>
      <c r="C509" s="1425"/>
      <c r="D509" s="1425"/>
      <c r="E509" s="1425"/>
      <c r="F509" s="1425"/>
      <c r="G509" s="1425"/>
      <c r="H509" s="1425">
        <f>'فرم الف'!E27</f>
        <v>0</v>
      </c>
      <c r="I509" s="1425"/>
      <c r="J509" s="1425"/>
      <c r="K509" s="1425"/>
      <c r="L509" s="1425"/>
      <c r="M509" s="1425"/>
      <c r="N509" s="1425" t="str">
        <f>'فرم الف'!J27</f>
        <v/>
      </c>
      <c r="O509" s="1425"/>
      <c r="P509" s="1425"/>
      <c r="Q509" s="1425"/>
      <c r="R509" s="1425"/>
      <c r="S509" s="1425"/>
      <c r="T509" s="1425"/>
      <c r="U509" s="1426"/>
    </row>
    <row r="510" spans="1:24">
      <c r="A510" s="230"/>
      <c r="B510" s="230"/>
      <c r="C510" s="230"/>
      <c r="D510" s="230"/>
      <c r="E510" s="230"/>
      <c r="F510" s="230"/>
      <c r="G510" s="230"/>
      <c r="H510" s="230"/>
      <c r="I510" s="230"/>
      <c r="J510" s="230"/>
      <c r="K510" s="230"/>
      <c r="L510" s="230"/>
      <c r="M510" s="230"/>
      <c r="N510" s="230"/>
      <c r="O510" s="230"/>
      <c r="P510" s="230"/>
      <c r="Q510" s="230"/>
      <c r="R510" s="230"/>
      <c r="S510" s="230"/>
      <c r="T510" s="230"/>
    </row>
    <row r="511" spans="1:24">
      <c r="A511" s="209"/>
      <c r="B511" s="209"/>
      <c r="C511" s="209"/>
      <c r="D511" s="209"/>
      <c r="E511" s="209"/>
      <c r="F511" s="209"/>
      <c r="G511" s="209"/>
      <c r="H511" s="209"/>
      <c r="P511" s="209"/>
      <c r="Q511" s="209"/>
      <c r="R511" s="209"/>
      <c r="S511" s="209"/>
    </row>
    <row r="512" spans="1:24">
      <c r="A512" s="209"/>
      <c r="B512" s="209"/>
      <c r="C512" s="209"/>
      <c r="D512" s="209"/>
      <c r="E512" s="209"/>
      <c r="F512" s="209"/>
      <c r="G512" s="209"/>
      <c r="H512" s="209"/>
      <c r="P512" s="209"/>
      <c r="Q512" s="209"/>
      <c r="R512" s="209"/>
      <c r="S512" s="209"/>
      <c r="T512" s="231"/>
    </row>
    <row r="513" spans="1:20">
      <c r="A513" s="231"/>
      <c r="H513" s="232"/>
      <c r="I513" s="231"/>
      <c r="J513" s="231"/>
      <c r="K513" s="231"/>
      <c r="L513" s="231"/>
      <c r="T513" s="231"/>
    </row>
    <row r="514" spans="1:20">
      <c r="A514" s="233"/>
      <c r="B514" s="234"/>
      <c r="C514" s="234"/>
      <c r="D514" s="234"/>
      <c r="E514" s="234"/>
      <c r="H514" s="232"/>
      <c r="I514" s="231"/>
      <c r="J514" s="231"/>
      <c r="K514" s="231"/>
      <c r="L514" s="231"/>
      <c r="M514" s="231"/>
      <c r="N514" s="231"/>
      <c r="O514" s="231"/>
      <c r="P514" s="231"/>
      <c r="Q514" s="231"/>
      <c r="R514" s="231"/>
      <c r="S514" s="231"/>
      <c r="T514" s="234"/>
    </row>
    <row r="515" spans="1:20">
      <c r="A515" s="233"/>
      <c r="B515" s="234"/>
      <c r="C515" s="234"/>
      <c r="D515" s="234"/>
      <c r="E515" s="234"/>
      <c r="H515" s="231"/>
      <c r="I515" s="231"/>
      <c r="J515" s="231"/>
      <c r="K515" s="231"/>
      <c r="L515" s="231"/>
      <c r="M515" s="231"/>
      <c r="N515" s="231"/>
      <c r="O515" s="231"/>
      <c r="P515" s="231"/>
      <c r="Q515" s="231"/>
      <c r="R515" s="231"/>
      <c r="S515" s="231"/>
    </row>
    <row r="516" spans="1:20">
      <c r="A516" s="235"/>
      <c r="B516" s="235"/>
      <c r="C516" s="235"/>
      <c r="D516" s="235"/>
      <c r="E516" s="235"/>
      <c r="F516" s="235"/>
      <c r="G516" s="234"/>
      <c r="H516" s="234"/>
      <c r="I516" s="234"/>
      <c r="J516" s="234"/>
      <c r="K516" s="234"/>
      <c r="L516" s="234"/>
      <c r="M516" s="234"/>
      <c r="N516" s="234"/>
      <c r="O516" s="234"/>
      <c r="P516" s="234"/>
      <c r="Q516" s="234"/>
      <c r="R516" s="234"/>
      <c r="S516" s="234"/>
    </row>
  </sheetData>
  <sheetProtection algorithmName="SHA-512" hashValue="P9d3tZ3j2kobzOMIKsMLTR4RjrNrj0T40u8o+4ngiCH2DPEtWl0ddxKUyLDV79aVIGg0mkWOVnNoEeBr0n8mzQ==" saltValue="6BHQ0m9MdWtAmZB4soe84A==" spinCount="100000" sheet="1" objects="1" scenarios="1" formatCells="0" formatRows="0" selectLockedCells="1"/>
  <mergeCells count="2634">
    <mergeCell ref="S3:U3"/>
    <mergeCell ref="A3:R3"/>
    <mergeCell ref="P6:P8"/>
    <mergeCell ref="M4:O5"/>
    <mergeCell ref="P4:P5"/>
    <mergeCell ref="M6:O8"/>
    <mergeCell ref="E4:G5"/>
    <mergeCell ref="E6:G8"/>
    <mergeCell ref="H9:I9"/>
    <mergeCell ref="H10:I10"/>
    <mergeCell ref="N9:O9"/>
    <mergeCell ref="N10:O10"/>
    <mergeCell ref="K9:L9"/>
    <mergeCell ref="K10:L10"/>
    <mergeCell ref="A1:B2"/>
    <mergeCell ref="C1:G1"/>
    <mergeCell ref="H1:L1"/>
    <mergeCell ref="M1:P1"/>
    <mergeCell ref="Q1:U1"/>
    <mergeCell ref="C2:G2"/>
    <mergeCell ref="H2:L2"/>
    <mergeCell ref="M2:P2"/>
    <mergeCell ref="Q2:U2"/>
    <mergeCell ref="E10:F10"/>
    <mergeCell ref="S10:U10"/>
    <mergeCell ref="R6:R8"/>
    <mergeCell ref="S6:S8"/>
    <mergeCell ref="T6:U8"/>
    <mergeCell ref="A9:D9"/>
    <mergeCell ref="E9:F9"/>
    <mergeCell ref="A10:D10"/>
    <mergeCell ref="A6:A8"/>
    <mergeCell ref="A508:G508"/>
    <mergeCell ref="H508:J508"/>
    <mergeCell ref="K508:M508"/>
    <mergeCell ref="A509:G509"/>
    <mergeCell ref="H509:M509"/>
    <mergeCell ref="T506:U506"/>
    <mergeCell ref="T507:U507"/>
    <mergeCell ref="A504:D504"/>
    <mergeCell ref="E504:F504"/>
    <mergeCell ref="S504:U504"/>
    <mergeCell ref="A505:D505"/>
    <mergeCell ref="E505:F505"/>
    <mergeCell ref="S505:U505"/>
    <mergeCell ref="H504:I504"/>
    <mergeCell ref="K504:L504"/>
    <mergeCell ref="N504:O504"/>
    <mergeCell ref="H505:I505"/>
    <mergeCell ref="K505:L505"/>
    <mergeCell ref="N505:O505"/>
    <mergeCell ref="N508:P508"/>
    <mergeCell ref="Q508:U508"/>
    <mergeCell ref="N509:U509"/>
    <mergeCell ref="K506:P506"/>
    <mergeCell ref="K507:P507"/>
    <mergeCell ref="A506:I506"/>
    <mergeCell ref="A507:I507"/>
    <mergeCell ref="Q504:R504"/>
    <mergeCell ref="Q505:R505"/>
    <mergeCell ref="B501:D501"/>
    <mergeCell ref="H501:H503"/>
    <mergeCell ref="I501:I503"/>
    <mergeCell ref="J501:L503"/>
    <mergeCell ref="A499:D499"/>
    <mergeCell ref="E499:F499"/>
    <mergeCell ref="S499:U499"/>
    <mergeCell ref="A500:D500"/>
    <mergeCell ref="E500:F500"/>
    <mergeCell ref="S500:U500"/>
    <mergeCell ref="H499:I499"/>
    <mergeCell ref="K499:L499"/>
    <mergeCell ref="N499:O499"/>
    <mergeCell ref="H500:I500"/>
    <mergeCell ref="K500:L500"/>
    <mergeCell ref="N500:O500"/>
    <mergeCell ref="E501:G503"/>
    <mergeCell ref="M501:O503"/>
    <mergeCell ref="P501:P503"/>
    <mergeCell ref="Q501:Q503"/>
    <mergeCell ref="R501:R503"/>
    <mergeCell ref="S501:S503"/>
    <mergeCell ref="T501:U503"/>
    <mergeCell ref="A501:A503"/>
    <mergeCell ref="Q499:R499"/>
    <mergeCell ref="Q500:R500"/>
    <mergeCell ref="Q496:Q498"/>
    <mergeCell ref="R496:R498"/>
    <mergeCell ref="S496:S498"/>
    <mergeCell ref="T496:U498"/>
    <mergeCell ref="A496:A498"/>
    <mergeCell ref="B496:D496"/>
    <mergeCell ref="H496:H498"/>
    <mergeCell ref="I496:I498"/>
    <mergeCell ref="J496:L498"/>
    <mergeCell ref="A494:D494"/>
    <mergeCell ref="E494:F494"/>
    <mergeCell ref="S494:U494"/>
    <mergeCell ref="A495:D495"/>
    <mergeCell ref="E495:F495"/>
    <mergeCell ref="S495:U495"/>
    <mergeCell ref="H494:I494"/>
    <mergeCell ref="K494:L494"/>
    <mergeCell ref="N494:O494"/>
    <mergeCell ref="H495:I495"/>
    <mergeCell ref="K495:L495"/>
    <mergeCell ref="N495:O495"/>
    <mergeCell ref="E496:G498"/>
    <mergeCell ref="M496:O498"/>
    <mergeCell ref="P496:P498"/>
    <mergeCell ref="Q494:R494"/>
    <mergeCell ref="Q495:R495"/>
    <mergeCell ref="Q491:Q493"/>
    <mergeCell ref="R491:R493"/>
    <mergeCell ref="S491:S493"/>
    <mergeCell ref="T491:U493"/>
    <mergeCell ref="A491:A493"/>
    <mergeCell ref="B491:D491"/>
    <mergeCell ref="H491:H493"/>
    <mergeCell ref="I491:I493"/>
    <mergeCell ref="J491:L493"/>
    <mergeCell ref="A489:D489"/>
    <mergeCell ref="E489:F489"/>
    <mergeCell ref="S489:U489"/>
    <mergeCell ref="A490:D490"/>
    <mergeCell ref="E490:F490"/>
    <mergeCell ref="S490:U490"/>
    <mergeCell ref="H489:I489"/>
    <mergeCell ref="K489:L489"/>
    <mergeCell ref="N489:O489"/>
    <mergeCell ref="H490:I490"/>
    <mergeCell ref="K490:L490"/>
    <mergeCell ref="N490:O490"/>
    <mergeCell ref="E491:G493"/>
    <mergeCell ref="M491:O493"/>
    <mergeCell ref="P491:P493"/>
    <mergeCell ref="Q489:R489"/>
    <mergeCell ref="Q490:R490"/>
    <mergeCell ref="Q486:Q488"/>
    <mergeCell ref="R486:R488"/>
    <mergeCell ref="S486:S488"/>
    <mergeCell ref="T486:U488"/>
    <mergeCell ref="A486:A488"/>
    <mergeCell ref="B486:D486"/>
    <mergeCell ref="H486:H488"/>
    <mergeCell ref="I486:I488"/>
    <mergeCell ref="J486:L488"/>
    <mergeCell ref="A484:D484"/>
    <mergeCell ref="E484:F484"/>
    <mergeCell ref="S484:U484"/>
    <mergeCell ref="A485:D485"/>
    <mergeCell ref="E485:F485"/>
    <mergeCell ref="S485:U485"/>
    <mergeCell ref="H484:I484"/>
    <mergeCell ref="K484:L484"/>
    <mergeCell ref="N484:O484"/>
    <mergeCell ref="H485:I485"/>
    <mergeCell ref="K485:L485"/>
    <mergeCell ref="N485:O485"/>
    <mergeCell ref="E486:G488"/>
    <mergeCell ref="M486:O488"/>
    <mergeCell ref="P486:P488"/>
    <mergeCell ref="Q484:R484"/>
    <mergeCell ref="Q485:R485"/>
    <mergeCell ref="Q481:Q483"/>
    <mergeCell ref="R481:R483"/>
    <mergeCell ref="S481:S483"/>
    <mergeCell ref="T481:U483"/>
    <mergeCell ref="A481:A483"/>
    <mergeCell ref="B481:D481"/>
    <mergeCell ref="H481:H483"/>
    <mergeCell ref="I481:I483"/>
    <mergeCell ref="J481:L483"/>
    <mergeCell ref="A479:D479"/>
    <mergeCell ref="E479:F479"/>
    <mergeCell ref="S479:U479"/>
    <mergeCell ref="A480:D480"/>
    <mergeCell ref="E480:F480"/>
    <mergeCell ref="S480:U480"/>
    <mergeCell ref="H479:I479"/>
    <mergeCell ref="K479:L479"/>
    <mergeCell ref="N479:O479"/>
    <mergeCell ref="H480:I480"/>
    <mergeCell ref="K480:L480"/>
    <mergeCell ref="N480:O480"/>
    <mergeCell ref="E481:G483"/>
    <mergeCell ref="M481:O483"/>
    <mergeCell ref="P481:P483"/>
    <mergeCell ref="Q479:R479"/>
    <mergeCell ref="Q480:R480"/>
    <mergeCell ref="Q476:Q478"/>
    <mergeCell ref="R476:R478"/>
    <mergeCell ref="S476:S478"/>
    <mergeCell ref="T476:U478"/>
    <mergeCell ref="A476:A478"/>
    <mergeCell ref="B476:D476"/>
    <mergeCell ref="H476:H478"/>
    <mergeCell ref="I476:I478"/>
    <mergeCell ref="J476:L478"/>
    <mergeCell ref="A474:D474"/>
    <mergeCell ref="E474:F474"/>
    <mergeCell ref="S474:U474"/>
    <mergeCell ref="A475:D475"/>
    <mergeCell ref="E475:F475"/>
    <mergeCell ref="S475:U475"/>
    <mergeCell ref="H474:I474"/>
    <mergeCell ref="K474:L474"/>
    <mergeCell ref="N474:O474"/>
    <mergeCell ref="H475:I475"/>
    <mergeCell ref="K475:L475"/>
    <mergeCell ref="N475:O475"/>
    <mergeCell ref="E476:G478"/>
    <mergeCell ref="M476:O478"/>
    <mergeCell ref="P476:P478"/>
    <mergeCell ref="Q474:R474"/>
    <mergeCell ref="Q475:R475"/>
    <mergeCell ref="Q471:Q473"/>
    <mergeCell ref="R471:R473"/>
    <mergeCell ref="S471:S473"/>
    <mergeCell ref="T471:U473"/>
    <mergeCell ref="A471:A473"/>
    <mergeCell ref="B471:D471"/>
    <mergeCell ref="H471:H473"/>
    <mergeCell ref="I471:I473"/>
    <mergeCell ref="J471:L473"/>
    <mergeCell ref="A469:D469"/>
    <mergeCell ref="E469:F469"/>
    <mergeCell ref="S469:U469"/>
    <mergeCell ref="A470:D470"/>
    <mergeCell ref="E470:F470"/>
    <mergeCell ref="S470:U470"/>
    <mergeCell ref="H469:I469"/>
    <mergeCell ref="K469:L469"/>
    <mergeCell ref="N469:O469"/>
    <mergeCell ref="H470:I470"/>
    <mergeCell ref="K470:L470"/>
    <mergeCell ref="N470:O470"/>
    <mergeCell ref="E471:G473"/>
    <mergeCell ref="M471:O473"/>
    <mergeCell ref="P471:P473"/>
    <mergeCell ref="Q469:R469"/>
    <mergeCell ref="Q470:R470"/>
    <mergeCell ref="Q466:Q468"/>
    <mergeCell ref="R466:R468"/>
    <mergeCell ref="S466:S468"/>
    <mergeCell ref="T466:U468"/>
    <mergeCell ref="A466:A468"/>
    <mergeCell ref="B466:D466"/>
    <mergeCell ref="H466:H468"/>
    <mergeCell ref="I466:I468"/>
    <mergeCell ref="J466:L468"/>
    <mergeCell ref="A464:D464"/>
    <mergeCell ref="E464:F464"/>
    <mergeCell ref="S464:U464"/>
    <mergeCell ref="A465:D465"/>
    <mergeCell ref="E465:F465"/>
    <mergeCell ref="S465:U465"/>
    <mergeCell ref="H464:I464"/>
    <mergeCell ref="K464:L464"/>
    <mergeCell ref="N464:O464"/>
    <mergeCell ref="H465:I465"/>
    <mergeCell ref="K465:L465"/>
    <mergeCell ref="N465:O465"/>
    <mergeCell ref="E466:G468"/>
    <mergeCell ref="M466:O468"/>
    <mergeCell ref="P466:P468"/>
    <mergeCell ref="Q464:R464"/>
    <mergeCell ref="Q465:R465"/>
    <mergeCell ref="Q461:Q463"/>
    <mergeCell ref="R461:R463"/>
    <mergeCell ref="S461:S463"/>
    <mergeCell ref="T461:U463"/>
    <mergeCell ref="A461:A463"/>
    <mergeCell ref="B461:D461"/>
    <mergeCell ref="H461:H463"/>
    <mergeCell ref="I461:I463"/>
    <mergeCell ref="J461:L463"/>
    <mergeCell ref="A459:D459"/>
    <mergeCell ref="E459:F459"/>
    <mergeCell ref="S459:U459"/>
    <mergeCell ref="A460:D460"/>
    <mergeCell ref="E460:F460"/>
    <mergeCell ref="S460:U460"/>
    <mergeCell ref="H459:I459"/>
    <mergeCell ref="K459:L459"/>
    <mergeCell ref="N459:O459"/>
    <mergeCell ref="H460:I460"/>
    <mergeCell ref="K460:L460"/>
    <mergeCell ref="N460:O460"/>
    <mergeCell ref="E461:G463"/>
    <mergeCell ref="M461:O463"/>
    <mergeCell ref="P461:P463"/>
    <mergeCell ref="Q459:R459"/>
    <mergeCell ref="Q460:R460"/>
    <mergeCell ref="Q456:Q458"/>
    <mergeCell ref="R456:R458"/>
    <mergeCell ref="S456:S458"/>
    <mergeCell ref="T456:U458"/>
    <mergeCell ref="A456:A458"/>
    <mergeCell ref="B456:D456"/>
    <mergeCell ref="H456:H458"/>
    <mergeCell ref="I456:I458"/>
    <mergeCell ref="J456:L458"/>
    <mergeCell ref="A454:D454"/>
    <mergeCell ref="E454:F454"/>
    <mergeCell ref="S454:U454"/>
    <mergeCell ref="A455:D455"/>
    <mergeCell ref="E455:F455"/>
    <mergeCell ref="S455:U455"/>
    <mergeCell ref="H454:I454"/>
    <mergeCell ref="K454:L454"/>
    <mergeCell ref="N454:O454"/>
    <mergeCell ref="H455:I455"/>
    <mergeCell ref="K455:L455"/>
    <mergeCell ref="N455:O455"/>
    <mergeCell ref="E456:G458"/>
    <mergeCell ref="M456:O458"/>
    <mergeCell ref="P456:P458"/>
    <mergeCell ref="Q454:R454"/>
    <mergeCell ref="Q455:R455"/>
    <mergeCell ref="Q451:Q453"/>
    <mergeCell ref="R451:R453"/>
    <mergeCell ref="S451:S453"/>
    <mergeCell ref="T451:U453"/>
    <mergeCell ref="A451:A453"/>
    <mergeCell ref="B451:D451"/>
    <mergeCell ref="H451:H453"/>
    <mergeCell ref="I451:I453"/>
    <mergeCell ref="J451:L453"/>
    <mergeCell ref="A449:D449"/>
    <mergeCell ref="E449:F449"/>
    <mergeCell ref="S449:U449"/>
    <mergeCell ref="A450:D450"/>
    <mergeCell ref="E450:F450"/>
    <mergeCell ref="S450:U450"/>
    <mergeCell ref="H449:I449"/>
    <mergeCell ref="K449:L449"/>
    <mergeCell ref="N449:O449"/>
    <mergeCell ref="H450:I450"/>
    <mergeCell ref="K450:L450"/>
    <mergeCell ref="N450:O450"/>
    <mergeCell ref="E451:G453"/>
    <mergeCell ref="M451:O453"/>
    <mergeCell ref="P451:P453"/>
    <mergeCell ref="Q449:R449"/>
    <mergeCell ref="Q450:R450"/>
    <mergeCell ref="Q446:Q448"/>
    <mergeCell ref="R446:R448"/>
    <mergeCell ref="S446:S448"/>
    <mergeCell ref="T446:U448"/>
    <mergeCell ref="A446:A448"/>
    <mergeCell ref="B446:D446"/>
    <mergeCell ref="H446:H448"/>
    <mergeCell ref="I446:I448"/>
    <mergeCell ref="J446:L448"/>
    <mergeCell ref="A444:D444"/>
    <mergeCell ref="E444:F444"/>
    <mergeCell ref="S444:U444"/>
    <mergeCell ref="A445:D445"/>
    <mergeCell ref="E445:F445"/>
    <mergeCell ref="S445:U445"/>
    <mergeCell ref="H444:I444"/>
    <mergeCell ref="K444:L444"/>
    <mergeCell ref="N444:O444"/>
    <mergeCell ref="H445:I445"/>
    <mergeCell ref="K445:L445"/>
    <mergeCell ref="N445:O445"/>
    <mergeCell ref="E446:G448"/>
    <mergeCell ref="M446:O448"/>
    <mergeCell ref="P446:P448"/>
    <mergeCell ref="Q444:R444"/>
    <mergeCell ref="Q445:R445"/>
    <mergeCell ref="Q441:Q443"/>
    <mergeCell ref="R441:R443"/>
    <mergeCell ref="S441:S443"/>
    <mergeCell ref="T441:U443"/>
    <mergeCell ref="A441:A443"/>
    <mergeCell ref="B441:D441"/>
    <mergeCell ref="H441:H443"/>
    <mergeCell ref="I441:I443"/>
    <mergeCell ref="J441:L443"/>
    <mergeCell ref="A439:D439"/>
    <mergeCell ref="E439:F439"/>
    <mergeCell ref="S439:U439"/>
    <mergeCell ref="A440:D440"/>
    <mergeCell ref="E440:F440"/>
    <mergeCell ref="S440:U440"/>
    <mergeCell ref="H439:I439"/>
    <mergeCell ref="K439:L439"/>
    <mergeCell ref="N439:O439"/>
    <mergeCell ref="H440:I440"/>
    <mergeCell ref="K440:L440"/>
    <mergeCell ref="N440:O440"/>
    <mergeCell ref="E441:G443"/>
    <mergeCell ref="M441:O443"/>
    <mergeCell ref="P441:P443"/>
    <mergeCell ref="Q439:R439"/>
    <mergeCell ref="Q440:R440"/>
    <mergeCell ref="Q436:Q438"/>
    <mergeCell ref="R436:R438"/>
    <mergeCell ref="S436:S438"/>
    <mergeCell ref="T436:U438"/>
    <mergeCell ref="A436:A438"/>
    <mergeCell ref="B436:D436"/>
    <mergeCell ref="H436:H438"/>
    <mergeCell ref="I436:I438"/>
    <mergeCell ref="J436:L438"/>
    <mergeCell ref="A434:D434"/>
    <mergeCell ref="E434:F434"/>
    <mergeCell ref="S434:U434"/>
    <mergeCell ref="A435:D435"/>
    <mergeCell ref="E435:F435"/>
    <mergeCell ref="S435:U435"/>
    <mergeCell ref="H434:I434"/>
    <mergeCell ref="K434:L434"/>
    <mergeCell ref="N434:O434"/>
    <mergeCell ref="H435:I435"/>
    <mergeCell ref="K435:L435"/>
    <mergeCell ref="N435:O435"/>
    <mergeCell ref="E436:G438"/>
    <mergeCell ref="M436:O438"/>
    <mergeCell ref="P436:P438"/>
    <mergeCell ref="Q434:R434"/>
    <mergeCell ref="Q435:R435"/>
    <mergeCell ref="Q431:Q433"/>
    <mergeCell ref="R431:R433"/>
    <mergeCell ref="S431:S433"/>
    <mergeCell ref="T431:U433"/>
    <mergeCell ref="A431:A433"/>
    <mergeCell ref="B431:D431"/>
    <mergeCell ref="H431:H433"/>
    <mergeCell ref="I431:I433"/>
    <mergeCell ref="J431:L433"/>
    <mergeCell ref="A429:D429"/>
    <mergeCell ref="E429:F429"/>
    <mergeCell ref="S429:U429"/>
    <mergeCell ref="A430:D430"/>
    <mergeCell ref="E430:F430"/>
    <mergeCell ref="S430:U430"/>
    <mergeCell ref="H429:I429"/>
    <mergeCell ref="K429:L429"/>
    <mergeCell ref="N429:O429"/>
    <mergeCell ref="H430:I430"/>
    <mergeCell ref="K430:L430"/>
    <mergeCell ref="N430:O430"/>
    <mergeCell ref="E431:G433"/>
    <mergeCell ref="M431:O433"/>
    <mergeCell ref="P431:P433"/>
    <mergeCell ref="Q429:R429"/>
    <mergeCell ref="Q430:R430"/>
    <mergeCell ref="Q426:Q428"/>
    <mergeCell ref="R426:R428"/>
    <mergeCell ref="S426:S428"/>
    <mergeCell ref="T426:U428"/>
    <mergeCell ref="A426:A428"/>
    <mergeCell ref="B426:D426"/>
    <mergeCell ref="H426:H428"/>
    <mergeCell ref="I426:I428"/>
    <mergeCell ref="J426:L428"/>
    <mergeCell ref="A424:D424"/>
    <mergeCell ref="E424:F424"/>
    <mergeCell ref="S424:U424"/>
    <mergeCell ref="A425:D425"/>
    <mergeCell ref="E425:F425"/>
    <mergeCell ref="S425:U425"/>
    <mergeCell ref="H424:I424"/>
    <mergeCell ref="K424:L424"/>
    <mergeCell ref="N424:O424"/>
    <mergeCell ref="H425:I425"/>
    <mergeCell ref="K425:L425"/>
    <mergeCell ref="N425:O425"/>
    <mergeCell ref="E426:G428"/>
    <mergeCell ref="M426:O428"/>
    <mergeCell ref="P426:P428"/>
    <mergeCell ref="Q424:R424"/>
    <mergeCell ref="Q425:R425"/>
    <mergeCell ref="Q421:Q423"/>
    <mergeCell ref="R421:R423"/>
    <mergeCell ref="S421:S423"/>
    <mergeCell ref="T421:U423"/>
    <mergeCell ref="A421:A423"/>
    <mergeCell ref="B421:D421"/>
    <mergeCell ref="H421:H423"/>
    <mergeCell ref="I421:I423"/>
    <mergeCell ref="J421:L423"/>
    <mergeCell ref="A419:D419"/>
    <mergeCell ref="E419:F419"/>
    <mergeCell ref="S419:U419"/>
    <mergeCell ref="A420:D420"/>
    <mergeCell ref="E420:F420"/>
    <mergeCell ref="S420:U420"/>
    <mergeCell ref="H419:I419"/>
    <mergeCell ref="K419:L419"/>
    <mergeCell ref="N419:O419"/>
    <mergeCell ref="H420:I420"/>
    <mergeCell ref="K420:L420"/>
    <mergeCell ref="N420:O420"/>
    <mergeCell ref="E421:G423"/>
    <mergeCell ref="M421:O423"/>
    <mergeCell ref="P421:P423"/>
    <mergeCell ref="Q419:R419"/>
    <mergeCell ref="Q420:R420"/>
    <mergeCell ref="Q416:Q418"/>
    <mergeCell ref="R416:R418"/>
    <mergeCell ref="S416:S418"/>
    <mergeCell ref="T416:U418"/>
    <mergeCell ref="A416:A418"/>
    <mergeCell ref="B416:D416"/>
    <mergeCell ref="H416:H418"/>
    <mergeCell ref="I416:I418"/>
    <mergeCell ref="J416:L418"/>
    <mergeCell ref="A414:D414"/>
    <mergeCell ref="E414:F414"/>
    <mergeCell ref="S414:U414"/>
    <mergeCell ref="A415:D415"/>
    <mergeCell ref="E415:F415"/>
    <mergeCell ref="S415:U415"/>
    <mergeCell ref="H414:I414"/>
    <mergeCell ref="K414:L414"/>
    <mergeCell ref="N414:O414"/>
    <mergeCell ref="H415:I415"/>
    <mergeCell ref="K415:L415"/>
    <mergeCell ref="N415:O415"/>
    <mergeCell ref="E416:G418"/>
    <mergeCell ref="M416:O418"/>
    <mergeCell ref="P416:P418"/>
    <mergeCell ref="Q414:R414"/>
    <mergeCell ref="Q415:R415"/>
    <mergeCell ref="Q411:Q413"/>
    <mergeCell ref="R411:R413"/>
    <mergeCell ref="S411:S413"/>
    <mergeCell ref="T411:U413"/>
    <mergeCell ref="A411:A413"/>
    <mergeCell ref="B411:D411"/>
    <mergeCell ref="H411:H413"/>
    <mergeCell ref="I411:I413"/>
    <mergeCell ref="J411:L413"/>
    <mergeCell ref="A409:D409"/>
    <mergeCell ref="E409:F409"/>
    <mergeCell ref="S409:U409"/>
    <mergeCell ref="A410:D410"/>
    <mergeCell ref="E410:F410"/>
    <mergeCell ref="S410:U410"/>
    <mergeCell ref="H409:I409"/>
    <mergeCell ref="K409:L409"/>
    <mergeCell ref="N409:O409"/>
    <mergeCell ref="H410:I410"/>
    <mergeCell ref="K410:L410"/>
    <mergeCell ref="N410:O410"/>
    <mergeCell ref="E411:G413"/>
    <mergeCell ref="M411:O413"/>
    <mergeCell ref="P411:P413"/>
    <mergeCell ref="Q409:R409"/>
    <mergeCell ref="Q410:R410"/>
    <mergeCell ref="Q406:Q408"/>
    <mergeCell ref="R406:R408"/>
    <mergeCell ref="S406:S408"/>
    <mergeCell ref="T406:U408"/>
    <mergeCell ref="A406:A408"/>
    <mergeCell ref="B406:D406"/>
    <mergeCell ref="H406:H408"/>
    <mergeCell ref="I406:I408"/>
    <mergeCell ref="J406:L408"/>
    <mergeCell ref="A404:D404"/>
    <mergeCell ref="E404:F404"/>
    <mergeCell ref="S404:U404"/>
    <mergeCell ref="A405:D405"/>
    <mergeCell ref="E405:F405"/>
    <mergeCell ref="S405:U405"/>
    <mergeCell ref="H404:I404"/>
    <mergeCell ref="K404:L404"/>
    <mergeCell ref="N404:O404"/>
    <mergeCell ref="H405:I405"/>
    <mergeCell ref="K405:L405"/>
    <mergeCell ref="N405:O405"/>
    <mergeCell ref="E406:G408"/>
    <mergeCell ref="M406:O408"/>
    <mergeCell ref="P406:P408"/>
    <mergeCell ref="Q404:R404"/>
    <mergeCell ref="Q405:R405"/>
    <mergeCell ref="Q401:Q403"/>
    <mergeCell ref="R401:R403"/>
    <mergeCell ref="S401:S403"/>
    <mergeCell ref="T401:U403"/>
    <mergeCell ref="A401:A403"/>
    <mergeCell ref="B401:D401"/>
    <mergeCell ref="H401:H403"/>
    <mergeCell ref="I401:I403"/>
    <mergeCell ref="J401:L403"/>
    <mergeCell ref="A399:D399"/>
    <mergeCell ref="E399:F399"/>
    <mergeCell ref="S399:U399"/>
    <mergeCell ref="A400:D400"/>
    <mergeCell ref="E400:F400"/>
    <mergeCell ref="S400:U400"/>
    <mergeCell ref="H399:I399"/>
    <mergeCell ref="K399:L399"/>
    <mergeCell ref="N399:O399"/>
    <mergeCell ref="H400:I400"/>
    <mergeCell ref="K400:L400"/>
    <mergeCell ref="N400:O400"/>
    <mergeCell ref="E401:G403"/>
    <mergeCell ref="M401:O403"/>
    <mergeCell ref="P401:P403"/>
    <mergeCell ref="Q399:R399"/>
    <mergeCell ref="Q400:R400"/>
    <mergeCell ref="Q396:Q398"/>
    <mergeCell ref="R396:R398"/>
    <mergeCell ref="S396:S398"/>
    <mergeCell ref="T396:U398"/>
    <mergeCell ref="A396:A398"/>
    <mergeCell ref="B396:D396"/>
    <mergeCell ref="H396:H398"/>
    <mergeCell ref="I396:I398"/>
    <mergeCell ref="J396:L398"/>
    <mergeCell ref="A394:D394"/>
    <mergeCell ref="E394:F394"/>
    <mergeCell ref="S394:U394"/>
    <mergeCell ref="A395:D395"/>
    <mergeCell ref="E395:F395"/>
    <mergeCell ref="S395:U395"/>
    <mergeCell ref="H394:I394"/>
    <mergeCell ref="K394:L394"/>
    <mergeCell ref="N394:O394"/>
    <mergeCell ref="H395:I395"/>
    <mergeCell ref="K395:L395"/>
    <mergeCell ref="N395:O395"/>
    <mergeCell ref="E396:G398"/>
    <mergeCell ref="M396:O398"/>
    <mergeCell ref="P396:P398"/>
    <mergeCell ref="Q394:R394"/>
    <mergeCell ref="Q395:R395"/>
    <mergeCell ref="Q391:Q393"/>
    <mergeCell ref="R391:R393"/>
    <mergeCell ref="S391:S393"/>
    <mergeCell ref="T391:U393"/>
    <mergeCell ref="A391:A393"/>
    <mergeCell ref="B391:D391"/>
    <mergeCell ref="H391:H393"/>
    <mergeCell ref="I391:I393"/>
    <mergeCell ref="J391:L393"/>
    <mergeCell ref="A389:D389"/>
    <mergeCell ref="E389:F389"/>
    <mergeCell ref="S389:U389"/>
    <mergeCell ref="A390:D390"/>
    <mergeCell ref="E390:F390"/>
    <mergeCell ref="S390:U390"/>
    <mergeCell ref="H389:I389"/>
    <mergeCell ref="K389:L389"/>
    <mergeCell ref="N389:O389"/>
    <mergeCell ref="H390:I390"/>
    <mergeCell ref="K390:L390"/>
    <mergeCell ref="N390:O390"/>
    <mergeCell ref="E391:G393"/>
    <mergeCell ref="M391:O393"/>
    <mergeCell ref="P391:P393"/>
    <mergeCell ref="Q389:R389"/>
    <mergeCell ref="Q390:R390"/>
    <mergeCell ref="Q386:Q388"/>
    <mergeCell ref="R386:R388"/>
    <mergeCell ref="S386:S388"/>
    <mergeCell ref="T386:U388"/>
    <mergeCell ref="A386:A388"/>
    <mergeCell ref="B386:D386"/>
    <mergeCell ref="H386:H388"/>
    <mergeCell ref="I386:I388"/>
    <mergeCell ref="J386:L388"/>
    <mergeCell ref="A384:D384"/>
    <mergeCell ref="E384:F384"/>
    <mergeCell ref="S384:U384"/>
    <mergeCell ref="A385:D385"/>
    <mergeCell ref="E385:F385"/>
    <mergeCell ref="S385:U385"/>
    <mergeCell ref="H384:I384"/>
    <mergeCell ref="K384:L384"/>
    <mergeCell ref="N384:O384"/>
    <mergeCell ref="H385:I385"/>
    <mergeCell ref="K385:L385"/>
    <mergeCell ref="N385:O385"/>
    <mergeCell ref="E386:G388"/>
    <mergeCell ref="M386:O388"/>
    <mergeCell ref="P386:P388"/>
    <mergeCell ref="Q384:R384"/>
    <mergeCell ref="Q385:R385"/>
    <mergeCell ref="Q381:Q383"/>
    <mergeCell ref="R381:R383"/>
    <mergeCell ref="S381:S383"/>
    <mergeCell ref="T381:U383"/>
    <mergeCell ref="A381:A383"/>
    <mergeCell ref="B381:D381"/>
    <mergeCell ref="H381:H383"/>
    <mergeCell ref="I381:I383"/>
    <mergeCell ref="J381:L383"/>
    <mergeCell ref="A379:D379"/>
    <mergeCell ref="E379:F379"/>
    <mergeCell ref="S379:U379"/>
    <mergeCell ref="A380:D380"/>
    <mergeCell ref="E380:F380"/>
    <mergeCell ref="S380:U380"/>
    <mergeCell ref="H379:I379"/>
    <mergeCell ref="K379:L379"/>
    <mergeCell ref="N379:O379"/>
    <mergeCell ref="H380:I380"/>
    <mergeCell ref="K380:L380"/>
    <mergeCell ref="N380:O380"/>
    <mergeCell ref="E381:G383"/>
    <mergeCell ref="M381:O383"/>
    <mergeCell ref="P381:P383"/>
    <mergeCell ref="Q379:R379"/>
    <mergeCell ref="Q380:R380"/>
    <mergeCell ref="Q376:Q378"/>
    <mergeCell ref="R376:R378"/>
    <mergeCell ref="S376:S378"/>
    <mergeCell ref="T376:U378"/>
    <mergeCell ref="A376:A378"/>
    <mergeCell ref="B376:D376"/>
    <mergeCell ref="H376:H378"/>
    <mergeCell ref="I376:I378"/>
    <mergeCell ref="J376:L378"/>
    <mergeCell ref="A374:D374"/>
    <mergeCell ref="E374:F374"/>
    <mergeCell ref="S374:U374"/>
    <mergeCell ref="A375:D375"/>
    <mergeCell ref="E375:F375"/>
    <mergeCell ref="S375:U375"/>
    <mergeCell ref="H374:I374"/>
    <mergeCell ref="K374:L374"/>
    <mergeCell ref="N374:O374"/>
    <mergeCell ref="H375:I375"/>
    <mergeCell ref="K375:L375"/>
    <mergeCell ref="N375:O375"/>
    <mergeCell ref="E376:G378"/>
    <mergeCell ref="M376:O378"/>
    <mergeCell ref="P376:P378"/>
    <mergeCell ref="Q374:R374"/>
    <mergeCell ref="Q375:R375"/>
    <mergeCell ref="Q371:Q373"/>
    <mergeCell ref="R371:R373"/>
    <mergeCell ref="S371:S373"/>
    <mergeCell ref="T371:U373"/>
    <mergeCell ref="A371:A373"/>
    <mergeCell ref="B371:D371"/>
    <mergeCell ref="H371:H373"/>
    <mergeCell ref="I371:I373"/>
    <mergeCell ref="J371:L373"/>
    <mergeCell ref="A369:D369"/>
    <mergeCell ref="E369:F369"/>
    <mergeCell ref="S369:U369"/>
    <mergeCell ref="A370:D370"/>
    <mergeCell ref="E370:F370"/>
    <mergeCell ref="S370:U370"/>
    <mergeCell ref="H369:I369"/>
    <mergeCell ref="K369:L369"/>
    <mergeCell ref="N369:O369"/>
    <mergeCell ref="H370:I370"/>
    <mergeCell ref="K370:L370"/>
    <mergeCell ref="N370:O370"/>
    <mergeCell ref="E371:G373"/>
    <mergeCell ref="M371:O373"/>
    <mergeCell ref="P371:P373"/>
    <mergeCell ref="Q369:R369"/>
    <mergeCell ref="Q370:R370"/>
    <mergeCell ref="Q366:Q368"/>
    <mergeCell ref="R366:R368"/>
    <mergeCell ref="S366:S368"/>
    <mergeCell ref="T366:U368"/>
    <mergeCell ref="A366:A368"/>
    <mergeCell ref="B366:D366"/>
    <mergeCell ref="H366:H368"/>
    <mergeCell ref="I366:I368"/>
    <mergeCell ref="J366:L368"/>
    <mergeCell ref="A364:D364"/>
    <mergeCell ref="E364:F364"/>
    <mergeCell ref="S364:U364"/>
    <mergeCell ref="A365:D365"/>
    <mergeCell ref="E365:F365"/>
    <mergeCell ref="S365:U365"/>
    <mergeCell ref="H364:I364"/>
    <mergeCell ref="K364:L364"/>
    <mergeCell ref="N364:O364"/>
    <mergeCell ref="H365:I365"/>
    <mergeCell ref="K365:L365"/>
    <mergeCell ref="N365:O365"/>
    <mergeCell ref="E366:G368"/>
    <mergeCell ref="M366:O368"/>
    <mergeCell ref="P366:P368"/>
    <mergeCell ref="Q364:R364"/>
    <mergeCell ref="Q365:R365"/>
    <mergeCell ref="Q361:Q363"/>
    <mergeCell ref="R361:R363"/>
    <mergeCell ref="S361:S363"/>
    <mergeCell ref="T361:U363"/>
    <mergeCell ref="A361:A363"/>
    <mergeCell ref="B361:D361"/>
    <mergeCell ref="H361:H363"/>
    <mergeCell ref="I361:I363"/>
    <mergeCell ref="J361:L363"/>
    <mergeCell ref="A359:D359"/>
    <mergeCell ref="E359:F359"/>
    <mergeCell ref="S359:U359"/>
    <mergeCell ref="A360:D360"/>
    <mergeCell ref="E360:F360"/>
    <mergeCell ref="S360:U360"/>
    <mergeCell ref="H359:I359"/>
    <mergeCell ref="K359:L359"/>
    <mergeCell ref="N359:O359"/>
    <mergeCell ref="H360:I360"/>
    <mergeCell ref="K360:L360"/>
    <mergeCell ref="N360:O360"/>
    <mergeCell ref="E361:G363"/>
    <mergeCell ref="M361:O363"/>
    <mergeCell ref="P361:P363"/>
    <mergeCell ref="Q359:R359"/>
    <mergeCell ref="Q360:R360"/>
    <mergeCell ref="Q356:Q358"/>
    <mergeCell ref="R356:R358"/>
    <mergeCell ref="S356:S358"/>
    <mergeCell ref="T356:U358"/>
    <mergeCell ref="A356:A358"/>
    <mergeCell ref="B356:D356"/>
    <mergeCell ref="H356:H358"/>
    <mergeCell ref="I356:I358"/>
    <mergeCell ref="J356:L358"/>
    <mergeCell ref="A354:D354"/>
    <mergeCell ref="E354:F354"/>
    <mergeCell ref="S354:U354"/>
    <mergeCell ref="A355:D355"/>
    <mergeCell ref="E355:F355"/>
    <mergeCell ref="S355:U355"/>
    <mergeCell ref="H354:I354"/>
    <mergeCell ref="K354:L354"/>
    <mergeCell ref="N354:O354"/>
    <mergeCell ref="H355:I355"/>
    <mergeCell ref="K355:L355"/>
    <mergeCell ref="N355:O355"/>
    <mergeCell ref="E356:G358"/>
    <mergeCell ref="M356:O358"/>
    <mergeCell ref="P356:P358"/>
    <mergeCell ref="Q354:R354"/>
    <mergeCell ref="Q355:R355"/>
    <mergeCell ref="Q351:Q353"/>
    <mergeCell ref="R351:R353"/>
    <mergeCell ref="S351:S353"/>
    <mergeCell ref="T351:U353"/>
    <mergeCell ref="A351:A353"/>
    <mergeCell ref="B351:D351"/>
    <mergeCell ref="H351:H353"/>
    <mergeCell ref="I351:I353"/>
    <mergeCell ref="J351:L353"/>
    <mergeCell ref="A349:D349"/>
    <mergeCell ref="E349:F349"/>
    <mergeCell ref="S349:U349"/>
    <mergeCell ref="A350:D350"/>
    <mergeCell ref="E350:F350"/>
    <mergeCell ref="S350:U350"/>
    <mergeCell ref="H349:I349"/>
    <mergeCell ref="K349:L349"/>
    <mergeCell ref="N349:O349"/>
    <mergeCell ref="H350:I350"/>
    <mergeCell ref="K350:L350"/>
    <mergeCell ref="N350:O350"/>
    <mergeCell ref="E351:G353"/>
    <mergeCell ref="M351:O353"/>
    <mergeCell ref="P351:P353"/>
    <mergeCell ref="Q349:R349"/>
    <mergeCell ref="Q350:R350"/>
    <mergeCell ref="Q346:Q348"/>
    <mergeCell ref="R346:R348"/>
    <mergeCell ref="S346:S348"/>
    <mergeCell ref="T346:U348"/>
    <mergeCell ref="A346:A348"/>
    <mergeCell ref="B346:D346"/>
    <mergeCell ref="H346:H348"/>
    <mergeCell ref="I346:I348"/>
    <mergeCell ref="J346:L348"/>
    <mergeCell ref="A344:D344"/>
    <mergeCell ref="E344:F344"/>
    <mergeCell ref="S344:U344"/>
    <mergeCell ref="A345:D345"/>
    <mergeCell ref="E345:F345"/>
    <mergeCell ref="S345:U345"/>
    <mergeCell ref="H344:I344"/>
    <mergeCell ref="K344:L344"/>
    <mergeCell ref="N344:O344"/>
    <mergeCell ref="H345:I345"/>
    <mergeCell ref="K345:L345"/>
    <mergeCell ref="N345:O345"/>
    <mergeCell ref="E346:G348"/>
    <mergeCell ref="M346:O348"/>
    <mergeCell ref="P346:P348"/>
    <mergeCell ref="Q344:R344"/>
    <mergeCell ref="Q345:R345"/>
    <mergeCell ref="Q341:Q343"/>
    <mergeCell ref="R341:R343"/>
    <mergeCell ref="S341:S343"/>
    <mergeCell ref="T341:U343"/>
    <mergeCell ref="A341:A343"/>
    <mergeCell ref="B341:D341"/>
    <mergeCell ref="H341:H343"/>
    <mergeCell ref="I341:I343"/>
    <mergeCell ref="J341:L343"/>
    <mergeCell ref="A339:D339"/>
    <mergeCell ref="E339:F339"/>
    <mergeCell ref="S339:U339"/>
    <mergeCell ref="A340:D340"/>
    <mergeCell ref="E340:F340"/>
    <mergeCell ref="S340:U340"/>
    <mergeCell ref="H339:I339"/>
    <mergeCell ref="K339:L339"/>
    <mergeCell ref="N339:O339"/>
    <mergeCell ref="H340:I340"/>
    <mergeCell ref="K340:L340"/>
    <mergeCell ref="N340:O340"/>
    <mergeCell ref="E341:G343"/>
    <mergeCell ref="M341:O343"/>
    <mergeCell ref="P341:P343"/>
    <mergeCell ref="Q339:R339"/>
    <mergeCell ref="Q340:R340"/>
    <mergeCell ref="Q336:Q338"/>
    <mergeCell ref="R336:R338"/>
    <mergeCell ref="S336:S338"/>
    <mergeCell ref="T336:U338"/>
    <mergeCell ref="A336:A338"/>
    <mergeCell ref="B336:D336"/>
    <mergeCell ref="H336:H338"/>
    <mergeCell ref="I336:I338"/>
    <mergeCell ref="J336:L338"/>
    <mergeCell ref="A334:D334"/>
    <mergeCell ref="E334:F334"/>
    <mergeCell ref="S334:U334"/>
    <mergeCell ref="A335:D335"/>
    <mergeCell ref="E335:F335"/>
    <mergeCell ref="S335:U335"/>
    <mergeCell ref="H334:I334"/>
    <mergeCell ref="K334:L334"/>
    <mergeCell ref="N334:O334"/>
    <mergeCell ref="H335:I335"/>
    <mergeCell ref="K335:L335"/>
    <mergeCell ref="N335:O335"/>
    <mergeCell ref="E336:G338"/>
    <mergeCell ref="M336:O338"/>
    <mergeCell ref="P336:P338"/>
    <mergeCell ref="Q334:R334"/>
    <mergeCell ref="Q335:R335"/>
    <mergeCell ref="Q331:Q333"/>
    <mergeCell ref="R331:R333"/>
    <mergeCell ref="S331:S333"/>
    <mergeCell ref="T331:U333"/>
    <mergeCell ref="A331:A333"/>
    <mergeCell ref="B331:D331"/>
    <mergeCell ref="H331:H333"/>
    <mergeCell ref="I331:I333"/>
    <mergeCell ref="J331:L333"/>
    <mergeCell ref="A329:D329"/>
    <mergeCell ref="E329:F329"/>
    <mergeCell ref="S329:U329"/>
    <mergeCell ref="A330:D330"/>
    <mergeCell ref="E330:F330"/>
    <mergeCell ref="S330:U330"/>
    <mergeCell ref="H329:I329"/>
    <mergeCell ref="K329:L329"/>
    <mergeCell ref="N329:O329"/>
    <mergeCell ref="H330:I330"/>
    <mergeCell ref="K330:L330"/>
    <mergeCell ref="N330:O330"/>
    <mergeCell ref="E331:G333"/>
    <mergeCell ref="M331:O333"/>
    <mergeCell ref="P331:P333"/>
    <mergeCell ref="Q329:R329"/>
    <mergeCell ref="Q330:R330"/>
    <mergeCell ref="Q326:Q328"/>
    <mergeCell ref="R326:R328"/>
    <mergeCell ref="S326:S328"/>
    <mergeCell ref="T326:U328"/>
    <mergeCell ref="A326:A328"/>
    <mergeCell ref="B326:D326"/>
    <mergeCell ref="H326:H328"/>
    <mergeCell ref="I326:I328"/>
    <mergeCell ref="J326:L328"/>
    <mergeCell ref="A324:D324"/>
    <mergeCell ref="E324:F324"/>
    <mergeCell ref="S324:U324"/>
    <mergeCell ref="A325:D325"/>
    <mergeCell ref="E325:F325"/>
    <mergeCell ref="S325:U325"/>
    <mergeCell ref="H324:I324"/>
    <mergeCell ref="K324:L324"/>
    <mergeCell ref="N324:O324"/>
    <mergeCell ref="H325:I325"/>
    <mergeCell ref="K325:L325"/>
    <mergeCell ref="N325:O325"/>
    <mergeCell ref="E326:G328"/>
    <mergeCell ref="M326:O328"/>
    <mergeCell ref="P326:P328"/>
    <mergeCell ref="Q324:R324"/>
    <mergeCell ref="Q325:R325"/>
    <mergeCell ref="Q321:Q323"/>
    <mergeCell ref="R321:R323"/>
    <mergeCell ref="S321:S323"/>
    <mergeCell ref="T321:U323"/>
    <mergeCell ref="A321:A323"/>
    <mergeCell ref="B321:D321"/>
    <mergeCell ref="H321:H323"/>
    <mergeCell ref="I321:I323"/>
    <mergeCell ref="J321:L323"/>
    <mergeCell ref="A319:D319"/>
    <mergeCell ref="E319:F319"/>
    <mergeCell ref="S319:U319"/>
    <mergeCell ref="A320:D320"/>
    <mergeCell ref="E320:F320"/>
    <mergeCell ref="S320:U320"/>
    <mergeCell ref="H319:I319"/>
    <mergeCell ref="K319:L319"/>
    <mergeCell ref="N319:O319"/>
    <mergeCell ref="H320:I320"/>
    <mergeCell ref="K320:L320"/>
    <mergeCell ref="N320:O320"/>
    <mergeCell ref="E321:G323"/>
    <mergeCell ref="M321:O323"/>
    <mergeCell ref="P321:P323"/>
    <mergeCell ref="Q319:R319"/>
    <mergeCell ref="Q320:R320"/>
    <mergeCell ref="Q316:Q318"/>
    <mergeCell ref="R316:R318"/>
    <mergeCell ref="S316:S318"/>
    <mergeCell ref="T316:U318"/>
    <mergeCell ref="A316:A318"/>
    <mergeCell ref="B316:D316"/>
    <mergeCell ref="H316:H318"/>
    <mergeCell ref="I316:I318"/>
    <mergeCell ref="J316:L318"/>
    <mergeCell ref="A314:D314"/>
    <mergeCell ref="E314:F314"/>
    <mergeCell ref="S314:U314"/>
    <mergeCell ref="A315:D315"/>
    <mergeCell ref="E315:F315"/>
    <mergeCell ref="S315:U315"/>
    <mergeCell ref="H314:I314"/>
    <mergeCell ref="K314:L314"/>
    <mergeCell ref="N314:O314"/>
    <mergeCell ref="H315:I315"/>
    <mergeCell ref="K315:L315"/>
    <mergeCell ref="N315:O315"/>
    <mergeCell ref="E316:G318"/>
    <mergeCell ref="M316:O318"/>
    <mergeCell ref="P316:P318"/>
    <mergeCell ref="Q314:R314"/>
    <mergeCell ref="Q315:R315"/>
    <mergeCell ref="Q311:Q313"/>
    <mergeCell ref="R311:R313"/>
    <mergeCell ref="S311:S313"/>
    <mergeCell ref="T311:U313"/>
    <mergeCell ref="A311:A313"/>
    <mergeCell ref="B311:D311"/>
    <mergeCell ref="H311:H313"/>
    <mergeCell ref="I311:I313"/>
    <mergeCell ref="J311:L313"/>
    <mergeCell ref="A309:D309"/>
    <mergeCell ref="E309:F309"/>
    <mergeCell ref="S309:U309"/>
    <mergeCell ref="A310:D310"/>
    <mergeCell ref="E310:F310"/>
    <mergeCell ref="S310:U310"/>
    <mergeCell ref="H309:I309"/>
    <mergeCell ref="K309:L309"/>
    <mergeCell ref="N309:O309"/>
    <mergeCell ref="H310:I310"/>
    <mergeCell ref="K310:L310"/>
    <mergeCell ref="N310:O310"/>
    <mergeCell ref="E311:G313"/>
    <mergeCell ref="M311:O313"/>
    <mergeCell ref="P311:P313"/>
    <mergeCell ref="Q309:R309"/>
    <mergeCell ref="Q310:R310"/>
    <mergeCell ref="Q306:Q308"/>
    <mergeCell ref="R306:R308"/>
    <mergeCell ref="S306:S308"/>
    <mergeCell ref="T306:U308"/>
    <mergeCell ref="A306:A308"/>
    <mergeCell ref="B306:D306"/>
    <mergeCell ref="H306:H308"/>
    <mergeCell ref="I306:I308"/>
    <mergeCell ref="J306:L308"/>
    <mergeCell ref="A304:D304"/>
    <mergeCell ref="E304:F304"/>
    <mergeCell ref="S304:U304"/>
    <mergeCell ref="A305:D305"/>
    <mergeCell ref="E305:F305"/>
    <mergeCell ref="S305:U305"/>
    <mergeCell ref="H304:I304"/>
    <mergeCell ref="K304:L304"/>
    <mergeCell ref="N304:O304"/>
    <mergeCell ref="H305:I305"/>
    <mergeCell ref="K305:L305"/>
    <mergeCell ref="N305:O305"/>
    <mergeCell ref="E306:G308"/>
    <mergeCell ref="M306:O308"/>
    <mergeCell ref="P306:P308"/>
    <mergeCell ref="Q304:R304"/>
    <mergeCell ref="Q305:R305"/>
    <mergeCell ref="Q301:Q303"/>
    <mergeCell ref="R301:R303"/>
    <mergeCell ref="S301:S303"/>
    <mergeCell ref="T301:U303"/>
    <mergeCell ref="A301:A303"/>
    <mergeCell ref="B301:D301"/>
    <mergeCell ref="H301:H303"/>
    <mergeCell ref="I301:I303"/>
    <mergeCell ref="J301:L303"/>
    <mergeCell ref="A299:D299"/>
    <mergeCell ref="E299:F299"/>
    <mergeCell ref="S299:U299"/>
    <mergeCell ref="A300:D300"/>
    <mergeCell ref="E300:F300"/>
    <mergeCell ref="S300:U300"/>
    <mergeCell ref="H299:I299"/>
    <mergeCell ref="K299:L299"/>
    <mergeCell ref="N299:O299"/>
    <mergeCell ref="H300:I300"/>
    <mergeCell ref="K300:L300"/>
    <mergeCell ref="N300:O300"/>
    <mergeCell ref="E301:G303"/>
    <mergeCell ref="M301:O303"/>
    <mergeCell ref="P301:P303"/>
    <mergeCell ref="Q299:R299"/>
    <mergeCell ref="Q300:R300"/>
    <mergeCell ref="Q296:Q298"/>
    <mergeCell ref="R296:R298"/>
    <mergeCell ref="S296:S298"/>
    <mergeCell ref="T296:U298"/>
    <mergeCell ref="A296:A298"/>
    <mergeCell ref="B296:D296"/>
    <mergeCell ref="H296:H298"/>
    <mergeCell ref="I296:I298"/>
    <mergeCell ref="J296:L298"/>
    <mergeCell ref="A294:D294"/>
    <mergeCell ref="E294:F294"/>
    <mergeCell ref="S294:U294"/>
    <mergeCell ref="A295:D295"/>
    <mergeCell ref="E295:F295"/>
    <mergeCell ref="S295:U295"/>
    <mergeCell ref="H294:I294"/>
    <mergeCell ref="K294:L294"/>
    <mergeCell ref="N294:O294"/>
    <mergeCell ref="H295:I295"/>
    <mergeCell ref="K295:L295"/>
    <mergeCell ref="N295:O295"/>
    <mergeCell ref="E296:G298"/>
    <mergeCell ref="M296:O298"/>
    <mergeCell ref="P296:P298"/>
    <mergeCell ref="Q294:R294"/>
    <mergeCell ref="Q295:R295"/>
    <mergeCell ref="Q291:Q293"/>
    <mergeCell ref="R291:R293"/>
    <mergeCell ref="S291:S293"/>
    <mergeCell ref="T291:U293"/>
    <mergeCell ref="A291:A293"/>
    <mergeCell ref="B291:D291"/>
    <mergeCell ref="H291:H293"/>
    <mergeCell ref="I291:I293"/>
    <mergeCell ref="J291:L293"/>
    <mergeCell ref="A289:D289"/>
    <mergeCell ref="E289:F289"/>
    <mergeCell ref="S289:U289"/>
    <mergeCell ref="A290:D290"/>
    <mergeCell ref="E290:F290"/>
    <mergeCell ref="S290:U290"/>
    <mergeCell ref="H289:I289"/>
    <mergeCell ref="K289:L289"/>
    <mergeCell ref="N289:O289"/>
    <mergeCell ref="H290:I290"/>
    <mergeCell ref="K290:L290"/>
    <mergeCell ref="N290:O290"/>
    <mergeCell ref="E291:G293"/>
    <mergeCell ref="M291:O293"/>
    <mergeCell ref="P291:P293"/>
    <mergeCell ref="Q289:R289"/>
    <mergeCell ref="Q290:R290"/>
    <mergeCell ref="Q286:Q288"/>
    <mergeCell ref="R286:R288"/>
    <mergeCell ref="S286:S288"/>
    <mergeCell ref="T286:U288"/>
    <mergeCell ref="A286:A288"/>
    <mergeCell ref="B286:D286"/>
    <mergeCell ref="H286:H288"/>
    <mergeCell ref="I286:I288"/>
    <mergeCell ref="J286:L288"/>
    <mergeCell ref="A284:D284"/>
    <mergeCell ref="E284:F284"/>
    <mergeCell ref="S284:U284"/>
    <mergeCell ref="A285:D285"/>
    <mergeCell ref="E285:F285"/>
    <mergeCell ref="S285:U285"/>
    <mergeCell ref="H284:I284"/>
    <mergeCell ref="K284:L284"/>
    <mergeCell ref="N284:O284"/>
    <mergeCell ref="H285:I285"/>
    <mergeCell ref="K285:L285"/>
    <mergeCell ref="N285:O285"/>
    <mergeCell ref="E286:G288"/>
    <mergeCell ref="M286:O288"/>
    <mergeCell ref="P286:P288"/>
    <mergeCell ref="Q284:R284"/>
    <mergeCell ref="Q285:R285"/>
    <mergeCell ref="Q281:Q283"/>
    <mergeCell ref="R281:R283"/>
    <mergeCell ref="S281:S283"/>
    <mergeCell ref="T281:U283"/>
    <mergeCell ref="A281:A283"/>
    <mergeCell ref="B281:D281"/>
    <mergeCell ref="H281:H283"/>
    <mergeCell ref="I281:I283"/>
    <mergeCell ref="J281:L283"/>
    <mergeCell ref="A279:D279"/>
    <mergeCell ref="E279:F279"/>
    <mergeCell ref="S279:U279"/>
    <mergeCell ref="A280:D280"/>
    <mergeCell ref="E280:F280"/>
    <mergeCell ref="S280:U280"/>
    <mergeCell ref="H279:I279"/>
    <mergeCell ref="K279:L279"/>
    <mergeCell ref="N279:O279"/>
    <mergeCell ref="H280:I280"/>
    <mergeCell ref="K280:L280"/>
    <mergeCell ref="N280:O280"/>
    <mergeCell ref="E281:G283"/>
    <mergeCell ref="M281:O283"/>
    <mergeCell ref="P281:P283"/>
    <mergeCell ref="Q279:R279"/>
    <mergeCell ref="Q280:R280"/>
    <mergeCell ref="Q276:Q278"/>
    <mergeCell ref="R276:R278"/>
    <mergeCell ref="S276:S278"/>
    <mergeCell ref="T276:U278"/>
    <mergeCell ref="A276:A278"/>
    <mergeCell ref="B276:D276"/>
    <mergeCell ref="H276:H278"/>
    <mergeCell ref="I276:I278"/>
    <mergeCell ref="J276:L278"/>
    <mergeCell ref="A274:D274"/>
    <mergeCell ref="E274:F274"/>
    <mergeCell ref="S274:U274"/>
    <mergeCell ref="A275:D275"/>
    <mergeCell ref="E275:F275"/>
    <mergeCell ref="S275:U275"/>
    <mergeCell ref="H274:I274"/>
    <mergeCell ref="K274:L274"/>
    <mergeCell ref="N274:O274"/>
    <mergeCell ref="H275:I275"/>
    <mergeCell ref="K275:L275"/>
    <mergeCell ref="N275:O275"/>
    <mergeCell ref="E276:G278"/>
    <mergeCell ref="M276:O278"/>
    <mergeCell ref="P276:P278"/>
    <mergeCell ref="Q274:R274"/>
    <mergeCell ref="Q275:R275"/>
    <mergeCell ref="Q271:Q273"/>
    <mergeCell ref="R271:R273"/>
    <mergeCell ref="S271:S273"/>
    <mergeCell ref="T271:U273"/>
    <mergeCell ref="A271:A273"/>
    <mergeCell ref="B271:D271"/>
    <mergeCell ref="H271:H273"/>
    <mergeCell ref="I271:I273"/>
    <mergeCell ref="J271:L273"/>
    <mergeCell ref="A269:D269"/>
    <mergeCell ref="E269:F269"/>
    <mergeCell ref="S269:U269"/>
    <mergeCell ref="A270:D270"/>
    <mergeCell ref="E270:F270"/>
    <mergeCell ref="S270:U270"/>
    <mergeCell ref="H269:I269"/>
    <mergeCell ref="K269:L269"/>
    <mergeCell ref="N269:O269"/>
    <mergeCell ref="H270:I270"/>
    <mergeCell ref="K270:L270"/>
    <mergeCell ref="N270:O270"/>
    <mergeCell ref="E271:G273"/>
    <mergeCell ref="M271:O273"/>
    <mergeCell ref="P271:P273"/>
    <mergeCell ref="Q269:R269"/>
    <mergeCell ref="Q270:R270"/>
    <mergeCell ref="Q266:Q268"/>
    <mergeCell ref="R266:R268"/>
    <mergeCell ref="S266:S268"/>
    <mergeCell ref="T266:U268"/>
    <mergeCell ref="A266:A268"/>
    <mergeCell ref="B266:D266"/>
    <mergeCell ref="H266:H268"/>
    <mergeCell ref="I266:I268"/>
    <mergeCell ref="J266:L268"/>
    <mergeCell ref="A264:D264"/>
    <mergeCell ref="E264:F264"/>
    <mergeCell ref="S264:U264"/>
    <mergeCell ref="A265:D265"/>
    <mergeCell ref="E265:F265"/>
    <mergeCell ref="S265:U265"/>
    <mergeCell ref="H264:I264"/>
    <mergeCell ref="K264:L264"/>
    <mergeCell ref="N264:O264"/>
    <mergeCell ref="H265:I265"/>
    <mergeCell ref="K265:L265"/>
    <mergeCell ref="N265:O265"/>
    <mergeCell ref="E266:G268"/>
    <mergeCell ref="M266:O268"/>
    <mergeCell ref="P266:P268"/>
    <mergeCell ref="Q264:R264"/>
    <mergeCell ref="Q265:R265"/>
    <mergeCell ref="Q261:Q263"/>
    <mergeCell ref="R261:R263"/>
    <mergeCell ref="S261:S263"/>
    <mergeCell ref="T261:U263"/>
    <mergeCell ref="A261:A263"/>
    <mergeCell ref="B261:D261"/>
    <mergeCell ref="H261:H263"/>
    <mergeCell ref="I261:I263"/>
    <mergeCell ref="J261:L263"/>
    <mergeCell ref="A259:D259"/>
    <mergeCell ref="E259:F259"/>
    <mergeCell ref="S259:U259"/>
    <mergeCell ref="A260:D260"/>
    <mergeCell ref="E260:F260"/>
    <mergeCell ref="S260:U260"/>
    <mergeCell ref="H259:I259"/>
    <mergeCell ref="K259:L259"/>
    <mergeCell ref="N259:O259"/>
    <mergeCell ref="H260:I260"/>
    <mergeCell ref="K260:L260"/>
    <mergeCell ref="N260:O260"/>
    <mergeCell ref="E261:G263"/>
    <mergeCell ref="M261:O263"/>
    <mergeCell ref="P261:P263"/>
    <mergeCell ref="Q259:R259"/>
    <mergeCell ref="Q260:R260"/>
    <mergeCell ref="Q256:Q258"/>
    <mergeCell ref="R256:R258"/>
    <mergeCell ref="S256:S258"/>
    <mergeCell ref="T256:U258"/>
    <mergeCell ref="A256:A258"/>
    <mergeCell ref="B256:D256"/>
    <mergeCell ref="H256:H258"/>
    <mergeCell ref="I256:I258"/>
    <mergeCell ref="J256:L258"/>
    <mergeCell ref="A254:D254"/>
    <mergeCell ref="E254:F254"/>
    <mergeCell ref="S254:U254"/>
    <mergeCell ref="A255:D255"/>
    <mergeCell ref="E255:F255"/>
    <mergeCell ref="S255:U255"/>
    <mergeCell ref="H254:I254"/>
    <mergeCell ref="K254:L254"/>
    <mergeCell ref="N254:O254"/>
    <mergeCell ref="H255:I255"/>
    <mergeCell ref="K255:L255"/>
    <mergeCell ref="N255:O255"/>
    <mergeCell ref="E256:G258"/>
    <mergeCell ref="M256:O258"/>
    <mergeCell ref="P256:P258"/>
    <mergeCell ref="Q254:R254"/>
    <mergeCell ref="Q255:R255"/>
    <mergeCell ref="Q251:Q253"/>
    <mergeCell ref="R251:R253"/>
    <mergeCell ref="S251:S253"/>
    <mergeCell ref="T251:U253"/>
    <mergeCell ref="A251:A253"/>
    <mergeCell ref="B251:D251"/>
    <mergeCell ref="H251:H253"/>
    <mergeCell ref="I251:I253"/>
    <mergeCell ref="J251:L253"/>
    <mergeCell ref="A249:D249"/>
    <mergeCell ref="E249:F249"/>
    <mergeCell ref="S249:U249"/>
    <mergeCell ref="A250:D250"/>
    <mergeCell ref="E250:F250"/>
    <mergeCell ref="S250:U250"/>
    <mergeCell ref="H249:I249"/>
    <mergeCell ref="K249:L249"/>
    <mergeCell ref="N249:O249"/>
    <mergeCell ref="H250:I250"/>
    <mergeCell ref="K250:L250"/>
    <mergeCell ref="N250:O250"/>
    <mergeCell ref="E251:G253"/>
    <mergeCell ref="M251:O253"/>
    <mergeCell ref="P251:P253"/>
    <mergeCell ref="Q249:R249"/>
    <mergeCell ref="Q250:R250"/>
    <mergeCell ref="Q246:Q248"/>
    <mergeCell ref="R246:R248"/>
    <mergeCell ref="S246:S248"/>
    <mergeCell ref="T246:U248"/>
    <mergeCell ref="A246:A248"/>
    <mergeCell ref="B246:D246"/>
    <mergeCell ref="H246:H248"/>
    <mergeCell ref="I246:I248"/>
    <mergeCell ref="J246:L248"/>
    <mergeCell ref="A244:D244"/>
    <mergeCell ref="E244:F244"/>
    <mergeCell ref="S244:U244"/>
    <mergeCell ref="A245:D245"/>
    <mergeCell ref="E245:F245"/>
    <mergeCell ref="S245:U245"/>
    <mergeCell ref="H244:I244"/>
    <mergeCell ref="K244:L244"/>
    <mergeCell ref="N244:O244"/>
    <mergeCell ref="H245:I245"/>
    <mergeCell ref="K245:L245"/>
    <mergeCell ref="N245:O245"/>
    <mergeCell ref="E246:G248"/>
    <mergeCell ref="M246:O248"/>
    <mergeCell ref="P246:P248"/>
    <mergeCell ref="Q244:R244"/>
    <mergeCell ref="Q245:R245"/>
    <mergeCell ref="Q241:Q243"/>
    <mergeCell ref="R241:R243"/>
    <mergeCell ref="S241:S243"/>
    <mergeCell ref="T241:U243"/>
    <mergeCell ref="A241:A243"/>
    <mergeCell ref="B241:D241"/>
    <mergeCell ref="H241:H243"/>
    <mergeCell ref="I241:I243"/>
    <mergeCell ref="J241:L243"/>
    <mergeCell ref="A239:D239"/>
    <mergeCell ref="E239:F239"/>
    <mergeCell ref="S239:U239"/>
    <mergeCell ref="A240:D240"/>
    <mergeCell ref="E240:F240"/>
    <mergeCell ref="S240:U240"/>
    <mergeCell ref="H239:I239"/>
    <mergeCell ref="K239:L239"/>
    <mergeCell ref="N239:O239"/>
    <mergeCell ref="H240:I240"/>
    <mergeCell ref="K240:L240"/>
    <mergeCell ref="N240:O240"/>
    <mergeCell ref="E241:G243"/>
    <mergeCell ref="M241:O243"/>
    <mergeCell ref="P241:P243"/>
    <mergeCell ref="Q239:R239"/>
    <mergeCell ref="Q240:R240"/>
    <mergeCell ref="Q236:Q238"/>
    <mergeCell ref="R236:R238"/>
    <mergeCell ref="S236:S238"/>
    <mergeCell ref="T236:U238"/>
    <mergeCell ref="A236:A238"/>
    <mergeCell ref="B236:D236"/>
    <mergeCell ref="H236:H238"/>
    <mergeCell ref="I236:I238"/>
    <mergeCell ref="J236:L238"/>
    <mergeCell ref="A234:D234"/>
    <mergeCell ref="E234:F234"/>
    <mergeCell ref="S234:U234"/>
    <mergeCell ref="A235:D235"/>
    <mergeCell ref="E235:F235"/>
    <mergeCell ref="S235:U235"/>
    <mergeCell ref="H234:I234"/>
    <mergeCell ref="K234:L234"/>
    <mergeCell ref="N234:O234"/>
    <mergeCell ref="H235:I235"/>
    <mergeCell ref="K235:L235"/>
    <mergeCell ref="N235:O235"/>
    <mergeCell ref="E236:G238"/>
    <mergeCell ref="M236:O238"/>
    <mergeCell ref="P236:P238"/>
    <mergeCell ref="Q234:R234"/>
    <mergeCell ref="Q235:R235"/>
    <mergeCell ref="Q231:Q233"/>
    <mergeCell ref="R231:R233"/>
    <mergeCell ref="S231:S233"/>
    <mergeCell ref="T231:U233"/>
    <mergeCell ref="A231:A233"/>
    <mergeCell ref="B231:D231"/>
    <mergeCell ref="H231:H233"/>
    <mergeCell ref="I231:I233"/>
    <mergeCell ref="J231:L233"/>
    <mergeCell ref="A229:D229"/>
    <mergeCell ref="E229:F229"/>
    <mergeCell ref="S229:U229"/>
    <mergeCell ref="A230:D230"/>
    <mergeCell ref="E230:F230"/>
    <mergeCell ref="S230:U230"/>
    <mergeCell ref="H229:I229"/>
    <mergeCell ref="K229:L229"/>
    <mergeCell ref="N229:O229"/>
    <mergeCell ref="H230:I230"/>
    <mergeCell ref="K230:L230"/>
    <mergeCell ref="N230:O230"/>
    <mergeCell ref="E231:G233"/>
    <mergeCell ref="M231:O233"/>
    <mergeCell ref="P231:P233"/>
    <mergeCell ref="Q229:R229"/>
    <mergeCell ref="Q230:R230"/>
    <mergeCell ref="Q226:Q228"/>
    <mergeCell ref="R226:R228"/>
    <mergeCell ref="S226:S228"/>
    <mergeCell ref="T226:U228"/>
    <mergeCell ref="A226:A228"/>
    <mergeCell ref="B226:D226"/>
    <mergeCell ref="H226:H228"/>
    <mergeCell ref="I226:I228"/>
    <mergeCell ref="J226:L228"/>
    <mergeCell ref="A224:D224"/>
    <mergeCell ref="E224:F224"/>
    <mergeCell ref="S224:U224"/>
    <mergeCell ref="A225:D225"/>
    <mergeCell ref="E225:F225"/>
    <mergeCell ref="S225:U225"/>
    <mergeCell ref="H224:I224"/>
    <mergeCell ref="K224:L224"/>
    <mergeCell ref="N224:O224"/>
    <mergeCell ref="H225:I225"/>
    <mergeCell ref="K225:L225"/>
    <mergeCell ref="N225:O225"/>
    <mergeCell ref="E226:G228"/>
    <mergeCell ref="M226:O228"/>
    <mergeCell ref="P226:P228"/>
    <mergeCell ref="Q224:R224"/>
    <mergeCell ref="Q225:R225"/>
    <mergeCell ref="Q221:Q223"/>
    <mergeCell ref="R221:R223"/>
    <mergeCell ref="S221:S223"/>
    <mergeCell ref="T221:U223"/>
    <mergeCell ref="A221:A223"/>
    <mergeCell ref="B221:D221"/>
    <mergeCell ref="H221:H223"/>
    <mergeCell ref="I221:I223"/>
    <mergeCell ref="J221:L223"/>
    <mergeCell ref="A219:D219"/>
    <mergeCell ref="E219:F219"/>
    <mergeCell ref="S219:U219"/>
    <mergeCell ref="A220:D220"/>
    <mergeCell ref="E220:F220"/>
    <mergeCell ref="S220:U220"/>
    <mergeCell ref="H219:I219"/>
    <mergeCell ref="K219:L219"/>
    <mergeCell ref="N219:O219"/>
    <mergeCell ref="H220:I220"/>
    <mergeCell ref="K220:L220"/>
    <mergeCell ref="N220:O220"/>
    <mergeCell ref="E221:G223"/>
    <mergeCell ref="M221:O223"/>
    <mergeCell ref="P221:P223"/>
    <mergeCell ref="Q219:R219"/>
    <mergeCell ref="Q220:R220"/>
    <mergeCell ref="Q216:Q218"/>
    <mergeCell ref="R216:R218"/>
    <mergeCell ref="S216:S218"/>
    <mergeCell ref="T216:U218"/>
    <mergeCell ref="A216:A218"/>
    <mergeCell ref="B216:D216"/>
    <mergeCell ref="H216:H218"/>
    <mergeCell ref="I216:I218"/>
    <mergeCell ref="J216:L218"/>
    <mergeCell ref="A214:D214"/>
    <mergeCell ref="E214:F214"/>
    <mergeCell ref="S214:U214"/>
    <mergeCell ref="A215:D215"/>
    <mergeCell ref="E215:F215"/>
    <mergeCell ref="S215:U215"/>
    <mergeCell ref="H214:I214"/>
    <mergeCell ref="K214:L214"/>
    <mergeCell ref="N214:O214"/>
    <mergeCell ref="H215:I215"/>
    <mergeCell ref="K215:L215"/>
    <mergeCell ref="N215:O215"/>
    <mergeCell ref="E216:G218"/>
    <mergeCell ref="M216:O218"/>
    <mergeCell ref="P216:P218"/>
    <mergeCell ref="Q214:R214"/>
    <mergeCell ref="Q215:R215"/>
    <mergeCell ref="Q211:Q213"/>
    <mergeCell ref="R211:R213"/>
    <mergeCell ref="S211:S213"/>
    <mergeCell ref="T211:U213"/>
    <mergeCell ref="A211:A213"/>
    <mergeCell ref="B211:D211"/>
    <mergeCell ref="H211:H213"/>
    <mergeCell ref="I211:I213"/>
    <mergeCell ref="J211:L213"/>
    <mergeCell ref="A209:D209"/>
    <mergeCell ref="E209:F209"/>
    <mergeCell ref="S209:U209"/>
    <mergeCell ref="A210:D210"/>
    <mergeCell ref="E210:F210"/>
    <mergeCell ref="S210:U210"/>
    <mergeCell ref="H209:I209"/>
    <mergeCell ref="K209:L209"/>
    <mergeCell ref="N209:O209"/>
    <mergeCell ref="H210:I210"/>
    <mergeCell ref="K210:L210"/>
    <mergeCell ref="N210:O210"/>
    <mergeCell ref="E211:G213"/>
    <mergeCell ref="M211:O213"/>
    <mergeCell ref="P211:P213"/>
    <mergeCell ref="Q209:R209"/>
    <mergeCell ref="Q210:R210"/>
    <mergeCell ref="Q206:Q208"/>
    <mergeCell ref="R206:R208"/>
    <mergeCell ref="S206:S208"/>
    <mergeCell ref="T206:U208"/>
    <mergeCell ref="A206:A208"/>
    <mergeCell ref="B206:D206"/>
    <mergeCell ref="H206:H208"/>
    <mergeCell ref="I206:I208"/>
    <mergeCell ref="J206:L208"/>
    <mergeCell ref="A204:D204"/>
    <mergeCell ref="E204:F204"/>
    <mergeCell ref="S204:U204"/>
    <mergeCell ref="A205:D205"/>
    <mergeCell ref="E205:F205"/>
    <mergeCell ref="S205:U205"/>
    <mergeCell ref="H204:I204"/>
    <mergeCell ref="K204:L204"/>
    <mergeCell ref="N204:O204"/>
    <mergeCell ref="H205:I205"/>
    <mergeCell ref="K205:L205"/>
    <mergeCell ref="N205:O205"/>
    <mergeCell ref="E206:G208"/>
    <mergeCell ref="M206:O208"/>
    <mergeCell ref="P206:P208"/>
    <mergeCell ref="Q204:R204"/>
    <mergeCell ref="Q205:R205"/>
    <mergeCell ref="Q201:Q203"/>
    <mergeCell ref="R201:R203"/>
    <mergeCell ref="S201:S203"/>
    <mergeCell ref="T201:U203"/>
    <mergeCell ref="A201:A203"/>
    <mergeCell ref="B201:D201"/>
    <mergeCell ref="H201:H203"/>
    <mergeCell ref="I201:I203"/>
    <mergeCell ref="J201:L203"/>
    <mergeCell ref="A199:D199"/>
    <mergeCell ref="E199:F199"/>
    <mergeCell ref="S199:U199"/>
    <mergeCell ref="A200:D200"/>
    <mergeCell ref="E200:F200"/>
    <mergeCell ref="S200:U200"/>
    <mergeCell ref="H199:I199"/>
    <mergeCell ref="K199:L199"/>
    <mergeCell ref="N199:O199"/>
    <mergeCell ref="H200:I200"/>
    <mergeCell ref="K200:L200"/>
    <mergeCell ref="N200:O200"/>
    <mergeCell ref="E201:G203"/>
    <mergeCell ref="M201:O203"/>
    <mergeCell ref="P201:P203"/>
    <mergeCell ref="Q199:R199"/>
    <mergeCell ref="Q200:R200"/>
    <mergeCell ref="Q196:Q198"/>
    <mergeCell ref="R196:R198"/>
    <mergeCell ref="S196:S198"/>
    <mergeCell ref="T196:U198"/>
    <mergeCell ref="A196:A198"/>
    <mergeCell ref="B196:D196"/>
    <mergeCell ref="H196:H198"/>
    <mergeCell ref="I196:I198"/>
    <mergeCell ref="J196:L198"/>
    <mergeCell ref="A194:D194"/>
    <mergeCell ref="E194:F194"/>
    <mergeCell ref="S194:U194"/>
    <mergeCell ref="A195:D195"/>
    <mergeCell ref="E195:F195"/>
    <mergeCell ref="S195:U195"/>
    <mergeCell ref="H194:I194"/>
    <mergeCell ref="K194:L194"/>
    <mergeCell ref="N194:O194"/>
    <mergeCell ref="H195:I195"/>
    <mergeCell ref="K195:L195"/>
    <mergeCell ref="N195:O195"/>
    <mergeCell ref="E196:G198"/>
    <mergeCell ref="M196:O198"/>
    <mergeCell ref="P196:P198"/>
    <mergeCell ref="Q194:R194"/>
    <mergeCell ref="Q195:R195"/>
    <mergeCell ref="Q191:Q193"/>
    <mergeCell ref="R191:R193"/>
    <mergeCell ref="S191:S193"/>
    <mergeCell ref="T191:U193"/>
    <mergeCell ref="A191:A193"/>
    <mergeCell ref="B191:D191"/>
    <mergeCell ref="H191:H193"/>
    <mergeCell ref="I191:I193"/>
    <mergeCell ref="J191:L193"/>
    <mergeCell ref="A189:D189"/>
    <mergeCell ref="E189:F189"/>
    <mergeCell ref="S189:U189"/>
    <mergeCell ref="A190:D190"/>
    <mergeCell ref="E190:F190"/>
    <mergeCell ref="S190:U190"/>
    <mergeCell ref="H189:I189"/>
    <mergeCell ref="K189:L189"/>
    <mergeCell ref="N189:O189"/>
    <mergeCell ref="H190:I190"/>
    <mergeCell ref="K190:L190"/>
    <mergeCell ref="N190:O190"/>
    <mergeCell ref="E191:G193"/>
    <mergeCell ref="M191:O193"/>
    <mergeCell ref="P191:P193"/>
    <mergeCell ref="Q189:R189"/>
    <mergeCell ref="Q190:R190"/>
    <mergeCell ref="Q186:Q188"/>
    <mergeCell ref="R186:R188"/>
    <mergeCell ref="S186:S188"/>
    <mergeCell ref="T186:U188"/>
    <mergeCell ref="A186:A188"/>
    <mergeCell ref="B186:D186"/>
    <mergeCell ref="H186:H188"/>
    <mergeCell ref="I186:I188"/>
    <mergeCell ref="J186:L188"/>
    <mergeCell ref="A184:D184"/>
    <mergeCell ref="E184:F184"/>
    <mergeCell ref="S184:U184"/>
    <mergeCell ref="A185:D185"/>
    <mergeCell ref="E185:F185"/>
    <mergeCell ref="S185:U185"/>
    <mergeCell ref="H184:I184"/>
    <mergeCell ref="K184:L184"/>
    <mergeCell ref="N184:O184"/>
    <mergeCell ref="H185:I185"/>
    <mergeCell ref="K185:L185"/>
    <mergeCell ref="N185:O185"/>
    <mergeCell ref="E186:G188"/>
    <mergeCell ref="M186:O188"/>
    <mergeCell ref="P186:P188"/>
    <mergeCell ref="Q184:R184"/>
    <mergeCell ref="Q185:R185"/>
    <mergeCell ref="Q181:Q183"/>
    <mergeCell ref="R181:R183"/>
    <mergeCell ref="S181:S183"/>
    <mergeCell ref="T181:U183"/>
    <mergeCell ref="A181:A183"/>
    <mergeCell ref="B181:D181"/>
    <mergeCell ref="H181:H183"/>
    <mergeCell ref="I181:I183"/>
    <mergeCell ref="J181:L183"/>
    <mergeCell ref="A179:D179"/>
    <mergeCell ref="E179:F179"/>
    <mergeCell ref="S179:U179"/>
    <mergeCell ref="A180:D180"/>
    <mergeCell ref="E180:F180"/>
    <mergeCell ref="S180:U180"/>
    <mergeCell ref="H179:I179"/>
    <mergeCell ref="K179:L179"/>
    <mergeCell ref="N179:O179"/>
    <mergeCell ref="H180:I180"/>
    <mergeCell ref="K180:L180"/>
    <mergeCell ref="N180:O180"/>
    <mergeCell ref="E181:G183"/>
    <mergeCell ref="M181:O183"/>
    <mergeCell ref="P181:P183"/>
    <mergeCell ref="Q179:R179"/>
    <mergeCell ref="Q180:R180"/>
    <mergeCell ref="Q176:Q178"/>
    <mergeCell ref="R176:R178"/>
    <mergeCell ref="S176:S178"/>
    <mergeCell ref="T176:U178"/>
    <mergeCell ref="A176:A178"/>
    <mergeCell ref="B176:D176"/>
    <mergeCell ref="H176:H178"/>
    <mergeCell ref="I176:I178"/>
    <mergeCell ref="J176:L178"/>
    <mergeCell ref="A174:D174"/>
    <mergeCell ref="E174:F174"/>
    <mergeCell ref="S174:U174"/>
    <mergeCell ref="A175:D175"/>
    <mergeCell ref="E175:F175"/>
    <mergeCell ref="S175:U175"/>
    <mergeCell ref="H174:I174"/>
    <mergeCell ref="K174:L174"/>
    <mergeCell ref="N174:O174"/>
    <mergeCell ref="H175:I175"/>
    <mergeCell ref="K175:L175"/>
    <mergeCell ref="N175:O175"/>
    <mergeCell ref="E176:G178"/>
    <mergeCell ref="M176:O178"/>
    <mergeCell ref="P176:P178"/>
    <mergeCell ref="Q174:R174"/>
    <mergeCell ref="Q175:R175"/>
    <mergeCell ref="Q171:Q173"/>
    <mergeCell ref="R171:R173"/>
    <mergeCell ref="S171:S173"/>
    <mergeCell ref="T171:U173"/>
    <mergeCell ref="A171:A173"/>
    <mergeCell ref="B171:D171"/>
    <mergeCell ref="H171:H173"/>
    <mergeCell ref="I171:I173"/>
    <mergeCell ref="J171:L173"/>
    <mergeCell ref="A169:D169"/>
    <mergeCell ref="E169:F169"/>
    <mergeCell ref="S169:U169"/>
    <mergeCell ref="A170:D170"/>
    <mergeCell ref="E170:F170"/>
    <mergeCell ref="S170:U170"/>
    <mergeCell ref="H169:I169"/>
    <mergeCell ref="K169:L169"/>
    <mergeCell ref="N169:O169"/>
    <mergeCell ref="H170:I170"/>
    <mergeCell ref="K170:L170"/>
    <mergeCell ref="N170:O170"/>
    <mergeCell ref="E171:G173"/>
    <mergeCell ref="M171:O173"/>
    <mergeCell ref="P171:P173"/>
    <mergeCell ref="Q169:R169"/>
    <mergeCell ref="Q170:R170"/>
    <mergeCell ref="Q166:Q168"/>
    <mergeCell ref="R166:R168"/>
    <mergeCell ref="S166:S168"/>
    <mergeCell ref="T166:U168"/>
    <mergeCell ref="A166:A168"/>
    <mergeCell ref="B166:D166"/>
    <mergeCell ref="H166:H168"/>
    <mergeCell ref="I166:I168"/>
    <mergeCell ref="J166:L168"/>
    <mergeCell ref="A164:D164"/>
    <mergeCell ref="E164:F164"/>
    <mergeCell ref="S164:U164"/>
    <mergeCell ref="A165:D165"/>
    <mergeCell ref="E165:F165"/>
    <mergeCell ref="S165:U165"/>
    <mergeCell ref="H164:I164"/>
    <mergeCell ref="K164:L164"/>
    <mergeCell ref="N164:O164"/>
    <mergeCell ref="H165:I165"/>
    <mergeCell ref="K165:L165"/>
    <mergeCell ref="N165:O165"/>
    <mergeCell ref="E166:G168"/>
    <mergeCell ref="M166:O168"/>
    <mergeCell ref="P166:P168"/>
    <mergeCell ref="Q164:R164"/>
    <mergeCell ref="Q165:R165"/>
    <mergeCell ref="Q161:Q163"/>
    <mergeCell ref="R161:R163"/>
    <mergeCell ref="S161:S163"/>
    <mergeCell ref="T161:U163"/>
    <mergeCell ref="A161:A163"/>
    <mergeCell ref="B161:D161"/>
    <mergeCell ref="H161:H163"/>
    <mergeCell ref="I161:I163"/>
    <mergeCell ref="J161:L163"/>
    <mergeCell ref="A159:D159"/>
    <mergeCell ref="E159:F159"/>
    <mergeCell ref="S159:U159"/>
    <mergeCell ref="A160:D160"/>
    <mergeCell ref="E160:F160"/>
    <mergeCell ref="S160:U160"/>
    <mergeCell ref="H159:I159"/>
    <mergeCell ref="K159:L159"/>
    <mergeCell ref="N159:O159"/>
    <mergeCell ref="H160:I160"/>
    <mergeCell ref="K160:L160"/>
    <mergeCell ref="N160:O160"/>
    <mergeCell ref="E161:G163"/>
    <mergeCell ref="M161:O163"/>
    <mergeCell ref="P161:P163"/>
    <mergeCell ref="Q159:R159"/>
    <mergeCell ref="Q160:R160"/>
    <mergeCell ref="Q156:Q158"/>
    <mergeCell ref="R156:R158"/>
    <mergeCell ref="S156:S158"/>
    <mergeCell ref="T156:U158"/>
    <mergeCell ref="A156:A158"/>
    <mergeCell ref="B156:D156"/>
    <mergeCell ref="H156:H158"/>
    <mergeCell ref="I156:I158"/>
    <mergeCell ref="J156:L158"/>
    <mergeCell ref="A154:D154"/>
    <mergeCell ref="E154:F154"/>
    <mergeCell ref="S154:U154"/>
    <mergeCell ref="A155:D155"/>
    <mergeCell ref="E155:F155"/>
    <mergeCell ref="S155:U155"/>
    <mergeCell ref="H154:I154"/>
    <mergeCell ref="K154:L154"/>
    <mergeCell ref="N154:O154"/>
    <mergeCell ref="H155:I155"/>
    <mergeCell ref="K155:L155"/>
    <mergeCell ref="N155:O155"/>
    <mergeCell ref="E156:G158"/>
    <mergeCell ref="M156:O158"/>
    <mergeCell ref="P156:P158"/>
    <mergeCell ref="Q154:R154"/>
    <mergeCell ref="Q155:R155"/>
    <mergeCell ref="Q151:Q153"/>
    <mergeCell ref="R151:R153"/>
    <mergeCell ref="S151:S153"/>
    <mergeCell ref="T151:U153"/>
    <mergeCell ref="A151:A153"/>
    <mergeCell ref="B151:D151"/>
    <mergeCell ref="H151:H153"/>
    <mergeCell ref="I151:I153"/>
    <mergeCell ref="J151:L153"/>
    <mergeCell ref="A149:D149"/>
    <mergeCell ref="E149:F149"/>
    <mergeCell ref="S149:U149"/>
    <mergeCell ref="A150:D150"/>
    <mergeCell ref="E150:F150"/>
    <mergeCell ref="S150:U150"/>
    <mergeCell ref="H149:I149"/>
    <mergeCell ref="K149:L149"/>
    <mergeCell ref="N149:O149"/>
    <mergeCell ref="H150:I150"/>
    <mergeCell ref="K150:L150"/>
    <mergeCell ref="N150:O150"/>
    <mergeCell ref="E151:G153"/>
    <mergeCell ref="M151:O153"/>
    <mergeCell ref="P151:P153"/>
    <mergeCell ref="Q149:R149"/>
    <mergeCell ref="Q150:R150"/>
    <mergeCell ref="Q146:Q148"/>
    <mergeCell ref="R146:R148"/>
    <mergeCell ref="S146:S148"/>
    <mergeCell ref="T146:U148"/>
    <mergeCell ref="A146:A148"/>
    <mergeCell ref="B146:D146"/>
    <mergeCell ref="H146:H148"/>
    <mergeCell ref="I146:I148"/>
    <mergeCell ref="J146:L148"/>
    <mergeCell ref="A144:D144"/>
    <mergeCell ref="E144:F144"/>
    <mergeCell ref="S144:U144"/>
    <mergeCell ref="A145:D145"/>
    <mergeCell ref="E145:F145"/>
    <mergeCell ref="S145:U145"/>
    <mergeCell ref="H144:I144"/>
    <mergeCell ref="K144:L144"/>
    <mergeCell ref="N144:O144"/>
    <mergeCell ref="H145:I145"/>
    <mergeCell ref="K145:L145"/>
    <mergeCell ref="N145:O145"/>
    <mergeCell ref="E146:G148"/>
    <mergeCell ref="M146:O148"/>
    <mergeCell ref="P146:P148"/>
    <mergeCell ref="Q144:R144"/>
    <mergeCell ref="Q145:R145"/>
    <mergeCell ref="Q141:Q143"/>
    <mergeCell ref="R141:R143"/>
    <mergeCell ref="S141:S143"/>
    <mergeCell ref="T141:U143"/>
    <mergeCell ref="A141:A143"/>
    <mergeCell ref="B141:D141"/>
    <mergeCell ref="H141:H143"/>
    <mergeCell ref="I141:I143"/>
    <mergeCell ref="J141:L143"/>
    <mergeCell ref="A139:D139"/>
    <mergeCell ref="E139:F139"/>
    <mergeCell ref="S139:U139"/>
    <mergeCell ref="A140:D140"/>
    <mergeCell ref="E140:F140"/>
    <mergeCell ref="S140:U140"/>
    <mergeCell ref="H139:I139"/>
    <mergeCell ref="K139:L139"/>
    <mergeCell ref="N139:O139"/>
    <mergeCell ref="H140:I140"/>
    <mergeCell ref="K140:L140"/>
    <mergeCell ref="N140:O140"/>
    <mergeCell ref="E141:G143"/>
    <mergeCell ref="M141:O143"/>
    <mergeCell ref="P141:P143"/>
    <mergeCell ref="Q139:R139"/>
    <mergeCell ref="Q140:R140"/>
    <mergeCell ref="Q136:Q138"/>
    <mergeCell ref="R136:R138"/>
    <mergeCell ref="S136:S138"/>
    <mergeCell ref="T136:U138"/>
    <mergeCell ref="A136:A138"/>
    <mergeCell ref="B136:D136"/>
    <mergeCell ref="H136:H138"/>
    <mergeCell ref="I136:I138"/>
    <mergeCell ref="J136:L138"/>
    <mergeCell ref="A134:D134"/>
    <mergeCell ref="E134:F134"/>
    <mergeCell ref="S134:U134"/>
    <mergeCell ref="A135:D135"/>
    <mergeCell ref="E135:F135"/>
    <mergeCell ref="S135:U135"/>
    <mergeCell ref="H134:I134"/>
    <mergeCell ref="K134:L134"/>
    <mergeCell ref="N134:O134"/>
    <mergeCell ref="H135:I135"/>
    <mergeCell ref="K135:L135"/>
    <mergeCell ref="N135:O135"/>
    <mergeCell ref="E136:G138"/>
    <mergeCell ref="M136:O138"/>
    <mergeCell ref="P136:P138"/>
    <mergeCell ref="Q134:R134"/>
    <mergeCell ref="Q135:R135"/>
    <mergeCell ref="Q131:Q133"/>
    <mergeCell ref="R131:R133"/>
    <mergeCell ref="S131:S133"/>
    <mergeCell ref="T131:U133"/>
    <mergeCell ref="A131:A133"/>
    <mergeCell ref="B131:D131"/>
    <mergeCell ref="H131:H133"/>
    <mergeCell ref="I131:I133"/>
    <mergeCell ref="J131:L133"/>
    <mergeCell ref="A129:D129"/>
    <mergeCell ref="E129:F129"/>
    <mergeCell ref="S129:U129"/>
    <mergeCell ref="A130:D130"/>
    <mergeCell ref="E130:F130"/>
    <mergeCell ref="S130:U130"/>
    <mergeCell ref="H129:I129"/>
    <mergeCell ref="K129:L129"/>
    <mergeCell ref="N129:O129"/>
    <mergeCell ref="H130:I130"/>
    <mergeCell ref="K130:L130"/>
    <mergeCell ref="N130:O130"/>
    <mergeCell ref="E131:G133"/>
    <mergeCell ref="M131:O133"/>
    <mergeCell ref="P131:P133"/>
    <mergeCell ref="Q129:R129"/>
    <mergeCell ref="Q130:R130"/>
    <mergeCell ref="Q126:Q128"/>
    <mergeCell ref="R126:R128"/>
    <mergeCell ref="S126:S128"/>
    <mergeCell ref="T126:U128"/>
    <mergeCell ref="A126:A128"/>
    <mergeCell ref="B126:D126"/>
    <mergeCell ref="H126:H128"/>
    <mergeCell ref="I126:I128"/>
    <mergeCell ref="J126:L128"/>
    <mergeCell ref="A124:D124"/>
    <mergeCell ref="E124:F124"/>
    <mergeCell ref="S124:U124"/>
    <mergeCell ref="A125:D125"/>
    <mergeCell ref="E125:F125"/>
    <mergeCell ref="S125:U125"/>
    <mergeCell ref="H124:I124"/>
    <mergeCell ref="K124:L124"/>
    <mergeCell ref="N124:O124"/>
    <mergeCell ref="H125:I125"/>
    <mergeCell ref="K125:L125"/>
    <mergeCell ref="N125:O125"/>
    <mergeCell ref="E126:G128"/>
    <mergeCell ref="M126:O128"/>
    <mergeCell ref="P126:P128"/>
    <mergeCell ref="Q124:R124"/>
    <mergeCell ref="Q125:R125"/>
    <mergeCell ref="Q121:Q123"/>
    <mergeCell ref="R121:R123"/>
    <mergeCell ref="S121:S123"/>
    <mergeCell ref="T121:U123"/>
    <mergeCell ref="A121:A123"/>
    <mergeCell ref="B121:D121"/>
    <mergeCell ref="H121:H123"/>
    <mergeCell ref="I121:I123"/>
    <mergeCell ref="J121:L123"/>
    <mergeCell ref="A119:D119"/>
    <mergeCell ref="E119:F119"/>
    <mergeCell ref="S119:U119"/>
    <mergeCell ref="A120:D120"/>
    <mergeCell ref="E120:F120"/>
    <mergeCell ref="S120:U120"/>
    <mergeCell ref="H119:I119"/>
    <mergeCell ref="K119:L119"/>
    <mergeCell ref="N119:O119"/>
    <mergeCell ref="H120:I120"/>
    <mergeCell ref="K120:L120"/>
    <mergeCell ref="N120:O120"/>
    <mergeCell ref="E121:G123"/>
    <mergeCell ref="M121:O123"/>
    <mergeCell ref="P121:P123"/>
    <mergeCell ref="Q119:R119"/>
    <mergeCell ref="Q120:R120"/>
    <mergeCell ref="Q116:Q118"/>
    <mergeCell ref="R116:R118"/>
    <mergeCell ref="S116:S118"/>
    <mergeCell ref="T116:U118"/>
    <mergeCell ref="A116:A118"/>
    <mergeCell ref="B116:D116"/>
    <mergeCell ref="H116:H118"/>
    <mergeCell ref="I116:I118"/>
    <mergeCell ref="J116:L118"/>
    <mergeCell ref="A114:D114"/>
    <mergeCell ref="E114:F114"/>
    <mergeCell ref="S114:U114"/>
    <mergeCell ref="A115:D115"/>
    <mergeCell ref="E115:F115"/>
    <mergeCell ref="S115:U115"/>
    <mergeCell ref="H114:I114"/>
    <mergeCell ref="K114:L114"/>
    <mergeCell ref="N114:O114"/>
    <mergeCell ref="H115:I115"/>
    <mergeCell ref="K115:L115"/>
    <mergeCell ref="N115:O115"/>
    <mergeCell ref="E116:G118"/>
    <mergeCell ref="M116:O118"/>
    <mergeCell ref="P116:P118"/>
    <mergeCell ref="Q114:R114"/>
    <mergeCell ref="Q115:R115"/>
    <mergeCell ref="Q111:Q113"/>
    <mergeCell ref="R111:R113"/>
    <mergeCell ref="S111:S113"/>
    <mergeCell ref="T111:U113"/>
    <mergeCell ref="A111:A113"/>
    <mergeCell ref="B111:D111"/>
    <mergeCell ref="H111:H113"/>
    <mergeCell ref="I111:I113"/>
    <mergeCell ref="J111:L113"/>
    <mergeCell ref="A109:D109"/>
    <mergeCell ref="E109:F109"/>
    <mergeCell ref="S109:U109"/>
    <mergeCell ref="A110:D110"/>
    <mergeCell ref="E110:F110"/>
    <mergeCell ref="S110:U110"/>
    <mergeCell ref="H109:I109"/>
    <mergeCell ref="K109:L109"/>
    <mergeCell ref="N109:O109"/>
    <mergeCell ref="H110:I110"/>
    <mergeCell ref="K110:L110"/>
    <mergeCell ref="N110:O110"/>
    <mergeCell ref="E111:G113"/>
    <mergeCell ref="M111:O113"/>
    <mergeCell ref="P111:P113"/>
    <mergeCell ref="Q109:R109"/>
    <mergeCell ref="Q110:R110"/>
    <mergeCell ref="Q106:Q108"/>
    <mergeCell ref="R106:R108"/>
    <mergeCell ref="S106:S108"/>
    <mergeCell ref="T106:U108"/>
    <mergeCell ref="A106:A108"/>
    <mergeCell ref="B106:D106"/>
    <mergeCell ref="H106:H108"/>
    <mergeCell ref="I106:I108"/>
    <mergeCell ref="J106:L108"/>
    <mergeCell ref="A104:D104"/>
    <mergeCell ref="E104:F104"/>
    <mergeCell ref="S104:U104"/>
    <mergeCell ref="A105:D105"/>
    <mergeCell ref="E105:F105"/>
    <mergeCell ref="S105:U105"/>
    <mergeCell ref="H104:I104"/>
    <mergeCell ref="K104:L104"/>
    <mergeCell ref="N104:O104"/>
    <mergeCell ref="H105:I105"/>
    <mergeCell ref="K105:L105"/>
    <mergeCell ref="N105:O105"/>
    <mergeCell ref="E106:G108"/>
    <mergeCell ref="M106:O108"/>
    <mergeCell ref="P106:P108"/>
    <mergeCell ref="Q104:R104"/>
    <mergeCell ref="Q105:R105"/>
    <mergeCell ref="Q101:Q103"/>
    <mergeCell ref="R101:R103"/>
    <mergeCell ref="S101:S103"/>
    <mergeCell ref="T101:U103"/>
    <mergeCell ref="A101:A103"/>
    <mergeCell ref="B101:D101"/>
    <mergeCell ref="H101:H103"/>
    <mergeCell ref="I101:I103"/>
    <mergeCell ref="J101:L103"/>
    <mergeCell ref="A99:D99"/>
    <mergeCell ref="E99:F99"/>
    <mergeCell ref="S99:U99"/>
    <mergeCell ref="A100:D100"/>
    <mergeCell ref="E100:F100"/>
    <mergeCell ref="S100:U100"/>
    <mergeCell ref="H99:I99"/>
    <mergeCell ref="K99:L99"/>
    <mergeCell ref="N99:O99"/>
    <mergeCell ref="H100:I100"/>
    <mergeCell ref="K100:L100"/>
    <mergeCell ref="N100:O100"/>
    <mergeCell ref="E101:G103"/>
    <mergeCell ref="M101:O103"/>
    <mergeCell ref="P101:P103"/>
    <mergeCell ref="Q99:R99"/>
    <mergeCell ref="Q100:R100"/>
    <mergeCell ref="Q96:Q98"/>
    <mergeCell ref="R96:R98"/>
    <mergeCell ref="S96:S98"/>
    <mergeCell ref="T96:U98"/>
    <mergeCell ref="A96:A98"/>
    <mergeCell ref="B96:D96"/>
    <mergeCell ref="H96:H98"/>
    <mergeCell ref="I96:I98"/>
    <mergeCell ref="J96:L98"/>
    <mergeCell ref="A94:D94"/>
    <mergeCell ref="E94:F94"/>
    <mergeCell ref="S94:U94"/>
    <mergeCell ref="A95:D95"/>
    <mergeCell ref="E95:F95"/>
    <mergeCell ref="S95:U95"/>
    <mergeCell ref="H94:I94"/>
    <mergeCell ref="K94:L94"/>
    <mergeCell ref="N94:O94"/>
    <mergeCell ref="H95:I95"/>
    <mergeCell ref="K95:L95"/>
    <mergeCell ref="N95:O95"/>
    <mergeCell ref="E96:G98"/>
    <mergeCell ref="M96:O98"/>
    <mergeCell ref="P96:P98"/>
    <mergeCell ref="Q94:R94"/>
    <mergeCell ref="Q95:R95"/>
    <mergeCell ref="Q91:Q93"/>
    <mergeCell ref="R91:R93"/>
    <mergeCell ref="S91:S93"/>
    <mergeCell ref="T91:U93"/>
    <mergeCell ref="A91:A93"/>
    <mergeCell ref="B91:D91"/>
    <mergeCell ref="H91:H93"/>
    <mergeCell ref="I91:I93"/>
    <mergeCell ref="J91:L93"/>
    <mergeCell ref="A89:D89"/>
    <mergeCell ref="E89:F89"/>
    <mergeCell ref="S89:U89"/>
    <mergeCell ref="A90:D90"/>
    <mergeCell ref="E90:F90"/>
    <mergeCell ref="S90:U90"/>
    <mergeCell ref="H89:I89"/>
    <mergeCell ref="K89:L89"/>
    <mergeCell ref="N89:O89"/>
    <mergeCell ref="H90:I90"/>
    <mergeCell ref="K90:L90"/>
    <mergeCell ref="N90:O90"/>
    <mergeCell ref="E91:G93"/>
    <mergeCell ref="M91:O93"/>
    <mergeCell ref="P91:P93"/>
    <mergeCell ref="Q89:R89"/>
    <mergeCell ref="Q90:R90"/>
    <mergeCell ref="Q86:Q88"/>
    <mergeCell ref="R86:R88"/>
    <mergeCell ref="S86:S88"/>
    <mergeCell ref="T86:U88"/>
    <mergeCell ref="A86:A88"/>
    <mergeCell ref="B86:D86"/>
    <mergeCell ref="H86:H88"/>
    <mergeCell ref="I86:I88"/>
    <mergeCell ref="J86:L88"/>
    <mergeCell ref="A84:D84"/>
    <mergeCell ref="E84:F84"/>
    <mergeCell ref="S84:U84"/>
    <mergeCell ref="A85:D85"/>
    <mergeCell ref="E85:F85"/>
    <mergeCell ref="S85:U85"/>
    <mergeCell ref="H84:I84"/>
    <mergeCell ref="K84:L84"/>
    <mergeCell ref="N84:O84"/>
    <mergeCell ref="H85:I85"/>
    <mergeCell ref="K85:L85"/>
    <mergeCell ref="N85:O85"/>
    <mergeCell ref="E86:G88"/>
    <mergeCell ref="M86:O88"/>
    <mergeCell ref="P86:P88"/>
    <mergeCell ref="Q84:R84"/>
    <mergeCell ref="Q85:R85"/>
    <mergeCell ref="Q81:Q83"/>
    <mergeCell ref="R81:R83"/>
    <mergeCell ref="S81:S83"/>
    <mergeCell ref="T81:U83"/>
    <mergeCell ref="A81:A83"/>
    <mergeCell ref="B81:D81"/>
    <mergeCell ref="H81:H83"/>
    <mergeCell ref="I81:I83"/>
    <mergeCell ref="J81:L83"/>
    <mergeCell ref="A79:D79"/>
    <mergeCell ref="E79:F79"/>
    <mergeCell ref="S79:U79"/>
    <mergeCell ref="A80:D80"/>
    <mergeCell ref="E80:F80"/>
    <mergeCell ref="S80:U80"/>
    <mergeCell ref="H79:I79"/>
    <mergeCell ref="K79:L79"/>
    <mergeCell ref="N79:O79"/>
    <mergeCell ref="H80:I80"/>
    <mergeCell ref="K80:L80"/>
    <mergeCell ref="N80:O80"/>
    <mergeCell ref="E81:G83"/>
    <mergeCell ref="M81:O83"/>
    <mergeCell ref="P81:P83"/>
    <mergeCell ref="Q79:R79"/>
    <mergeCell ref="Q80:R80"/>
    <mergeCell ref="Q76:Q78"/>
    <mergeCell ref="R76:R78"/>
    <mergeCell ref="S76:S78"/>
    <mergeCell ref="T76:U78"/>
    <mergeCell ref="A76:A78"/>
    <mergeCell ref="B76:D76"/>
    <mergeCell ref="H76:H78"/>
    <mergeCell ref="I76:I78"/>
    <mergeCell ref="J76:L78"/>
    <mergeCell ref="A74:D74"/>
    <mergeCell ref="E74:F74"/>
    <mergeCell ref="S74:U74"/>
    <mergeCell ref="A75:D75"/>
    <mergeCell ref="E75:F75"/>
    <mergeCell ref="S75:U75"/>
    <mergeCell ref="H74:I74"/>
    <mergeCell ref="K74:L74"/>
    <mergeCell ref="N74:O74"/>
    <mergeCell ref="H75:I75"/>
    <mergeCell ref="K75:L75"/>
    <mergeCell ref="N75:O75"/>
    <mergeCell ref="E76:G78"/>
    <mergeCell ref="M76:O78"/>
    <mergeCell ref="P76:P78"/>
    <mergeCell ref="Q74:R74"/>
    <mergeCell ref="Q75:R75"/>
    <mergeCell ref="Q71:Q73"/>
    <mergeCell ref="R71:R73"/>
    <mergeCell ref="S71:S73"/>
    <mergeCell ref="T71:U73"/>
    <mergeCell ref="A71:A73"/>
    <mergeCell ref="B71:D71"/>
    <mergeCell ref="H71:H73"/>
    <mergeCell ref="I71:I73"/>
    <mergeCell ref="J71:L73"/>
    <mergeCell ref="A69:D69"/>
    <mergeCell ref="E69:F69"/>
    <mergeCell ref="S69:U69"/>
    <mergeCell ref="A70:D70"/>
    <mergeCell ref="E70:F70"/>
    <mergeCell ref="S70:U70"/>
    <mergeCell ref="H69:I69"/>
    <mergeCell ref="K69:L69"/>
    <mergeCell ref="N69:O69"/>
    <mergeCell ref="H70:I70"/>
    <mergeCell ref="K70:L70"/>
    <mergeCell ref="N70:O70"/>
    <mergeCell ref="E71:G73"/>
    <mergeCell ref="M71:O73"/>
    <mergeCell ref="P71:P73"/>
    <mergeCell ref="Q69:R69"/>
    <mergeCell ref="Q70:R70"/>
    <mergeCell ref="Q66:Q68"/>
    <mergeCell ref="R66:R68"/>
    <mergeCell ref="S66:S68"/>
    <mergeCell ref="T66:U68"/>
    <mergeCell ref="A66:A68"/>
    <mergeCell ref="B66:D66"/>
    <mergeCell ref="H66:H68"/>
    <mergeCell ref="I66:I68"/>
    <mergeCell ref="J66:L68"/>
    <mergeCell ref="A64:D64"/>
    <mergeCell ref="E64:F64"/>
    <mergeCell ref="S64:U64"/>
    <mergeCell ref="A65:D65"/>
    <mergeCell ref="E65:F65"/>
    <mergeCell ref="S65:U65"/>
    <mergeCell ref="H64:I64"/>
    <mergeCell ref="K64:L64"/>
    <mergeCell ref="N64:O64"/>
    <mergeCell ref="H65:I65"/>
    <mergeCell ref="K65:L65"/>
    <mergeCell ref="N65:O65"/>
    <mergeCell ref="E66:G68"/>
    <mergeCell ref="M66:O68"/>
    <mergeCell ref="P66:P68"/>
    <mergeCell ref="Q64:R64"/>
    <mergeCell ref="Q65:R65"/>
    <mergeCell ref="Q61:Q63"/>
    <mergeCell ref="R61:R63"/>
    <mergeCell ref="S61:S63"/>
    <mergeCell ref="T61:U63"/>
    <mergeCell ref="A61:A63"/>
    <mergeCell ref="B61:D61"/>
    <mergeCell ref="H61:H63"/>
    <mergeCell ref="I61:I63"/>
    <mergeCell ref="J61:L63"/>
    <mergeCell ref="A59:D59"/>
    <mergeCell ref="E59:F59"/>
    <mergeCell ref="S59:U59"/>
    <mergeCell ref="A60:D60"/>
    <mergeCell ref="E60:F60"/>
    <mergeCell ref="S60:U60"/>
    <mergeCell ref="H59:I59"/>
    <mergeCell ref="K59:L59"/>
    <mergeCell ref="N59:O59"/>
    <mergeCell ref="H60:I60"/>
    <mergeCell ref="K60:L60"/>
    <mergeCell ref="N60:O60"/>
    <mergeCell ref="E61:G63"/>
    <mergeCell ref="M61:O63"/>
    <mergeCell ref="P61:P63"/>
    <mergeCell ref="Q59:R59"/>
    <mergeCell ref="Q60:R60"/>
    <mergeCell ref="S56:S58"/>
    <mergeCell ref="T56:U58"/>
    <mergeCell ref="A56:A58"/>
    <mergeCell ref="B56:D56"/>
    <mergeCell ref="H56:H58"/>
    <mergeCell ref="I56:I58"/>
    <mergeCell ref="J56:L58"/>
    <mergeCell ref="A54:D54"/>
    <mergeCell ref="E54:F54"/>
    <mergeCell ref="S54:U54"/>
    <mergeCell ref="A55:D55"/>
    <mergeCell ref="E55:F55"/>
    <mergeCell ref="S55:U55"/>
    <mergeCell ref="H54:I54"/>
    <mergeCell ref="K54:L54"/>
    <mergeCell ref="N54:O54"/>
    <mergeCell ref="H55:I55"/>
    <mergeCell ref="K55:L55"/>
    <mergeCell ref="N55:O55"/>
    <mergeCell ref="E56:G58"/>
    <mergeCell ref="M56:O58"/>
    <mergeCell ref="P56:P58"/>
    <mergeCell ref="Q54:R54"/>
    <mergeCell ref="Q55:R55"/>
    <mergeCell ref="Q56:Q58"/>
    <mergeCell ref="R56:R58"/>
    <mergeCell ref="S51:S53"/>
    <mergeCell ref="T51:U53"/>
    <mergeCell ref="A51:A53"/>
    <mergeCell ref="B51:D51"/>
    <mergeCell ref="H51:H53"/>
    <mergeCell ref="I51:I53"/>
    <mergeCell ref="J51:L53"/>
    <mergeCell ref="A49:D49"/>
    <mergeCell ref="E49:F49"/>
    <mergeCell ref="S49:U49"/>
    <mergeCell ref="A50:D50"/>
    <mergeCell ref="E50:F50"/>
    <mergeCell ref="S50:U50"/>
    <mergeCell ref="H49:I49"/>
    <mergeCell ref="K49:L49"/>
    <mergeCell ref="N49:O49"/>
    <mergeCell ref="H50:I50"/>
    <mergeCell ref="K50:L50"/>
    <mergeCell ref="N50:O50"/>
    <mergeCell ref="E51:G53"/>
    <mergeCell ref="M51:O53"/>
    <mergeCell ref="P51:P53"/>
    <mergeCell ref="Q49:R49"/>
    <mergeCell ref="Q50:R50"/>
    <mergeCell ref="Q51:Q53"/>
    <mergeCell ref="R51:R53"/>
    <mergeCell ref="S46:S48"/>
    <mergeCell ref="T46:U48"/>
    <mergeCell ref="A46:A48"/>
    <mergeCell ref="B46:D46"/>
    <mergeCell ref="H46:H48"/>
    <mergeCell ref="I46:I48"/>
    <mergeCell ref="J46:L48"/>
    <mergeCell ref="A44:D44"/>
    <mergeCell ref="E44:F44"/>
    <mergeCell ref="S44:U44"/>
    <mergeCell ref="A45:D45"/>
    <mergeCell ref="E45:F45"/>
    <mergeCell ref="S45:U45"/>
    <mergeCell ref="H44:I44"/>
    <mergeCell ref="K44:L44"/>
    <mergeCell ref="N44:O44"/>
    <mergeCell ref="H45:I45"/>
    <mergeCell ref="K45:L45"/>
    <mergeCell ref="N45:O45"/>
    <mergeCell ref="E46:G48"/>
    <mergeCell ref="M46:O48"/>
    <mergeCell ref="P46:P48"/>
    <mergeCell ref="Q44:R44"/>
    <mergeCell ref="Q45:R45"/>
    <mergeCell ref="Q46:Q48"/>
    <mergeCell ref="R46:R48"/>
    <mergeCell ref="S41:S43"/>
    <mergeCell ref="T41:U43"/>
    <mergeCell ref="A41:A43"/>
    <mergeCell ref="B41:D41"/>
    <mergeCell ref="H41:H43"/>
    <mergeCell ref="I41:I43"/>
    <mergeCell ref="J41:L43"/>
    <mergeCell ref="A39:D39"/>
    <mergeCell ref="E39:F39"/>
    <mergeCell ref="S39:U39"/>
    <mergeCell ref="A40:D40"/>
    <mergeCell ref="E40:F40"/>
    <mergeCell ref="S40:U40"/>
    <mergeCell ref="H39:I39"/>
    <mergeCell ref="K39:L39"/>
    <mergeCell ref="N39:O39"/>
    <mergeCell ref="H40:I40"/>
    <mergeCell ref="K40:L40"/>
    <mergeCell ref="N40:O40"/>
    <mergeCell ref="E41:G43"/>
    <mergeCell ref="M41:O43"/>
    <mergeCell ref="P41:P43"/>
    <mergeCell ref="Q39:R39"/>
    <mergeCell ref="Q40:R40"/>
    <mergeCell ref="Q41:Q43"/>
    <mergeCell ref="R41:R43"/>
    <mergeCell ref="S36:S38"/>
    <mergeCell ref="T36:U38"/>
    <mergeCell ref="A36:A38"/>
    <mergeCell ref="B36:D36"/>
    <mergeCell ref="H36:H38"/>
    <mergeCell ref="I36:I38"/>
    <mergeCell ref="J36:L38"/>
    <mergeCell ref="A34:D34"/>
    <mergeCell ref="E34:F34"/>
    <mergeCell ref="S34:U34"/>
    <mergeCell ref="A35:D35"/>
    <mergeCell ref="E35:F35"/>
    <mergeCell ref="S35:U35"/>
    <mergeCell ref="H34:I34"/>
    <mergeCell ref="K34:L34"/>
    <mergeCell ref="N34:O34"/>
    <mergeCell ref="H35:I35"/>
    <mergeCell ref="K35:L35"/>
    <mergeCell ref="N35:O35"/>
    <mergeCell ref="E36:G38"/>
    <mergeCell ref="M36:O38"/>
    <mergeCell ref="P36:P38"/>
    <mergeCell ref="Q34:R34"/>
    <mergeCell ref="Q35:R35"/>
    <mergeCell ref="Q36:Q38"/>
    <mergeCell ref="R36:R38"/>
    <mergeCell ref="S31:S33"/>
    <mergeCell ref="T31:U33"/>
    <mergeCell ref="A31:A33"/>
    <mergeCell ref="B31:D31"/>
    <mergeCell ref="H31:H33"/>
    <mergeCell ref="I31:I33"/>
    <mergeCell ref="J31:L33"/>
    <mergeCell ref="A29:D29"/>
    <mergeCell ref="E29:F29"/>
    <mergeCell ref="S29:U29"/>
    <mergeCell ref="A30:D30"/>
    <mergeCell ref="E30:F30"/>
    <mergeCell ref="S30:U30"/>
    <mergeCell ref="H29:I29"/>
    <mergeCell ref="K29:L29"/>
    <mergeCell ref="N29:O29"/>
    <mergeCell ref="H30:I30"/>
    <mergeCell ref="K30:L30"/>
    <mergeCell ref="N30:O30"/>
    <mergeCell ref="E31:G33"/>
    <mergeCell ref="M31:O33"/>
    <mergeCell ref="P31:P33"/>
    <mergeCell ref="Q29:R29"/>
    <mergeCell ref="Q30:R30"/>
    <mergeCell ref="Q31:Q33"/>
    <mergeCell ref="R31:R33"/>
    <mergeCell ref="S26:S28"/>
    <mergeCell ref="T26:U28"/>
    <mergeCell ref="A26:A28"/>
    <mergeCell ref="B26:D26"/>
    <mergeCell ref="H26:H28"/>
    <mergeCell ref="I26:I28"/>
    <mergeCell ref="J26:L28"/>
    <mergeCell ref="A24:D24"/>
    <mergeCell ref="E24:F24"/>
    <mergeCell ref="S24:U24"/>
    <mergeCell ref="A25:D25"/>
    <mergeCell ref="E25:F25"/>
    <mergeCell ref="S25:U25"/>
    <mergeCell ref="H24:I24"/>
    <mergeCell ref="K24:L24"/>
    <mergeCell ref="N24:O24"/>
    <mergeCell ref="H25:I25"/>
    <mergeCell ref="K25:L25"/>
    <mergeCell ref="N25:O25"/>
    <mergeCell ref="E26:G28"/>
    <mergeCell ref="M26:O28"/>
    <mergeCell ref="P26:P28"/>
    <mergeCell ref="Q24:R24"/>
    <mergeCell ref="Q25:R25"/>
    <mergeCell ref="Q26:Q28"/>
    <mergeCell ref="R26:R28"/>
    <mergeCell ref="R21:R23"/>
    <mergeCell ref="S21:S23"/>
    <mergeCell ref="T21:U23"/>
    <mergeCell ref="A21:A23"/>
    <mergeCell ref="B21:D21"/>
    <mergeCell ref="H21:H23"/>
    <mergeCell ref="I21:I23"/>
    <mergeCell ref="J21:L23"/>
    <mergeCell ref="R16:R18"/>
    <mergeCell ref="S16:S18"/>
    <mergeCell ref="T16:U18"/>
    <mergeCell ref="A19:D19"/>
    <mergeCell ref="E19:F19"/>
    <mergeCell ref="S19:U19"/>
    <mergeCell ref="A20:D20"/>
    <mergeCell ref="E20:F20"/>
    <mergeCell ref="S20:U20"/>
    <mergeCell ref="E21:G23"/>
    <mergeCell ref="M21:O23"/>
    <mergeCell ref="P21:P23"/>
    <mergeCell ref="E16:G18"/>
    <mergeCell ref="M16:O18"/>
    <mergeCell ref="P16:P18"/>
    <mergeCell ref="H19:I19"/>
    <mergeCell ref="K19:L19"/>
    <mergeCell ref="N19:O19"/>
    <mergeCell ref="H20:I20"/>
    <mergeCell ref="K20:L20"/>
    <mergeCell ref="N20:O20"/>
    <mergeCell ref="Q19:R19"/>
    <mergeCell ref="Q20:R20"/>
    <mergeCell ref="Q21:Q23"/>
    <mergeCell ref="S15:U15"/>
    <mergeCell ref="A16:A18"/>
    <mergeCell ref="B16:D16"/>
    <mergeCell ref="H16:H18"/>
    <mergeCell ref="I16:I18"/>
    <mergeCell ref="J16:L18"/>
    <mergeCell ref="Q16:Q18"/>
    <mergeCell ref="Q11:Q13"/>
    <mergeCell ref="R11:R13"/>
    <mergeCell ref="S11:S13"/>
    <mergeCell ref="T11:U13"/>
    <mergeCell ref="A14:D14"/>
    <mergeCell ref="E14:F14"/>
    <mergeCell ref="S14:U14"/>
    <mergeCell ref="A15:D15"/>
    <mergeCell ref="E15:F15"/>
    <mergeCell ref="A11:A13"/>
    <mergeCell ref="B11:D11"/>
    <mergeCell ref="H11:H13"/>
    <mergeCell ref="K14:L14"/>
    <mergeCell ref="N14:O14"/>
    <mergeCell ref="H15:I15"/>
    <mergeCell ref="K15:L15"/>
    <mergeCell ref="N15:O15"/>
    <mergeCell ref="Q14:R14"/>
    <mergeCell ref="Q15:R15"/>
    <mergeCell ref="B6:D6"/>
    <mergeCell ref="H6:H8"/>
    <mergeCell ref="I6:I8"/>
    <mergeCell ref="J6:L8"/>
    <mergeCell ref="I11:I13"/>
    <mergeCell ref="J11:L13"/>
    <mergeCell ref="E11:G13"/>
    <mergeCell ref="M11:O13"/>
    <mergeCell ref="P11:P13"/>
    <mergeCell ref="H14:I14"/>
    <mergeCell ref="Q6:Q8"/>
    <mergeCell ref="Q4:S4"/>
    <mergeCell ref="T4:U5"/>
    <mergeCell ref="A4:A5"/>
    <mergeCell ref="B4:D5"/>
    <mergeCell ref="H4:I4"/>
    <mergeCell ref="J4:L5"/>
    <mergeCell ref="S9:U9"/>
    <mergeCell ref="Q9:R9"/>
    <mergeCell ref="Q10:R10"/>
  </mergeCells>
  <conditionalFormatting sqref="P6 M6 J6 E6 B8:D8 B6">
    <cfRule type="containsBlanks" dxfId="110" priority="19">
      <formula>LEN(TRIM(B6))=0</formula>
    </cfRule>
  </conditionalFormatting>
  <conditionalFormatting sqref="B13:D13 B11">
    <cfRule type="containsBlanks" dxfId="109" priority="8">
      <formula>LEN(TRIM(B11))=0</formula>
    </cfRule>
  </conditionalFormatting>
  <conditionalFormatting sqref="B18:D18 B23:D23 B16 B21">
    <cfRule type="containsBlanks" dxfId="108" priority="7">
      <formula>LEN(TRIM(B16))=0</formula>
    </cfRule>
  </conditionalFormatting>
  <conditionalFormatting sqref="B28:D28 B33:D33 B26 B31">
    <cfRule type="containsBlanks" dxfId="107" priority="6">
      <formula>LEN(TRIM(B26))=0</formula>
    </cfRule>
  </conditionalFormatting>
  <conditionalFormatting sqref="P11 P16 M11 M16 J11 J16 E11 E16">
    <cfRule type="containsBlanks" dxfId="106" priority="5">
      <formula>LEN(TRIM(E11))=0</formula>
    </cfRule>
  </conditionalFormatting>
  <conditionalFormatting sqref="P21 P26 P36 P41 P46 P51 P56 P61 P66 P71 P76 P81 P86 P91 P96 P101 P106 P111 P116 P121 P126 P131 P136 P141 P146 P151 P156 P161 P166 P171 P176 P181 P186 P191 P196 P201 P206 P211 P216 P221 P226 P231 P236 P241 P246 P251 P256 P261 P266 P271 P276 P281 P286 P291 P296 P301 P306 P311 P316 P321 P326 P331 P336 P341 P346 P351 P356 P361 P366 P371 P376 P381 P386 P391 P396 P401 P406 P411 P416 P421 P426 P431 P436 P441 P446 P451 P456 P461 P466 P471 P476 P481 P486 P491 P496 P501 M21 M26 M36 M41 M46 M51 M56 M61 M66 M71 M76 M81 M86 M91 M96 M101 M106 M111 M116 M121 M126 M131 M136 M141 M146 M151 M156 M161 M166 M171 M176 M181 M186 M191 M196 M201 M206 M211 M216 M221 M226 M231 M236 M241 M246 M251 M256 M261 M266 M271 M276 M281 M286 M291 M296 M301 M306 M311 M316 M321 M326 M331 M336 M341 M346 M351 M356 M361 M366 M371 M376 M381 M386 M391 M396 M401 M406 M411 M416 M421 M426 M431 M436 M441 M446 M451 M456 M461 M466 M471 M476 M481 M486 M491 M496 M501 J21 J26 J36 J41 J46 J51 J56 J61 J66 J71 J76 J81 J86 J91 J96 J101 J106 J111 J116 J121 J126 J131 J136 J141 J146 J151 J156 J161 J166 J171 J176 J181 J186 J191 J196 J201 J206 J211 J216 J221 J226 J231 J236 J241 J246 J251 J256 J261 J266 J271 J276 J281 J286 J291 J296 J301 J306 J311 J316 J321 J326 J331 J336 J341 J346 J351 J356 J361 J366 J371 J376 J381 J386 J391 J396 J401 J406 J411 J416 J421 J426 J431 J436 J441 J446 J451 J456 J461 J466 J471 J476 J481 J486 J491 J496 J501 E21 E26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cfRule type="containsBlanks" dxfId="105" priority="4">
      <formula>LEN(TRIM(E21))=0</formula>
    </cfRule>
  </conditionalFormatting>
  <conditionalFormatting sqref="P31 M31 J31 E31">
    <cfRule type="containsBlanks" dxfId="104" priority="3">
      <formula>LEN(TRIM(E31))=0</formula>
    </cfRule>
  </conditionalFormatting>
  <conditionalFormatting sqref="B38:D38 B36">
    <cfRule type="containsBlanks" dxfId="103" priority="2">
      <formula>LEN(TRIM(B36))=0</formula>
    </cfRule>
  </conditionalFormatting>
  <conditionalFormatting sqref="B43:D43 B48:D48 B53:D53 B58:D58 B63:D63 B68:D68 B73:D73 B78:D78 B83:D83 B88:D88 B93:D93 B98:D98 B103:D103 B108:D108 B113:D113 B118:D118 B123:D123 B128:D128 B133:D133 B138:D138 B143:D143 B148:D148 B153:D153 B158:D158 B163:D163 B168:D168 B173:D173 B178:D178 B183:D183 B188:D188 B193:D193 B198:D198 B203:D203 B208:D208 B213:D213 B218:D218 B223:D223 B228:D228 B233:D233 B238:D238 B243:D243 B248:D248 B253:D253 B258:D258 B263:D263 B268:D268 B273:D273 B278:D278 B283:D283 B288:D288 B293:D293 B298:D298 B303:D303 B308:D308 B313:D313 B318:D318 B323:D323 B328:D328 B333:D333 B338:D338 B343:D343 B348:D348 B353:D353 B358:D358 B363:D363 B368:D368 B373:D373 B378:D378 B383:D383 B388:D388 B393:D393 B398:D398 B403:D403 B408:D408 B413:D413 B418:D418 B423:D423 B428:D428 B433:D433 B438:D438 B443:D443 B448:D448 B453:D453 B458:D458 B463:D463 B468:D468 B473:D473 B478:D478 B483:D483 B488:D488 B493:D493 B498:D498 B503:D503 B41 B46 B51 B56 B61 B66 B71 B76 B81 B86 B91 B96 B101 B106 B111 B116 B121 B126 B131 B136 B141 B146 B151 B156 B161 B166 B171 B176 B181 B186 B191 B196 B201 B206 B211 B216 B221 B226 B231 B236 B241 B246 B251 B256 B261 B266 B271 B276 B281 B286 B291 B296 B301 B306 B311 B316 B321 B326 B331 B336 B341 B346 B351 B356 B361 B366 B371 B376 B381 B386 B391 B396 B401 B406 B411 B416 B421 B426 B431 B436 B441 B446 B451 B456 B461 B466 B471 B476 B481 B486 B491 B496 B501">
    <cfRule type="containsBlanks" dxfId="102" priority="1">
      <formula>LEN(TRIM(B41))=0</formula>
    </cfRule>
  </conditionalFormatting>
  <dataValidations count="5">
    <dataValidation type="decimal" allowBlank="1" showInputMessage="1" showErrorMessage="1" errorTitle="خطا در ورود اطلاعات" error="لطفا یک عدد ما بین اعداد 0 و 1 انتخاب نمایید." promptTitle="توجه:" prompt="به مقاله علمی کامل ارائه شده در همایش 1 امتياز و خلاصه مقاله علمي در مجموعه مقالات همایش 0.5 امتياز تعلق مي گيرد" sqref="G9:G10 G14:G15 G19:G20 G24:G25 G29:G30 G34:G35 G39:G40 G44:G45 G49:G50 G54:G55 G59:G60 G64:G65 G69:G70 G74:G75 G79:G80 G84:G85 G89:G90 G94:G95 G99:G100 G104:G105 G109:G110 G114:G115 G119:G120 G124:G125 G129:G130 G134:G135 G139:G140 G144:G145 G149:G150 G154:G155 G159:G160 G164:G165 G169:G170 G174:G175 G179:G180 G184:G185 G189:G190 G194:G195 G199:G200 G204:G205 G209:G210 G214:G215 G219:G220 G224:G225 G229:G230 G234:G235 G239:G240 G244:G245 G249:G250 G254:G255 G259:G260 G264:G265 G269:G270 G274:G275 G279:G280 G284:G285 G289:G290 G294:G295 G299:G300 G304:G305 G309:G310 G314:G315 G319:G320 G324:G325 G329:G330 G334:G335 G339:G340 G344:G345 G349:G350 G354:G355 G359:G360 G364:G365 G369:G370 G374:G375 G379:G380 G384:G385 G389:G390 G394:G395 G399:G400 G404:G405 G409:G410 G414:G415 G419:G420 G424:G425 G429:G430 G434:G435 G439:G440 G444:G445 G449:G450 G454:G455 G459:G460 G464:G465 G469:G470 G474:G475 G479:G480 G484:G485 G489:G490 G494:G495 G499:G500 G504:G505">
      <formula1>0</formula1>
      <formula2>1</formula2>
    </dataValidation>
    <dataValidation type="whole" allowBlank="1" showInputMessage="1" showErrorMessage="1" errorTitle="خطا در ورود اطلاعات" error="لطفا يك عدد بين 1 تا 31 وارد نماييد" sqref="B8 B13 B18 B23 B28 B33 B38 B43 B48 B53 B58 B63 B68 B73 B78 B83 B88 B93 B98 B103 B108 B113 B118 B123 B128 B133 B138 B143 B148 B153 B158 B163 B168 B173 B178 B183 B188 B193 B198 B203 B208 B213 B218 B223 B228 B233 B238 B243 B248 B253 B258 B263 B268 B273 B278 B283 B288 B293 B298 B303 B308 B313 B318 B323 B328 B333 B338 B343 B348 B353 B358 B363 B368 B373 B378 B383 B388 B393 B398 B403 B408 B413 B418 B423 B428 B433 B438 B443 B448 B453 B458 B463 B468 B473 B478 B483 B488 B493 B498 B503">
      <formula1>0</formula1>
      <formula2>31</formula2>
    </dataValidation>
    <dataValidation type="whole" allowBlank="1" showInputMessage="1" showErrorMessage="1" errorTitle="خطا در ورود اطلاعات" error="لطفا يك عدد بين 1 تا 12 وارد نماييد" sqref="C8 C13 C18 C23 C28 C33 C38 C43 C48 C53 C58 C63 C68 C73 C78 C83 C88 C93 C98 C103 C108 C113 C118 C123 C128 C133 C138 C143 C148 C153 C158 C163 C168 C173 C178 C183 C188 C193 C198 C203 C208 C213 C218 C223 C228 C233 C238 C243 C248 C253 C258 C263 C268 C273 C278 C283 C288 C293 C298 C303 C308 C313 C318 C323 C328 C333 C338 C343 C348 C353 C358 C363 C368 C373 C378 C383 C388 C393 C398 C403 C408 C413 C418 C423 C428 C433 C438 C443 C448 C453 C458 C463 C468 C473 C478 C483 C488 C493 C498 C503">
      <formula1>0</formula1>
      <formula2>12</formula2>
    </dataValidation>
    <dataValidation type="whole" operator="greaterThan" allowBlank="1" showInputMessage="1" showErrorMessage="1" errorTitle="خطا در ورود اطلاعات" error="لطفا عدد وارد شده بالاتر از 1300 باشد" sqref="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formula1>1300</formula1>
    </dataValidation>
    <dataValidation type="list" allowBlank="1" showInputMessage="1" showErrorMessage="1" errorTitle="خطا در ورود اطلاعات" error="لطفا از موارد لیست شده انتخاب نمایید." sqref="B11:D11">
      <formula1>$I$13:$J$13</formula1>
    </dataValidation>
  </dataValidations>
  <pageMargins left="0" right="0.39370078740157499" top="0.78740157480314998" bottom="0" header="0" footer="0"/>
  <pageSetup paperSize="9" orientation="landscape" blackAndWhite="1" r:id="rId1"/>
  <extLst>
    <ext xmlns:x14="http://schemas.microsoft.com/office/spreadsheetml/2009/9/main" uri="{CCE6A557-97BC-4b89-ADB6-D9C93CAAB3DF}">
      <x14:dataValidations xmlns:xm="http://schemas.microsoft.com/office/excel/2006/main" count="5">
        <x14:dataValidation type="list" allowBlank="1" showInputMessage="1" showErrorMessage="1" errorTitle="خطا در ورود اطلاعات" error="لطفا از موارد لیست شده انتخاب نمایید.">
          <x14:formula1>
            <xm:f>'Data Base'!$I$13:$J$13</xm:f>
          </x14:formula1>
          <xm:sqref>B6:D6 B16:D16 B21:D21 B26:D26 B31:D31 B36:D36 B41:D41 B46:D46 B51:D51 B56:D56 B61:D61 B66:D66 B71:D71 B76:D76 B81:D81 B86:D86 B91:D91 B96:D96 B101:D101 B106:D106 B111:D111 B116:D116 B121:D121 B126:D126 B131:D131 B136:D136 B141:D141 B146:D146 B151:D151 B156:D156 B161:D161 B166:D166 B171:D171 B176:D176 B181:D181 B186:D186 B191:D191 B196:D196 B201:D201 B206:D206 B211:D211 B216:D216 B221:D221 B226:D226 B231:D231 B236:D236 B241:D241 B246:D246 B251:D251 B256:D256 B261:D261 B266:D266 B271:D271 B276:D276 B281:D281 B286:D286 B291:D291 B296:D296 B301:D301 B306:D306 B311:D311 B316:D316 B321:D321 B326:D326 B331:D331 B336:D336 B341:D341 B346:D346 B351:D351 B356:D356 B361:D361 B366:D366 B371:D371 B376:D376 B381:D381 B386:D386 B391:D391 B396:D396 B401:D401 B406:D406 B411:D411 B416:D416 B421:D421 B426:D426 B431:D431 B436:D436 B441:D441 B446:D446 B451:D451 B456:D456 B461:D461 B466:D466 B471:D471 B476:D476 B481:D481 B486:D486 B491:D491 B496:D496 B501:D501</xm:sqref>
        </x14:dataValidation>
        <x14:dataValidation type="list" allowBlank="1" showInputMessage="1" showErrorMessage="1" errorTitle="خطا در ورود اطلاعات" error="لطفا از موارد لیست شده انتخاب نمایید.">
          <x14:formula1>
            <xm:f>'Data Base'!$I$16:$J$16</xm:f>
          </x14:formula1>
          <xm:sqref>P6:P8 P11:P13 P16:P18 P21:P23 P26:P28 P31:P33 P36:P38 P41:P43 P46:P48 P51:P53 P56:P58 P61:P63 P66:P68 P71:P73 P76:P78 P81:P83 P86:P88 P91:P93 P96:P98 P101:P103 P106:P108 P111:P113 P116:P118 P121:P123 P126:P128 P131:P133 P136:P138 P141:P143 P146:P148 P151:P153 P156:P158 P161:P163 P166:P168 P171:P173 P176:P178 P181:P183 P186:P188 P191:P193 P196:P198 P201:P203 P206:P208 P211:P213 P216:P218 P221:P223 P226:P228 P231:P233 P236:P238 P241:P243 P246:P248 P251:P253 P256:P258 P261:P263 P266:P268 P271:P273 P276:P278 P281:P283 P286:P288 P291:P293 P296:P298 P301:P303 P306:P308 P311:P313 P316:P318 P321:P323 P326:P328 P331:P333 P336:P338 P341:P343 P346:P348 P351:P353 P356:P358 P361:P363 P366:P368 P371:P373 P376:P378 P381:P383 P386:P388 P391:P393 P396:P398 P401:P403 P406:P408 P411:P413 P416:P418 P421:P423 P426:P428 P431:P433 P436:P438 P441:P443 P446:P448 P451:P453 P456:P458 P461:P463 P466:P468 P471:P473 P476:P478 P481:P483 P486:P488 P491:P493 P496:P498 P501:P503</xm:sqref>
        </x14:dataValidation>
        <x14:dataValidation type="list" allowBlank="1" showInputMessage="1" showErrorMessage="1" errorTitle="خطا در ورود اطلاعات" error="لطفا از موارد داخل ليست انتخاب نماييد">
          <x14:formula1>
            <xm:f>'Data Base'!$M$3:$M$18</xm:f>
          </x14:formula1>
          <xm:sqref>P9:P10 P14:P15 P19:P20 P24:P25 P29:P30 P34:P35 P39:P40 P44:P45 P49:P50 P54:P55 P59:P60 P64:P65 P69:P70 P74:P75 P79:P80 P84:P85 P89:P90 P94:P95 P99:P100 P104:P105 P109:P110 P114:P115 P119:P120 P124:P125 P129:P130 P134:P135 P139:P140 P144:P145 P149:P150 P154:P155 P159:P160 P164:P165 P169:P170 P174:P175 P179:P180 P184:P185 P189:P190 P194:P195 P199:P200 P204:P205 P209:P210 P214:P215 P219:P220 P224:P225 P229:P230 P234:P235 P239:P240 P244:P245 P249:P250 P254:P255 P259:P260 P264:P265 P269:P270 P274:P275 P279:P280 P284:P285 P289:P290 P294:P295 P299:P300 P304:P305 P309:P310 P314:P315 P319:P320 P324:P325 P329:P330 P334:P335 P339:P340 P344:P345 P349:P350 P354:P355 P359:P360 P364:P365 P369:P370 P374:P375 P379:P380 P384:P385 P389:P390 P394:P395 P399:P400 P404:P405 P409:P410 P414:P415 P419:P420 P424:P425 P429:P430 P434:P435 P439:P440 P444:P445 P449:P450 P454:P455 P459:P460 P464:P465 P469:P470 P474:P475 P479:P480 P484:P485 P489:P490 P494:P495 P499:P500 P504:P505</xm:sqref>
        </x14:dataValidation>
        <x14:dataValidation type="list" allowBlank="1" showInputMessage="1" showErrorMessage="1" errorTitle="خطا در ورود اطلاعات" error="لطفا از موارد داخل ليست انتخاب نماييد">
          <x14:formula1>
            <xm:f>'Data Base'!$E$18:$E$19</xm:f>
          </x14:formula1>
          <xm:sqref>M9:M10 M14:M15 M19:M20 M24:M25 M29:M30 M34:M35 M39:M40 M44:M45 M49:M50 M54:M55 M59:M60 M64:M65 M69:M70 M74:M75 M79:M80 M84:M85 M89:M90 M94:M95 M99:M100 M104:M105 M109:M110 M114:M115 M119:M120 M124:M125 M129:M130 M134:M135 M139:M140 M144:M145 M149:M150 M154:M155 M159:M160 M164:M165 M169:M170 M174:M175 M179:M180 M184:M185 M189:M190 M194:M195 M199:M200 M204:M205 M209:M210 M214:M215 M219:M220 M224:M225 M229:M230 M234:M235 M239:M240 M244:M245 M249:M250 M254:M255 M259:M260 M264:M265 M269:M270 M274:M275 M279:M280 M284:M285 M289:M290 M294:M295 M299:M300 M304:M305 M309:M310 M314:M315 M319:M320 M324:M325 M329:M330 M334:M335 M339:M340 M344:M345 M349:M350 M354:M355 M359:M360 M364:M365 M369:M370 M374:M375 M379:M380 M384:M385 M389:M390 M394:M395 M399:M400 M404:M405 M409:M410 M414:M415 M419:M420 M424:M425 M429:M430 M434:M435 M439:M440 M444:M445 M449:M450 M454:M455 M459:M460 M464:M465 M469:M470 M474:M475 M479:M480 M484:M485 M489:M490 M494:M495 M499:M500 M504:M505</xm:sqref>
        </x14:dataValidation>
        <x14:dataValidation type="list" allowBlank="1" showInputMessage="1" showErrorMessage="1" errorTitle="خطا در ورود اطلاعات" error="لطفا از اعداد داخل ليست انتخاب نماييد">
          <x14:formula1>
            <xm:f>'Data Base'!$C$1:$C$10</xm:f>
          </x14:formula1>
          <xm:sqref>J9:J10 J14:J15 J19:J20 J24:J25 J29:J30 J34:J35 J39:J40 J44:J45 J49:J50 J54:J55 J59:J60 J64:J65 J69:J70 J74:J75 J79:J80 J84:J85 J89:J90 J94:J95 J99:J100 J104:J105 J109:J110 J114:J115 J119:J120 J124:J125 J129:J130 J134:J135 J139:J140 J144:J145 J149:J150 J154:J155 J159:J160 J164:J165 J169:J170 J174:J175 J179:J180 J184:J185 J189:J190 J194:J195 J199:J200 J204:J205 J209:J210 J214:J215 J219:J220 J224:J225 J229:J230 J234:J235 J239:J240 J244:J245 J249:J250 J254:J255 J259:J260 J264:J265 J269:J270 J274:J275 J279:J280 J284:J285 J289:J290 J294:J295 J299:J300 J304:J305 J309:J310 J314:J315 J319:J320 J324:J325 J329:J330 J334:J335 J339:J340 J344:J345 J349:J350 J354:J355 J359:J360 J364:J365 J369:J370 J374:J375 J379:J380 J384:J385 J389:J390 J394:J395 J399:J400 J404:J405 J409:J410 J414:J415 J419:J420 J424:J425 J429:J430 J434:J435 J439:J440 J444:J445 J449:J450 J454:J455 J459:J460 J464:J465 J469:J470 J474:J475 J479:J480 J484:J485 J489:J490 J494:J495 J499:J500 J504:J505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7" width="6.5703125" style="19" customWidth="1"/>
    <col min="8" max="8" width="6.140625" style="19" customWidth="1"/>
    <col min="9" max="9" width="13.140625" style="19" customWidth="1"/>
    <col min="10" max="11" width="6.140625" style="19" customWidth="1"/>
    <col min="12" max="12" width="7.140625" style="19" customWidth="1"/>
    <col min="13" max="13" width="6.140625" style="19" customWidth="1"/>
    <col min="14" max="15" width="6.5703125" style="19" customWidth="1"/>
    <col min="16" max="16" width="6.140625" style="19" customWidth="1"/>
    <col min="17" max="19" width="5.42578125" style="19" customWidth="1"/>
    <col min="20" max="20" width="8.85546875" style="19" customWidth="1"/>
    <col min="21" max="16384" width="9.140625" style="19"/>
  </cols>
  <sheetData>
    <row r="1" spans="1:79" ht="15" customHeight="1">
      <c r="A1" s="1466" t="s">
        <v>34</v>
      </c>
      <c r="B1" s="1467"/>
      <c r="C1" s="1494" t="s">
        <v>0</v>
      </c>
      <c r="D1" s="1486"/>
      <c r="E1" s="1486"/>
      <c r="F1" s="1486"/>
      <c r="G1" s="1486"/>
      <c r="H1" s="1486" t="s">
        <v>1</v>
      </c>
      <c r="I1" s="1486"/>
      <c r="J1" s="1486"/>
      <c r="K1" s="1486"/>
      <c r="L1" s="1491" t="s">
        <v>2</v>
      </c>
      <c r="M1" s="1491"/>
      <c r="N1" s="1491"/>
      <c r="O1" s="1491"/>
      <c r="P1" s="1486" t="s">
        <v>3</v>
      </c>
      <c r="Q1" s="1486"/>
      <c r="R1" s="1486"/>
      <c r="S1" s="1486"/>
      <c r="T1" s="1487"/>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row>
    <row r="2" spans="1:79"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88">
        <f>'فرم الف'!D9</f>
        <v>0</v>
      </c>
      <c r="Q2" s="1489"/>
      <c r="R2" s="1489"/>
      <c r="S2" s="1489"/>
      <c r="T2" s="1490"/>
      <c r="Y2" s="198"/>
      <c r="Z2" s="198"/>
      <c r="AA2" s="198"/>
      <c r="AB2" s="198"/>
      <c r="AC2" s="178"/>
      <c r="AD2" s="198"/>
      <c r="AE2" s="198"/>
      <c r="AF2" s="198"/>
      <c r="AG2" s="198"/>
      <c r="AH2" s="198"/>
      <c r="AI2" s="198"/>
      <c r="AJ2" s="198"/>
      <c r="AK2" s="198"/>
      <c r="AL2" s="198"/>
      <c r="AM2" s="198"/>
      <c r="AN2" s="198"/>
      <c r="AO2" s="198"/>
      <c r="AP2" s="198"/>
      <c r="AQ2" s="179"/>
      <c r="AR2" s="180"/>
      <c r="AS2" s="180"/>
      <c r="AT2" s="179"/>
      <c r="AU2" s="180"/>
      <c r="AV2" s="180"/>
      <c r="AW2" s="179"/>
      <c r="AX2" s="180"/>
      <c r="AY2" s="180"/>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row>
    <row r="3" spans="1:79" ht="21.75" thickBot="1">
      <c r="A3" s="1528" t="s">
        <v>288</v>
      </c>
      <c r="B3" s="1528"/>
      <c r="C3" s="1529"/>
      <c r="D3" s="1529"/>
      <c r="E3" s="1529"/>
      <c r="F3" s="1529"/>
      <c r="G3" s="1529"/>
      <c r="H3" s="1529"/>
      <c r="I3" s="1529"/>
      <c r="J3" s="1529"/>
      <c r="K3" s="1529"/>
      <c r="L3" s="1529"/>
      <c r="M3" s="1529"/>
      <c r="N3" s="1529"/>
      <c r="O3" s="1529"/>
      <c r="P3" s="1529"/>
      <c r="Q3" s="1529"/>
      <c r="R3" s="1527" t="s">
        <v>289</v>
      </c>
      <c r="S3" s="1527"/>
      <c r="T3" s="1527"/>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9"/>
      <c r="BD3" s="199"/>
      <c r="BE3" s="199"/>
      <c r="BF3" s="198"/>
      <c r="BG3" s="198"/>
      <c r="BH3" s="198"/>
      <c r="BI3" s="198"/>
      <c r="BJ3" s="198"/>
      <c r="BK3" s="198"/>
      <c r="BL3" s="198"/>
      <c r="BM3" s="198"/>
      <c r="BN3" s="198"/>
      <c r="BO3" s="198"/>
      <c r="BP3" s="198"/>
      <c r="BQ3" s="198"/>
      <c r="BR3" s="198"/>
      <c r="BS3" s="198"/>
      <c r="BT3" s="198"/>
      <c r="BU3" s="198"/>
      <c r="BV3" s="198"/>
      <c r="BW3" s="198"/>
      <c r="BX3" s="198"/>
      <c r="BY3" s="198"/>
      <c r="BZ3" s="198"/>
      <c r="CA3" s="198"/>
    </row>
    <row r="4" spans="1:79" ht="18.75" customHeight="1">
      <c r="A4" s="1479" t="s">
        <v>9</v>
      </c>
      <c r="B4" s="1644" t="s">
        <v>274</v>
      </c>
      <c r="C4" s="1645"/>
      <c r="D4" s="1645"/>
      <c r="E4" s="1645"/>
      <c r="F4" s="1646"/>
      <c r="G4" s="1453" t="s">
        <v>271</v>
      </c>
      <c r="H4" s="1650"/>
      <c r="I4" s="1650"/>
      <c r="J4" s="1482" t="s">
        <v>290</v>
      </c>
      <c r="K4" s="1482"/>
      <c r="L4" s="1453" t="s">
        <v>254</v>
      </c>
      <c r="M4" s="1454"/>
      <c r="N4" s="1482" t="s">
        <v>56</v>
      </c>
      <c r="O4" s="1482"/>
      <c r="P4" s="1482"/>
      <c r="Q4" s="1470" t="s">
        <v>13</v>
      </c>
      <c r="R4" s="1470"/>
      <c r="S4" s="1470"/>
      <c r="T4" s="1524" t="s">
        <v>14</v>
      </c>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row>
    <row r="5" spans="1:79" ht="60" customHeight="1" thickBot="1">
      <c r="A5" s="1480"/>
      <c r="B5" s="1647"/>
      <c r="C5" s="1648"/>
      <c r="D5" s="1648"/>
      <c r="E5" s="1648"/>
      <c r="F5" s="1649"/>
      <c r="G5" s="1455"/>
      <c r="H5" s="1651"/>
      <c r="I5" s="1651"/>
      <c r="J5" s="1483"/>
      <c r="K5" s="1483"/>
      <c r="L5" s="1455"/>
      <c r="M5" s="1456"/>
      <c r="N5" s="1483"/>
      <c r="O5" s="1483"/>
      <c r="P5" s="1483"/>
      <c r="Q5" s="188" t="s">
        <v>17</v>
      </c>
      <c r="R5" s="188" t="s">
        <v>349</v>
      </c>
      <c r="S5" s="188" t="s">
        <v>18</v>
      </c>
      <c r="T5" s="1525"/>
      <c r="V5" s="189"/>
      <c r="Y5" s="198"/>
      <c r="Z5" s="200"/>
      <c r="AA5" s="200"/>
      <c r="AB5" s="200"/>
      <c r="AC5" s="191"/>
      <c r="AD5" s="191"/>
      <c r="AE5" s="191"/>
      <c r="AF5" s="191"/>
      <c r="AG5" s="200"/>
      <c r="AH5" s="191"/>
      <c r="AI5" s="200"/>
      <c r="AJ5" s="200"/>
      <c r="AK5" s="200"/>
      <c r="AL5" s="200"/>
      <c r="AM5" s="200"/>
      <c r="AN5" s="200"/>
      <c r="AO5" s="200"/>
      <c r="AP5" s="200"/>
      <c r="AQ5" s="201"/>
      <c r="AR5" s="200"/>
      <c r="AS5" s="200"/>
      <c r="AT5" s="201"/>
      <c r="AU5" s="200"/>
      <c r="AV5" s="200"/>
      <c r="AW5" s="201"/>
      <c r="AX5" s="200"/>
      <c r="AY5" s="200"/>
      <c r="AZ5" s="201"/>
      <c r="BA5" s="200"/>
      <c r="BB5" s="200"/>
      <c r="BC5" s="201"/>
      <c r="BD5" s="191"/>
      <c r="BE5" s="201"/>
      <c r="BF5" s="201"/>
      <c r="BG5" s="191"/>
      <c r="BH5" s="201"/>
      <c r="BI5" s="202"/>
      <c r="BJ5" s="194"/>
      <c r="BK5" s="202"/>
      <c r="BL5" s="202"/>
      <c r="BM5" s="194"/>
      <c r="BN5" s="202"/>
      <c r="BO5" s="202"/>
      <c r="BP5" s="202"/>
      <c r="BQ5" s="202"/>
      <c r="BR5" s="202"/>
      <c r="BS5" s="202"/>
      <c r="BT5" s="202"/>
      <c r="BU5" s="201"/>
      <c r="BV5" s="191"/>
      <c r="BW5" s="200"/>
      <c r="BX5" s="201"/>
      <c r="BY5" s="191"/>
      <c r="BZ5" s="200"/>
      <c r="CA5" s="198"/>
    </row>
    <row r="6" spans="1:79" ht="20.25">
      <c r="A6" s="239">
        <v>1</v>
      </c>
      <c r="B6" s="1160"/>
      <c r="C6" s="1201"/>
      <c r="D6" s="1201"/>
      <c r="E6" s="1201"/>
      <c r="F6" s="1161"/>
      <c r="G6" s="1160"/>
      <c r="H6" s="1201"/>
      <c r="I6" s="1201"/>
      <c r="J6" s="1643"/>
      <c r="K6" s="1643"/>
      <c r="L6" s="1408"/>
      <c r="M6" s="1410"/>
      <c r="N6" s="1404"/>
      <c r="O6" s="1404"/>
      <c r="P6" s="1404"/>
      <c r="Q6" s="563"/>
      <c r="R6" s="175"/>
      <c r="S6" s="13"/>
      <c r="T6" s="143"/>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row>
    <row r="7" spans="1:79" ht="17.25" customHeight="1">
      <c r="A7" s="218">
        <v>2</v>
      </c>
      <c r="B7" s="1202"/>
      <c r="C7" s="1203"/>
      <c r="D7" s="1203"/>
      <c r="E7" s="1203"/>
      <c r="F7" s="1204"/>
      <c r="G7" s="1202"/>
      <c r="H7" s="1203"/>
      <c r="I7" s="1203"/>
      <c r="J7" s="1534"/>
      <c r="K7" s="1534"/>
      <c r="L7" s="1387"/>
      <c r="M7" s="1389"/>
      <c r="N7" s="1157"/>
      <c r="O7" s="1157"/>
      <c r="P7" s="1157"/>
      <c r="Q7" s="550"/>
      <c r="R7" s="34"/>
      <c r="S7" s="145"/>
      <c r="T7" s="144"/>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row>
    <row r="8" spans="1:79" ht="17.25" customHeight="1">
      <c r="A8" s="218">
        <v>3</v>
      </c>
      <c r="B8" s="1202"/>
      <c r="C8" s="1203"/>
      <c r="D8" s="1203"/>
      <c r="E8" s="1203"/>
      <c r="F8" s="1204"/>
      <c r="G8" s="1202"/>
      <c r="H8" s="1203"/>
      <c r="I8" s="1203"/>
      <c r="J8" s="1534"/>
      <c r="K8" s="1534"/>
      <c r="L8" s="1387"/>
      <c r="M8" s="1389"/>
      <c r="N8" s="1157"/>
      <c r="O8" s="1157"/>
      <c r="P8" s="1157"/>
      <c r="Q8" s="550"/>
      <c r="R8" s="34"/>
      <c r="S8" s="145"/>
      <c r="T8" s="144"/>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row>
    <row r="9" spans="1:79" ht="17.25" customHeight="1">
      <c r="A9" s="218">
        <v>4</v>
      </c>
      <c r="B9" s="1202"/>
      <c r="C9" s="1203"/>
      <c r="D9" s="1203"/>
      <c r="E9" s="1203"/>
      <c r="F9" s="1204"/>
      <c r="G9" s="1202"/>
      <c r="H9" s="1203"/>
      <c r="I9" s="1203"/>
      <c r="J9" s="1534"/>
      <c r="K9" s="1534"/>
      <c r="L9" s="1387"/>
      <c r="M9" s="1389"/>
      <c r="N9" s="1157"/>
      <c r="O9" s="1157"/>
      <c r="P9" s="1157"/>
      <c r="Q9" s="550"/>
      <c r="R9" s="34"/>
      <c r="S9" s="145"/>
      <c r="T9" s="144"/>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row>
    <row r="10" spans="1:79" ht="17.25" customHeight="1">
      <c r="A10" s="218">
        <v>5</v>
      </c>
      <c r="B10" s="1202"/>
      <c r="C10" s="1203"/>
      <c r="D10" s="1203"/>
      <c r="E10" s="1203"/>
      <c r="F10" s="1204"/>
      <c r="G10" s="1202"/>
      <c r="H10" s="1203"/>
      <c r="I10" s="1203"/>
      <c r="J10" s="1534"/>
      <c r="K10" s="1534"/>
      <c r="L10" s="1387"/>
      <c r="M10" s="1389"/>
      <c r="N10" s="1157"/>
      <c r="O10" s="1157"/>
      <c r="P10" s="1157"/>
      <c r="Q10" s="550"/>
      <c r="R10" s="34"/>
      <c r="S10" s="145"/>
      <c r="T10" s="144"/>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row>
    <row r="11" spans="1:79" ht="17.25" customHeight="1">
      <c r="A11" s="218">
        <v>6</v>
      </c>
      <c r="B11" s="1202"/>
      <c r="C11" s="1203"/>
      <c r="D11" s="1203"/>
      <c r="E11" s="1203"/>
      <c r="F11" s="1204"/>
      <c r="G11" s="1202"/>
      <c r="H11" s="1203"/>
      <c r="I11" s="1203"/>
      <c r="J11" s="1534"/>
      <c r="K11" s="1534"/>
      <c r="L11" s="1387"/>
      <c r="M11" s="1389"/>
      <c r="N11" s="1157"/>
      <c r="O11" s="1157"/>
      <c r="P11" s="1157"/>
      <c r="Q11" s="550"/>
      <c r="R11" s="34"/>
      <c r="S11" s="145"/>
      <c r="T11" s="144"/>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row>
    <row r="12" spans="1:79" ht="17.25" customHeight="1">
      <c r="A12" s="218">
        <v>7</v>
      </c>
      <c r="B12" s="1202"/>
      <c r="C12" s="1203"/>
      <c r="D12" s="1203"/>
      <c r="E12" s="1203"/>
      <c r="F12" s="1204"/>
      <c r="G12" s="1202"/>
      <c r="H12" s="1203"/>
      <c r="I12" s="1203"/>
      <c r="J12" s="1534"/>
      <c r="K12" s="1534"/>
      <c r="L12" s="1387"/>
      <c r="M12" s="1389"/>
      <c r="N12" s="1157"/>
      <c r="O12" s="1157"/>
      <c r="P12" s="1157"/>
      <c r="Q12" s="550"/>
      <c r="R12" s="34"/>
      <c r="S12" s="145"/>
      <c r="T12" s="144"/>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row>
    <row r="13" spans="1:79" ht="17.25" customHeight="1">
      <c r="A13" s="218">
        <v>8</v>
      </c>
      <c r="B13" s="1202"/>
      <c r="C13" s="1203"/>
      <c r="D13" s="1203"/>
      <c r="E13" s="1203"/>
      <c r="F13" s="1204"/>
      <c r="G13" s="1202"/>
      <c r="H13" s="1203"/>
      <c r="I13" s="1203"/>
      <c r="J13" s="1534"/>
      <c r="K13" s="1534"/>
      <c r="L13" s="1387"/>
      <c r="M13" s="1389"/>
      <c r="N13" s="1157"/>
      <c r="O13" s="1157"/>
      <c r="P13" s="1157"/>
      <c r="Q13" s="550"/>
      <c r="R13" s="34"/>
      <c r="S13" s="145"/>
      <c r="T13" s="144"/>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row>
    <row r="14" spans="1:79" ht="17.25" customHeight="1">
      <c r="A14" s="218">
        <v>9</v>
      </c>
      <c r="B14" s="1202"/>
      <c r="C14" s="1203"/>
      <c r="D14" s="1203"/>
      <c r="E14" s="1203"/>
      <c r="F14" s="1204"/>
      <c r="G14" s="1202"/>
      <c r="H14" s="1203"/>
      <c r="I14" s="1203"/>
      <c r="J14" s="1534"/>
      <c r="K14" s="1534"/>
      <c r="L14" s="1387"/>
      <c r="M14" s="1389"/>
      <c r="N14" s="1157"/>
      <c r="O14" s="1157"/>
      <c r="P14" s="1157"/>
      <c r="Q14" s="550"/>
      <c r="R14" s="34"/>
      <c r="S14" s="145"/>
      <c r="T14" s="144"/>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row>
    <row r="15" spans="1:79" ht="17.25" customHeight="1" thickBot="1">
      <c r="A15" s="219">
        <v>10</v>
      </c>
      <c r="B15" s="1244"/>
      <c r="C15" s="1245"/>
      <c r="D15" s="1245"/>
      <c r="E15" s="1245"/>
      <c r="F15" s="1246"/>
      <c r="G15" s="1244"/>
      <c r="H15" s="1245"/>
      <c r="I15" s="1245"/>
      <c r="J15" s="1424"/>
      <c r="K15" s="1424"/>
      <c r="L15" s="1641"/>
      <c r="M15" s="1642"/>
      <c r="N15" s="1182"/>
      <c r="O15" s="1182"/>
      <c r="P15" s="1182"/>
      <c r="Q15" s="552"/>
      <c r="R15" s="176"/>
      <c r="S15" s="147"/>
      <c r="T15" s="146"/>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row>
    <row r="16" spans="1:79" ht="27" customHeight="1" thickBot="1">
      <c r="A16" s="1143" t="s">
        <v>270</v>
      </c>
      <c r="B16" s="1144"/>
      <c r="C16" s="1144"/>
      <c r="D16" s="1144"/>
      <c r="E16" s="1144"/>
      <c r="F16" s="1144"/>
      <c r="G16" s="1144"/>
      <c r="H16" s="1144"/>
      <c r="I16" s="1144"/>
      <c r="J16" s="1144"/>
      <c r="K16" s="215">
        <f>SUM(Q6:Q15)</f>
        <v>0</v>
      </c>
      <c r="L16" s="1188" t="s">
        <v>322</v>
      </c>
      <c r="M16" s="1188"/>
      <c r="N16" s="1188"/>
      <c r="O16" s="1188"/>
      <c r="P16" s="1189"/>
      <c r="Q16" s="216">
        <f>IF(K16&gt;5,5,K16)</f>
        <v>0</v>
      </c>
      <c r="R16" s="238">
        <f>IF(SUM(R6:R15)&gt;5,5,SUM(R6:R15))</f>
        <v>0</v>
      </c>
      <c r="S16" s="48"/>
      <c r="T16" s="177"/>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row>
    <row r="17" spans="1:79" ht="33" customHeight="1">
      <c r="A17" s="1507" t="s">
        <v>31</v>
      </c>
      <c r="B17" s="1508"/>
      <c r="C17" s="1508"/>
      <c r="D17" s="1508"/>
      <c r="E17" s="1508"/>
      <c r="F17" s="1508"/>
      <c r="G17" s="1508"/>
      <c r="H17" s="1430" t="s">
        <v>32</v>
      </c>
      <c r="I17" s="1430"/>
      <c r="J17" s="1431">
        <f>P2</f>
        <v>0</v>
      </c>
      <c r="K17" s="1432"/>
      <c r="L17" s="1432"/>
      <c r="M17" s="1432"/>
      <c r="N17" s="1430" t="s">
        <v>33</v>
      </c>
      <c r="O17" s="1430"/>
      <c r="P17" s="1430"/>
      <c r="Q17" s="1432">
        <f>C2</f>
        <v>0</v>
      </c>
      <c r="R17" s="1432"/>
      <c r="S17" s="1432"/>
      <c r="T17" s="1506"/>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row>
    <row r="18" spans="1:79" ht="33" customHeight="1" thickBot="1">
      <c r="A18" s="1437">
        <f>'فرم الف'!A27</f>
        <v>0</v>
      </c>
      <c r="B18" s="1425"/>
      <c r="C18" s="1425"/>
      <c r="D18" s="1425"/>
      <c r="E18" s="1425"/>
      <c r="F18" s="1425"/>
      <c r="G18" s="1425"/>
      <c r="H18" s="1425">
        <f>'فرم الف'!E27</f>
        <v>0</v>
      </c>
      <c r="I18" s="1425"/>
      <c r="J18" s="1425"/>
      <c r="K18" s="1425"/>
      <c r="L18" s="1425"/>
      <c r="M18" s="1425"/>
      <c r="N18" s="1425" t="str">
        <f>'فرم الف'!J27</f>
        <v/>
      </c>
      <c r="O18" s="1425"/>
      <c r="P18" s="1425"/>
      <c r="Q18" s="1425"/>
      <c r="R18" s="1425"/>
      <c r="S18" s="1425"/>
      <c r="T18" s="1426"/>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row>
    <row r="19" spans="1:79" ht="20.25" customHeight="1">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row>
    <row r="20" spans="1:79">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row>
    <row r="21" spans="1:79" ht="17.25" customHeight="1">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row>
    <row r="22" spans="1:79" ht="20.25" customHeight="1">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row>
    <row r="23" spans="1:79">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row>
    <row r="24" spans="1:79" ht="17.25" customHeight="1">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row>
    <row r="25" spans="1:79" ht="20.25" customHeight="1">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row>
    <row r="26" spans="1:79">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row>
    <row r="27" spans="1:79" ht="17.25" customHeight="1">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row>
    <row r="28" spans="1:79" ht="20.25" customHeight="1">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row>
    <row r="29" spans="1:79">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row>
    <row r="30" spans="1:79" ht="17.25" customHeight="1">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row>
    <row r="31" spans="1:79" ht="20.25" customHeight="1">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row>
    <row r="32" spans="1:79">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row>
    <row r="33" spans="25:79" ht="17.25" customHeight="1">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row>
    <row r="34" spans="25:79" ht="20.25" customHeight="1">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row>
    <row r="35" spans="25:79">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row>
    <row r="36" spans="25:79" ht="17.25" customHeight="1">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row>
    <row r="37" spans="25:79" ht="20.25" customHeight="1">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row>
    <row r="38" spans="25:79">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row>
    <row r="39" spans="25:79" ht="17.25" customHeight="1">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row>
    <row r="40" spans="25:79" ht="20.25" customHeight="1">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row>
    <row r="41" spans="25:79">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row>
    <row r="42" spans="25:79" ht="17.25" customHeight="1">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row>
    <row r="43" spans="25:79" ht="20.25" customHeight="1">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row>
    <row r="44" spans="25:79">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row>
    <row r="45" spans="25:79" ht="17.25" customHeight="1">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row>
    <row r="46" spans="25:79" ht="20.25" customHeight="1">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row>
    <row r="47" spans="25:79">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row>
    <row r="48" spans="25:79" ht="17.25" customHeight="1">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row>
    <row r="49" spans="25:79" ht="20.25" customHeight="1">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row>
    <row r="50" spans="25:79">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row>
    <row r="51" spans="25:79" ht="17.25" customHeight="1">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row>
    <row r="52" spans="25:79" ht="20.25" customHeight="1">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row>
    <row r="53" spans="25:79">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row>
    <row r="54" spans="25:79" ht="17.25" customHeight="1">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row>
    <row r="55" spans="25:79" ht="20.25" customHeight="1">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row>
    <row r="56" spans="25:79">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row>
    <row r="57" spans="25:79" ht="17.25" customHeight="1">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row>
    <row r="58" spans="25:79" ht="20.25" customHeight="1">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row>
    <row r="59" spans="25:79">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row>
    <row r="60" spans="25:79">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row>
    <row r="61" spans="25:79">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row>
    <row r="62" spans="25:79" ht="26.25" customHeight="1">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row>
    <row r="63" spans="25:79" ht="26.25" customHeight="1">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row>
  </sheetData>
  <sheetProtection algorithmName="SHA-512" hashValue="V7JPJH/K0oP3doZLqpKj9VHzvq0hwmMFI1IUFwHrBG/fIISsqVGEup5NyOqZwmkef0J8xEI4jRfscomihsfBow==" saltValue="plB83OgpOlLjJEPU4XKEjQ=="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L4:M5"/>
    <mergeCell ref="L6:M6"/>
    <mergeCell ref="L7:M7"/>
    <mergeCell ref="A3:Q3"/>
    <mergeCell ref="R3:T3"/>
    <mergeCell ref="A4:A5"/>
    <mergeCell ref="J4:K5"/>
    <mergeCell ref="N4:P5"/>
    <mergeCell ref="Q4:S4"/>
    <mergeCell ref="B4:F5"/>
    <mergeCell ref="G4:I5"/>
    <mergeCell ref="T4:T5"/>
    <mergeCell ref="B6:F6"/>
    <mergeCell ref="B7:F7"/>
    <mergeCell ref="L13:M13"/>
    <mergeCell ref="J12:K12"/>
    <mergeCell ref="N6:P6"/>
    <mergeCell ref="J7:K7"/>
    <mergeCell ref="N7:P7"/>
    <mergeCell ref="N8:P8"/>
    <mergeCell ref="J9:K9"/>
    <mergeCell ref="N9:P9"/>
    <mergeCell ref="L8:M8"/>
    <mergeCell ref="L9:M9"/>
    <mergeCell ref="N14:P14"/>
    <mergeCell ref="J15:K15"/>
    <mergeCell ref="N15:P15"/>
    <mergeCell ref="B14:F14"/>
    <mergeCell ref="B15:F15"/>
    <mergeCell ref="B8:F8"/>
    <mergeCell ref="J8:K8"/>
    <mergeCell ref="G10:I10"/>
    <mergeCell ref="G6:I6"/>
    <mergeCell ref="G7:I7"/>
    <mergeCell ref="G8:I8"/>
    <mergeCell ref="G9:I9"/>
    <mergeCell ref="B9:F9"/>
    <mergeCell ref="J6:K6"/>
    <mergeCell ref="Q17:T17"/>
    <mergeCell ref="A18:G18"/>
    <mergeCell ref="H18:M18"/>
    <mergeCell ref="N18:T18"/>
    <mergeCell ref="N13:P13"/>
    <mergeCell ref="G14:I14"/>
    <mergeCell ref="G15:I15"/>
    <mergeCell ref="L14:M14"/>
    <mergeCell ref="L15:M15"/>
    <mergeCell ref="A17:G17"/>
    <mergeCell ref="H17:I17"/>
    <mergeCell ref="J17:M17"/>
    <mergeCell ref="N17:P17"/>
    <mergeCell ref="J14:K14"/>
    <mergeCell ref="L16:P16"/>
    <mergeCell ref="A16:J16"/>
    <mergeCell ref="B12:F12"/>
    <mergeCell ref="B13:F13"/>
    <mergeCell ref="J10:K10"/>
    <mergeCell ref="N10:P10"/>
    <mergeCell ref="J11:K11"/>
    <mergeCell ref="N11:P11"/>
    <mergeCell ref="B10:F10"/>
    <mergeCell ref="B11:F11"/>
    <mergeCell ref="L10:M10"/>
    <mergeCell ref="G11:I11"/>
    <mergeCell ref="G12:I12"/>
    <mergeCell ref="G13:I13"/>
    <mergeCell ref="L11:M11"/>
    <mergeCell ref="L12:M12"/>
    <mergeCell ref="N12:P12"/>
    <mergeCell ref="J13:K13"/>
  </mergeCells>
  <conditionalFormatting sqref="B6:P15">
    <cfRule type="containsBlanks" dxfId="101" priority="1">
      <formula>LEN(TRIM(B6))=0</formula>
    </cfRule>
  </conditionalFormatting>
  <dataValidations count="2">
    <dataValidation type="whole" allowBlank="1" showInputMessage="1" showErrorMessage="1" errorTitle="خطا در ورود اطلاعات" error="لطفا داده را به صورت عددي وارد نماييد" sqref="M7:M15">
      <formula1>0</formula1>
      <formula2>100</formula2>
    </dataValidation>
    <dataValidation type="decimal" allowBlank="1" showInputMessage="1" showErrorMessage="1" errorTitle="خطا در ورود امتياز" error="لطفا يك عدد بين 0 تا 2 وارد نماييد." promptTitle="توجه:" prompt="حداکثر تا 2 امتیاز در واحد کار" sqref="Q6:R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Base'!$B$15:$B$22</xm:f>
          </x14:formula1>
          <xm:sqref>J6:K15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249977111117893"/>
  </sheetPr>
  <dimension ref="A1:CA29"/>
  <sheetViews>
    <sheetView showGridLines="0" rightToLeft="1" view="pageBreakPreview" zoomScaleNormal="115" zoomScaleSheetLayoutView="100" workbookViewId="0">
      <pane ySplit="5" topLeftCell="A6" activePane="bottomLeft" state="frozen"/>
      <selection pane="bottomLeft" activeCell="A6" sqref="A6:E6"/>
    </sheetView>
  </sheetViews>
  <sheetFormatPr defaultColWidth="9.140625" defaultRowHeight="15"/>
  <cols>
    <col min="1" max="1" width="2.85546875" style="19" customWidth="1"/>
    <col min="2" max="2" width="3.7109375" style="19" customWidth="1"/>
    <col min="3" max="3" width="9.85546875" style="19" customWidth="1"/>
    <col min="4" max="5" width="5" style="19" customWidth="1"/>
    <col min="6" max="6" width="4.7109375" style="19" customWidth="1"/>
    <col min="7" max="7" width="4.85546875" style="19" customWidth="1"/>
    <col min="8" max="8" width="15.5703125" style="19" customWidth="1"/>
    <col min="9" max="9" width="6.85546875" style="19" customWidth="1"/>
    <col min="10" max="10" width="6" style="19" customWidth="1"/>
    <col min="11" max="12" width="5.7109375" style="19" customWidth="1"/>
    <col min="13" max="14" width="7" style="19" customWidth="1"/>
    <col min="15" max="16" width="3.7109375" style="19" customWidth="1"/>
    <col min="17" max="17" width="6.140625" style="19" customWidth="1"/>
    <col min="18" max="18" width="5.42578125" style="19" customWidth="1"/>
    <col min="19" max="21" width="5.28515625" style="19" customWidth="1"/>
    <col min="22" max="16384" width="9.140625" style="19"/>
  </cols>
  <sheetData>
    <row r="1" spans="1:79"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AW1" s="198"/>
      <c r="AX1" s="198"/>
      <c r="AY1" s="198"/>
      <c r="AZ1" s="198"/>
      <c r="BA1" s="198"/>
      <c r="BB1" s="198"/>
      <c r="BC1" s="198"/>
      <c r="BD1" s="198"/>
      <c r="BE1" s="198"/>
      <c r="BF1" s="198"/>
      <c r="BG1" s="198"/>
      <c r="BH1" s="198"/>
      <c r="BI1" s="198"/>
    </row>
    <row r="2" spans="1:79"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AD2" s="178"/>
      <c r="AR2" s="179"/>
      <c r="AS2" s="180"/>
      <c r="AT2" s="180"/>
      <c r="AU2" s="179"/>
      <c r="AV2" s="180"/>
      <c r="AW2" s="180"/>
      <c r="AX2" s="179"/>
      <c r="AY2" s="180"/>
      <c r="AZ2" s="180"/>
      <c r="BA2" s="198"/>
      <c r="BB2" s="198"/>
      <c r="BC2" s="198"/>
      <c r="BD2" s="198"/>
      <c r="BE2" s="198"/>
      <c r="BF2" s="198"/>
      <c r="BG2" s="198"/>
      <c r="BH2" s="198"/>
      <c r="BI2" s="198"/>
    </row>
    <row r="3" spans="1:79" s="240" customFormat="1" ht="37.5" customHeight="1" thickBot="1">
      <c r="A3" s="1496" t="s">
        <v>237</v>
      </c>
      <c r="B3" s="1496"/>
      <c r="C3" s="1497"/>
      <c r="D3" s="1497"/>
      <c r="E3" s="1497"/>
      <c r="F3" s="1497"/>
      <c r="G3" s="1497"/>
      <c r="H3" s="1497"/>
      <c r="I3" s="1497"/>
      <c r="J3" s="1497"/>
      <c r="K3" s="1497"/>
      <c r="L3" s="1497"/>
      <c r="M3" s="1497"/>
      <c r="N3" s="1497"/>
      <c r="O3" s="1497"/>
      <c r="P3" s="1497"/>
      <c r="Q3" s="1497"/>
      <c r="R3" s="1498" t="s">
        <v>425</v>
      </c>
      <c r="S3" s="1498"/>
      <c r="T3" s="1498"/>
      <c r="U3" s="1498"/>
      <c r="AW3" s="241"/>
      <c r="AX3" s="241"/>
      <c r="AY3" s="241"/>
      <c r="AZ3" s="241"/>
      <c r="BA3" s="241"/>
      <c r="BB3" s="241"/>
      <c r="BC3" s="241"/>
      <c r="BD3" s="242"/>
      <c r="BE3" s="242"/>
      <c r="BF3" s="242"/>
      <c r="BG3" s="241"/>
      <c r="BH3" s="241"/>
      <c r="BI3" s="241"/>
    </row>
    <row r="4" spans="1:79" ht="18.75" customHeight="1">
      <c r="A4" s="1676" t="s">
        <v>239</v>
      </c>
      <c r="B4" s="1645"/>
      <c r="C4" s="1645"/>
      <c r="D4" s="1645"/>
      <c r="E4" s="1677"/>
      <c r="F4" s="1479" t="s">
        <v>9</v>
      </c>
      <c r="G4" s="1453" t="s">
        <v>240</v>
      </c>
      <c r="H4" s="1454"/>
      <c r="I4" s="1477" t="s">
        <v>252</v>
      </c>
      <c r="J4" s="1471" t="s">
        <v>241</v>
      </c>
      <c r="K4" s="1453" t="s">
        <v>242</v>
      </c>
      <c r="L4" s="1454"/>
      <c r="M4" s="1644" t="s">
        <v>243</v>
      </c>
      <c r="N4" s="1646"/>
      <c r="O4" s="1453" t="s">
        <v>244</v>
      </c>
      <c r="P4" s="1650"/>
      <c r="Q4" s="1453" t="s">
        <v>245</v>
      </c>
      <c r="R4" s="1650"/>
      <c r="S4" s="1470" t="s">
        <v>13</v>
      </c>
      <c r="T4" s="1470"/>
      <c r="U4" s="1560"/>
      <c r="AW4" s="198"/>
      <c r="AX4" s="198"/>
      <c r="AY4" s="198"/>
      <c r="AZ4" s="198"/>
      <c r="BA4" s="198"/>
      <c r="BB4" s="198"/>
      <c r="BC4" s="198"/>
      <c r="BD4" s="198"/>
      <c r="BE4" s="198"/>
      <c r="BF4" s="198"/>
      <c r="BG4" s="198"/>
      <c r="BH4" s="198"/>
      <c r="BI4" s="198"/>
    </row>
    <row r="5" spans="1:79" ht="75" customHeight="1" thickBot="1">
      <c r="A5" s="1678"/>
      <c r="B5" s="1648"/>
      <c r="C5" s="1648"/>
      <c r="D5" s="1648"/>
      <c r="E5" s="1679"/>
      <c r="F5" s="1480"/>
      <c r="G5" s="1455"/>
      <c r="H5" s="1456"/>
      <c r="I5" s="1478"/>
      <c r="J5" s="1472"/>
      <c r="K5" s="1455"/>
      <c r="L5" s="1456"/>
      <c r="M5" s="1647"/>
      <c r="N5" s="1649"/>
      <c r="O5" s="1455"/>
      <c r="P5" s="1651"/>
      <c r="Q5" s="1455"/>
      <c r="R5" s="1651"/>
      <c r="S5" s="188" t="s">
        <v>17</v>
      </c>
      <c r="T5" s="188" t="s">
        <v>349</v>
      </c>
      <c r="U5" s="243" t="s">
        <v>18</v>
      </c>
      <c r="AA5" s="190"/>
      <c r="AB5" s="190"/>
      <c r="AC5" s="190"/>
      <c r="AD5" s="191"/>
      <c r="AE5" s="191"/>
      <c r="AF5" s="191"/>
      <c r="AG5" s="191"/>
      <c r="AH5" s="190"/>
      <c r="AI5" s="191"/>
      <c r="AJ5" s="190"/>
      <c r="AK5" s="190"/>
      <c r="AL5" s="190"/>
      <c r="AM5" s="190"/>
      <c r="AN5" s="190"/>
      <c r="AO5" s="190"/>
      <c r="AP5" s="190"/>
      <c r="AQ5" s="190"/>
      <c r="AR5" s="192"/>
      <c r="AS5" s="190"/>
      <c r="AT5" s="190"/>
      <c r="AU5" s="192"/>
      <c r="AV5" s="190"/>
      <c r="AW5" s="200"/>
      <c r="AX5" s="201"/>
      <c r="AY5" s="200"/>
      <c r="AZ5" s="200"/>
      <c r="BA5" s="201"/>
      <c r="BB5" s="200"/>
      <c r="BC5" s="200"/>
      <c r="BD5" s="201"/>
      <c r="BE5" s="191"/>
      <c r="BF5" s="201"/>
      <c r="BG5" s="201"/>
      <c r="BH5" s="191"/>
      <c r="BI5" s="201"/>
      <c r="BJ5" s="193"/>
      <c r="BK5" s="194"/>
      <c r="BL5" s="193"/>
      <c r="BM5" s="193"/>
      <c r="BN5" s="194"/>
      <c r="BO5" s="193"/>
      <c r="BP5" s="193"/>
      <c r="BQ5" s="193"/>
      <c r="BR5" s="193"/>
      <c r="BS5" s="193"/>
      <c r="BT5" s="193"/>
      <c r="BU5" s="193"/>
      <c r="BV5" s="192"/>
      <c r="BW5" s="191"/>
      <c r="BX5" s="190"/>
      <c r="BY5" s="192"/>
      <c r="BZ5" s="191"/>
      <c r="CA5" s="190"/>
    </row>
    <row r="6" spans="1:79" ht="90.75" customHeight="1">
      <c r="A6" s="1672"/>
      <c r="B6" s="1673"/>
      <c r="C6" s="1673"/>
      <c r="D6" s="1673"/>
      <c r="E6" s="1674"/>
      <c r="F6" s="564">
        <v>1</v>
      </c>
      <c r="G6" s="1675"/>
      <c r="H6" s="1675"/>
      <c r="I6" s="565"/>
      <c r="J6" s="566"/>
      <c r="K6" s="1540"/>
      <c r="L6" s="1540"/>
      <c r="M6" s="1540"/>
      <c r="N6" s="1540"/>
      <c r="O6" s="1540"/>
      <c r="P6" s="1540"/>
      <c r="Q6" s="1540"/>
      <c r="R6" s="1540"/>
      <c r="S6" s="567"/>
      <c r="T6" s="568"/>
      <c r="U6" s="569"/>
      <c r="W6" s="189"/>
      <c r="AA6" s="190"/>
      <c r="AB6" s="190"/>
      <c r="AC6" s="190"/>
      <c r="AD6" s="191"/>
      <c r="AE6" s="191"/>
      <c r="AF6" s="191"/>
      <c r="AG6" s="191"/>
      <c r="AH6" s="190"/>
      <c r="AI6" s="191"/>
      <c r="AJ6" s="190"/>
      <c r="AK6" s="190"/>
      <c r="AL6" s="190"/>
      <c r="AM6" s="190"/>
      <c r="AN6" s="190"/>
      <c r="AO6" s="190"/>
      <c r="AP6" s="190"/>
      <c r="AQ6" s="190"/>
      <c r="AR6" s="192"/>
      <c r="AS6" s="190"/>
      <c r="AT6" s="190"/>
      <c r="AU6" s="192"/>
      <c r="AV6" s="190"/>
      <c r="AW6" s="200"/>
      <c r="AX6" s="201"/>
      <c r="AY6" s="200"/>
      <c r="AZ6" s="200"/>
      <c r="BA6" s="201"/>
      <c r="BB6" s="200"/>
      <c r="BC6" s="200"/>
      <c r="BD6" s="201"/>
      <c r="BE6" s="191"/>
      <c r="BF6" s="201"/>
      <c r="BG6" s="201"/>
      <c r="BH6" s="191"/>
      <c r="BI6" s="201"/>
      <c r="BJ6" s="193"/>
      <c r="BK6" s="194"/>
      <c r="BL6" s="193"/>
      <c r="BM6" s="193"/>
      <c r="BN6" s="194"/>
      <c r="BO6" s="193"/>
      <c r="BP6" s="193"/>
      <c r="BQ6" s="193"/>
      <c r="BR6" s="193"/>
      <c r="BS6" s="193"/>
      <c r="BT6" s="193"/>
      <c r="BU6" s="193"/>
      <c r="BV6" s="192"/>
      <c r="BW6" s="191"/>
      <c r="BX6" s="190"/>
      <c r="BY6" s="192"/>
      <c r="BZ6" s="191"/>
      <c r="CA6" s="190"/>
    </row>
    <row r="7" spans="1:79" ht="90.75" customHeight="1">
      <c r="A7" s="1669"/>
      <c r="B7" s="1670"/>
      <c r="C7" s="1670"/>
      <c r="D7" s="1670"/>
      <c r="E7" s="1670"/>
      <c r="F7" s="570">
        <v>2</v>
      </c>
      <c r="G7" s="1671"/>
      <c r="H7" s="1671"/>
      <c r="I7" s="571"/>
      <c r="J7" s="572"/>
      <c r="K7" s="1668"/>
      <c r="L7" s="1668"/>
      <c r="M7" s="1668"/>
      <c r="N7" s="1668"/>
      <c r="O7" s="1668"/>
      <c r="P7" s="1668"/>
      <c r="Q7" s="1668"/>
      <c r="R7" s="1668"/>
      <c r="S7" s="573"/>
      <c r="T7" s="574"/>
      <c r="U7" s="575"/>
      <c r="AW7" s="198"/>
      <c r="AX7" s="198"/>
      <c r="AY7" s="198"/>
      <c r="AZ7" s="198"/>
      <c r="BA7" s="198"/>
      <c r="BB7" s="198"/>
      <c r="BC7" s="198"/>
      <c r="BD7" s="198"/>
      <c r="BE7" s="198"/>
      <c r="BF7" s="198"/>
      <c r="BG7" s="198"/>
      <c r="BH7" s="198"/>
      <c r="BI7" s="198"/>
    </row>
    <row r="8" spans="1:79" ht="90.75" customHeight="1">
      <c r="A8" s="1669"/>
      <c r="B8" s="1670"/>
      <c r="C8" s="1670"/>
      <c r="D8" s="1670"/>
      <c r="E8" s="1670"/>
      <c r="F8" s="570">
        <v>3</v>
      </c>
      <c r="G8" s="1671"/>
      <c r="H8" s="1671"/>
      <c r="I8" s="571"/>
      <c r="J8" s="572"/>
      <c r="K8" s="1668"/>
      <c r="L8" s="1668"/>
      <c r="M8" s="1668"/>
      <c r="N8" s="1668"/>
      <c r="O8" s="1668"/>
      <c r="P8" s="1668"/>
      <c r="Q8" s="1668"/>
      <c r="R8" s="1668"/>
      <c r="S8" s="573"/>
      <c r="T8" s="574"/>
      <c r="U8" s="575"/>
    </row>
    <row r="9" spans="1:79" ht="90.75" customHeight="1">
      <c r="A9" s="1669"/>
      <c r="B9" s="1670"/>
      <c r="C9" s="1670"/>
      <c r="D9" s="1670"/>
      <c r="E9" s="1670"/>
      <c r="F9" s="570">
        <v>4</v>
      </c>
      <c r="G9" s="1671"/>
      <c r="H9" s="1671"/>
      <c r="I9" s="571"/>
      <c r="J9" s="572"/>
      <c r="K9" s="1668"/>
      <c r="L9" s="1668"/>
      <c r="M9" s="1668"/>
      <c r="N9" s="1668"/>
      <c r="O9" s="1668"/>
      <c r="P9" s="1668"/>
      <c r="Q9" s="1668"/>
      <c r="R9" s="1668"/>
      <c r="S9" s="573"/>
      <c r="T9" s="574"/>
      <c r="U9" s="575"/>
    </row>
    <row r="10" spans="1:79" ht="90.75" customHeight="1">
      <c r="A10" s="1669"/>
      <c r="B10" s="1670"/>
      <c r="C10" s="1670"/>
      <c r="D10" s="1670"/>
      <c r="E10" s="1670"/>
      <c r="F10" s="570">
        <v>5</v>
      </c>
      <c r="G10" s="1671"/>
      <c r="H10" s="1671"/>
      <c r="I10" s="571"/>
      <c r="J10" s="572"/>
      <c r="K10" s="1668"/>
      <c r="L10" s="1668"/>
      <c r="M10" s="1668"/>
      <c r="N10" s="1668"/>
      <c r="O10" s="1668"/>
      <c r="P10" s="1668"/>
      <c r="Q10" s="1668"/>
      <c r="R10" s="1668"/>
      <c r="S10" s="573"/>
      <c r="T10" s="574"/>
      <c r="U10" s="575"/>
    </row>
    <row r="11" spans="1:79" ht="90.75" customHeight="1">
      <c r="A11" s="1669"/>
      <c r="B11" s="1670"/>
      <c r="C11" s="1670"/>
      <c r="D11" s="1670"/>
      <c r="E11" s="1670"/>
      <c r="F11" s="570">
        <v>6</v>
      </c>
      <c r="G11" s="1671"/>
      <c r="H11" s="1671"/>
      <c r="I11" s="571"/>
      <c r="J11" s="572"/>
      <c r="K11" s="1668"/>
      <c r="L11" s="1668"/>
      <c r="M11" s="1668"/>
      <c r="N11" s="1668"/>
      <c r="O11" s="1668"/>
      <c r="P11" s="1668"/>
      <c r="Q11" s="1668"/>
      <c r="R11" s="1668"/>
      <c r="S11" s="573"/>
      <c r="T11" s="574"/>
      <c r="U11" s="575"/>
    </row>
    <row r="12" spans="1:79" ht="90.75" customHeight="1">
      <c r="A12" s="1669"/>
      <c r="B12" s="1670"/>
      <c r="C12" s="1670"/>
      <c r="D12" s="1670"/>
      <c r="E12" s="1670"/>
      <c r="F12" s="570">
        <v>7</v>
      </c>
      <c r="G12" s="1671"/>
      <c r="H12" s="1671"/>
      <c r="I12" s="571"/>
      <c r="J12" s="572"/>
      <c r="K12" s="1668"/>
      <c r="L12" s="1668"/>
      <c r="M12" s="1668"/>
      <c r="N12" s="1668"/>
      <c r="O12" s="1668"/>
      <c r="P12" s="1668"/>
      <c r="Q12" s="1668"/>
      <c r="R12" s="1668"/>
      <c r="S12" s="573"/>
      <c r="T12" s="574"/>
      <c r="U12" s="575"/>
    </row>
    <row r="13" spans="1:79" ht="90.75" customHeight="1">
      <c r="A13" s="1669"/>
      <c r="B13" s="1670"/>
      <c r="C13" s="1670"/>
      <c r="D13" s="1670"/>
      <c r="E13" s="1670"/>
      <c r="F13" s="570">
        <v>8</v>
      </c>
      <c r="G13" s="1671"/>
      <c r="H13" s="1671"/>
      <c r="I13" s="571"/>
      <c r="J13" s="572"/>
      <c r="K13" s="1668"/>
      <c r="L13" s="1668"/>
      <c r="M13" s="1668"/>
      <c r="N13" s="1668"/>
      <c r="O13" s="1668"/>
      <c r="P13" s="1668"/>
      <c r="Q13" s="1668"/>
      <c r="R13" s="1668"/>
      <c r="S13" s="573"/>
      <c r="T13" s="574"/>
      <c r="U13" s="575"/>
    </row>
    <row r="14" spans="1:79" ht="90.75" customHeight="1">
      <c r="A14" s="1669"/>
      <c r="B14" s="1670"/>
      <c r="C14" s="1670"/>
      <c r="D14" s="1670"/>
      <c r="E14" s="1670"/>
      <c r="F14" s="570">
        <v>9</v>
      </c>
      <c r="G14" s="1671"/>
      <c r="H14" s="1671"/>
      <c r="I14" s="571"/>
      <c r="J14" s="572"/>
      <c r="K14" s="1668"/>
      <c r="L14" s="1668"/>
      <c r="M14" s="1668"/>
      <c r="N14" s="1668"/>
      <c r="O14" s="1668"/>
      <c r="P14" s="1668"/>
      <c r="Q14" s="1668"/>
      <c r="R14" s="1668"/>
      <c r="S14" s="573"/>
      <c r="T14" s="574"/>
      <c r="U14" s="575"/>
      <c r="W14" s="189"/>
      <c r="AA14" s="190"/>
      <c r="AB14" s="190"/>
      <c r="AC14" s="190"/>
      <c r="AD14" s="191"/>
      <c r="AE14" s="191"/>
      <c r="AF14" s="191"/>
      <c r="AG14" s="191"/>
      <c r="AH14" s="190"/>
      <c r="AI14" s="191"/>
      <c r="AJ14" s="190"/>
      <c r="AK14" s="190"/>
      <c r="AL14" s="190"/>
      <c r="AM14" s="190"/>
      <c r="AN14" s="190"/>
      <c r="AO14" s="190"/>
      <c r="AP14" s="190"/>
      <c r="AQ14" s="190"/>
      <c r="AR14" s="192"/>
      <c r="AS14" s="190"/>
      <c r="AT14" s="190"/>
      <c r="AU14" s="192"/>
      <c r="AV14" s="190"/>
      <c r="AW14" s="190"/>
      <c r="AX14" s="192"/>
      <c r="AY14" s="190"/>
      <c r="AZ14" s="190"/>
      <c r="BA14" s="192"/>
      <c r="BB14" s="190"/>
      <c r="BC14" s="190"/>
      <c r="BD14" s="192"/>
      <c r="BE14" s="191"/>
      <c r="BF14" s="192"/>
      <c r="BG14" s="192"/>
      <c r="BH14" s="191"/>
      <c r="BI14" s="192"/>
      <c r="BJ14" s="193"/>
      <c r="BK14" s="194"/>
      <c r="BL14" s="193"/>
      <c r="BM14" s="193"/>
      <c r="BN14" s="194"/>
      <c r="BO14" s="193"/>
      <c r="BP14" s="193"/>
      <c r="BQ14" s="193"/>
      <c r="BR14" s="193"/>
      <c r="BS14" s="193"/>
      <c r="BT14" s="193"/>
      <c r="BU14" s="193"/>
      <c r="BV14" s="192"/>
      <c r="BW14" s="191"/>
      <c r="BX14" s="190"/>
      <c r="BY14" s="192"/>
      <c r="BZ14" s="191"/>
      <c r="CA14" s="190"/>
    </row>
    <row r="15" spans="1:79" ht="90.75" customHeight="1">
      <c r="A15" s="1669"/>
      <c r="B15" s="1670"/>
      <c r="C15" s="1670"/>
      <c r="D15" s="1670"/>
      <c r="E15" s="1670"/>
      <c r="F15" s="570">
        <v>10</v>
      </c>
      <c r="G15" s="1671"/>
      <c r="H15" s="1671"/>
      <c r="I15" s="571"/>
      <c r="J15" s="572"/>
      <c r="K15" s="1668"/>
      <c r="L15" s="1668"/>
      <c r="M15" s="1668"/>
      <c r="N15" s="1668"/>
      <c r="O15" s="1668"/>
      <c r="P15" s="1668"/>
      <c r="Q15" s="1668"/>
      <c r="R15" s="1668"/>
      <c r="S15" s="573"/>
      <c r="T15" s="574"/>
      <c r="U15" s="575"/>
    </row>
    <row r="16" spans="1:79" ht="90.75" customHeight="1">
      <c r="A16" s="1669"/>
      <c r="B16" s="1670"/>
      <c r="C16" s="1670"/>
      <c r="D16" s="1670"/>
      <c r="E16" s="1670"/>
      <c r="F16" s="570">
        <v>11</v>
      </c>
      <c r="G16" s="1671"/>
      <c r="H16" s="1671"/>
      <c r="I16" s="571"/>
      <c r="J16" s="572"/>
      <c r="K16" s="1668"/>
      <c r="L16" s="1668"/>
      <c r="M16" s="1668"/>
      <c r="N16" s="1668"/>
      <c r="O16" s="1668"/>
      <c r="P16" s="1668"/>
      <c r="Q16" s="1668"/>
      <c r="R16" s="1668"/>
      <c r="S16" s="573"/>
      <c r="T16" s="574"/>
      <c r="U16" s="575"/>
    </row>
    <row r="17" spans="1:22" ht="90.75" customHeight="1">
      <c r="A17" s="1669"/>
      <c r="B17" s="1670"/>
      <c r="C17" s="1670"/>
      <c r="D17" s="1670"/>
      <c r="E17" s="1670"/>
      <c r="F17" s="570">
        <v>12</v>
      </c>
      <c r="G17" s="1671"/>
      <c r="H17" s="1671"/>
      <c r="I17" s="571"/>
      <c r="J17" s="572"/>
      <c r="K17" s="1668"/>
      <c r="L17" s="1668"/>
      <c r="M17" s="1668"/>
      <c r="N17" s="1668"/>
      <c r="O17" s="1668"/>
      <c r="P17" s="1668"/>
      <c r="Q17" s="1668"/>
      <c r="R17" s="1668"/>
      <c r="S17" s="573"/>
      <c r="T17" s="574"/>
      <c r="U17" s="575"/>
    </row>
    <row r="18" spans="1:22" ht="90.75" customHeight="1">
      <c r="A18" s="1669"/>
      <c r="B18" s="1670"/>
      <c r="C18" s="1670"/>
      <c r="D18" s="1670"/>
      <c r="E18" s="1670"/>
      <c r="F18" s="570">
        <v>13</v>
      </c>
      <c r="G18" s="1671"/>
      <c r="H18" s="1671"/>
      <c r="I18" s="571"/>
      <c r="J18" s="572"/>
      <c r="K18" s="1668"/>
      <c r="L18" s="1668"/>
      <c r="M18" s="1668"/>
      <c r="N18" s="1668"/>
      <c r="O18" s="1668"/>
      <c r="P18" s="1668"/>
      <c r="Q18" s="1668"/>
      <c r="R18" s="1668"/>
      <c r="S18" s="573"/>
      <c r="T18" s="574"/>
      <c r="U18" s="575"/>
    </row>
    <row r="19" spans="1:22" ht="90.75" customHeight="1">
      <c r="A19" s="1669"/>
      <c r="B19" s="1670"/>
      <c r="C19" s="1670"/>
      <c r="D19" s="1670"/>
      <c r="E19" s="1670"/>
      <c r="F19" s="570">
        <v>14</v>
      </c>
      <c r="G19" s="1671"/>
      <c r="H19" s="1671"/>
      <c r="I19" s="571"/>
      <c r="J19" s="572"/>
      <c r="K19" s="1668"/>
      <c r="L19" s="1668"/>
      <c r="M19" s="1668"/>
      <c r="N19" s="1668"/>
      <c r="O19" s="1668"/>
      <c r="P19" s="1668"/>
      <c r="Q19" s="1668"/>
      <c r="R19" s="1668"/>
      <c r="S19" s="573"/>
      <c r="T19" s="574"/>
      <c r="U19" s="575"/>
    </row>
    <row r="20" spans="1:22" ht="90.75" customHeight="1">
      <c r="A20" s="1665"/>
      <c r="B20" s="1666"/>
      <c r="C20" s="1666"/>
      <c r="D20" s="1666"/>
      <c r="E20" s="1666"/>
      <c r="F20" s="576">
        <v>15</v>
      </c>
      <c r="G20" s="1667"/>
      <c r="H20" s="1667"/>
      <c r="I20" s="577"/>
      <c r="J20" s="578"/>
      <c r="K20" s="1664"/>
      <c r="L20" s="1664"/>
      <c r="M20" s="1664"/>
      <c r="N20" s="1664"/>
      <c r="O20" s="1664"/>
      <c r="P20" s="1664"/>
      <c r="Q20" s="1664"/>
      <c r="R20" s="1664"/>
      <c r="S20" s="579"/>
      <c r="T20" s="580"/>
      <c r="U20" s="581"/>
    </row>
    <row r="21" spans="1:22" ht="90.75" customHeight="1">
      <c r="A21" s="1652"/>
      <c r="B21" s="1653"/>
      <c r="C21" s="1653"/>
      <c r="D21" s="1653"/>
      <c r="E21" s="1653"/>
      <c r="F21" s="582">
        <v>16</v>
      </c>
      <c r="G21" s="1654"/>
      <c r="H21" s="1654"/>
      <c r="I21" s="583"/>
      <c r="J21" s="584"/>
      <c r="K21" s="1655"/>
      <c r="L21" s="1655"/>
      <c r="M21" s="1655"/>
      <c r="N21" s="1655"/>
      <c r="O21" s="1655"/>
      <c r="P21" s="1655"/>
      <c r="Q21" s="1655"/>
      <c r="R21" s="1655"/>
      <c r="S21" s="585"/>
      <c r="T21" s="586"/>
      <c r="U21" s="587"/>
      <c r="V21" s="244"/>
    </row>
    <row r="22" spans="1:22" ht="90.75" customHeight="1">
      <c r="A22" s="1652"/>
      <c r="B22" s="1653"/>
      <c r="C22" s="1653"/>
      <c r="D22" s="1653"/>
      <c r="E22" s="1653"/>
      <c r="F22" s="582">
        <v>17</v>
      </c>
      <c r="G22" s="1654"/>
      <c r="H22" s="1654"/>
      <c r="I22" s="583"/>
      <c r="J22" s="584"/>
      <c r="K22" s="1655"/>
      <c r="L22" s="1655"/>
      <c r="M22" s="1655"/>
      <c r="N22" s="1655"/>
      <c r="O22" s="1655"/>
      <c r="P22" s="1655"/>
      <c r="Q22" s="1655"/>
      <c r="R22" s="1655"/>
      <c r="S22" s="585"/>
      <c r="T22" s="586"/>
      <c r="U22" s="587"/>
    </row>
    <row r="23" spans="1:22" ht="90.75" customHeight="1">
      <c r="A23" s="1652"/>
      <c r="B23" s="1653"/>
      <c r="C23" s="1653"/>
      <c r="D23" s="1653"/>
      <c r="E23" s="1653"/>
      <c r="F23" s="582">
        <v>18</v>
      </c>
      <c r="G23" s="1654"/>
      <c r="H23" s="1654"/>
      <c r="I23" s="583"/>
      <c r="J23" s="584"/>
      <c r="K23" s="1655"/>
      <c r="L23" s="1655"/>
      <c r="M23" s="1655"/>
      <c r="N23" s="1655"/>
      <c r="O23" s="1655"/>
      <c r="P23" s="1655"/>
      <c r="Q23" s="1655"/>
      <c r="R23" s="1655"/>
      <c r="S23" s="585"/>
      <c r="T23" s="586"/>
      <c r="U23" s="587"/>
    </row>
    <row r="24" spans="1:22" ht="90.75" customHeight="1">
      <c r="A24" s="1652"/>
      <c r="B24" s="1653"/>
      <c r="C24" s="1653"/>
      <c r="D24" s="1653"/>
      <c r="E24" s="1653"/>
      <c r="F24" s="582">
        <v>19</v>
      </c>
      <c r="G24" s="1654"/>
      <c r="H24" s="1654"/>
      <c r="I24" s="583"/>
      <c r="J24" s="584"/>
      <c r="K24" s="1655"/>
      <c r="L24" s="1655"/>
      <c r="M24" s="1655"/>
      <c r="N24" s="1655"/>
      <c r="O24" s="1655"/>
      <c r="P24" s="1655"/>
      <c r="Q24" s="1655"/>
      <c r="R24" s="1655"/>
      <c r="S24" s="585"/>
      <c r="T24" s="586"/>
      <c r="U24" s="587"/>
    </row>
    <row r="25" spans="1:22" ht="90.75" customHeight="1" thickBot="1">
      <c r="A25" s="1665"/>
      <c r="B25" s="1666"/>
      <c r="C25" s="1666"/>
      <c r="D25" s="1666"/>
      <c r="E25" s="1666"/>
      <c r="F25" s="576">
        <v>20</v>
      </c>
      <c r="G25" s="1667"/>
      <c r="H25" s="1667"/>
      <c r="I25" s="577"/>
      <c r="J25" s="578"/>
      <c r="K25" s="1664"/>
      <c r="L25" s="1664"/>
      <c r="M25" s="1664"/>
      <c r="N25" s="1664"/>
      <c r="O25" s="1664"/>
      <c r="P25" s="1664"/>
      <c r="Q25" s="1664"/>
      <c r="R25" s="1664"/>
      <c r="S25" s="579"/>
      <c r="T25" s="580"/>
      <c r="U25" s="581"/>
    </row>
    <row r="26" spans="1:22" ht="23.25" customHeight="1">
      <c r="A26" s="1660" t="s">
        <v>686</v>
      </c>
      <c r="B26" s="1661"/>
      <c r="C26" s="1661"/>
      <c r="D26" s="1661"/>
      <c r="E26" s="1661"/>
      <c r="F26" s="1661"/>
      <c r="G26" s="1661"/>
      <c r="H26" s="1661"/>
      <c r="I26" s="1661"/>
      <c r="J26" s="1658">
        <f>SUM(S6:S25)</f>
        <v>0</v>
      </c>
      <c r="K26" s="1656" t="s">
        <v>849</v>
      </c>
      <c r="L26" s="1656"/>
      <c r="M26" s="1656"/>
      <c r="N26" s="1656"/>
      <c r="O26" s="1656"/>
      <c r="P26" s="1656"/>
      <c r="Q26" s="1656"/>
      <c r="R26" s="1656"/>
      <c r="S26" s="245">
        <f ca="1">IF(SUM(SUMIF((A6:E25),('Data Base'!K71),(S6:S25)),SUMIF((A6:E25),('Data Base'!K72),(S6:S25)),SUMIF((A6:E25),('Data Base'!K73),(S6:S25)),SUMIF((A6:E25),('Data Base'!K74),(S6:S25)),SUMIF((A6:E25),('Data Base'!K75),(S6:S25)),SUMIF((A6:E25),('Data Base'!K76),(S6:S25)))&gt;20,20,SUM(SUMIF((A6:E25),('Data Base'!K71),(S6:S25)),SUMIF((A6:E25),('Data Base'!K72),(S6:S25)),SUMIF((A6:E25),('Data Base'!K73),(S6:S25)),SUMIF((A6:E25),('Data Base'!K74),(S6:S25)),SUMIF((A6:E25),('Data Base'!K75),(S6:S25)),SUMIF((A6:E25),('Data Base'!K76),(S6:S25))))</f>
        <v>0</v>
      </c>
      <c r="T26" s="246">
        <f ca="1">IF(SUM(SUMIF((A6:E25),('Data Base'!K71),(T6:T25)),SUMIF((A6:E25),('Data Base'!K72),(T6:T25)),SUMIF((A6:E25),('Data Base'!K73),(T6:T25)),SUMIF((A6:E25),('Data Base'!K74),(T6:T25)),SUMIF((A6:E25),('Data Base'!K75),(T6:T25)),SUMIF((A6:E25),('Data Base'!K76),(T6:T25)))&gt;20,20,SUM(SUMIF((A6:E25),('Data Base'!K71),(T6:T25)),SUMIF((A6:E25),('Data Base'!K72),(T6:T25)),SUMIF((A6:E25),('Data Base'!K73),(T6:T25)),SUMIF((A6:E25),('Data Base'!K74),(T6:T25)),SUMIF((A6:E25),('Data Base'!K75),(T6:T25)),SUMIF((A6:E25),('Data Base'!K76),(T6:T25))))</f>
        <v>0</v>
      </c>
      <c r="U26" s="249"/>
    </row>
    <row r="27" spans="1:22" ht="24.75" customHeight="1" thickBot="1">
      <c r="A27" s="1662"/>
      <c r="B27" s="1663"/>
      <c r="C27" s="1663"/>
      <c r="D27" s="1663"/>
      <c r="E27" s="1663"/>
      <c r="F27" s="1663"/>
      <c r="G27" s="1663"/>
      <c r="H27" s="1663"/>
      <c r="I27" s="1663"/>
      <c r="J27" s="1659"/>
      <c r="K27" s="1657" t="s">
        <v>848</v>
      </c>
      <c r="L27" s="1657"/>
      <c r="M27" s="1657"/>
      <c r="N27" s="1657"/>
      <c r="O27" s="1657"/>
      <c r="P27" s="1657"/>
      <c r="Q27" s="1657"/>
      <c r="R27" s="1657"/>
      <c r="S27" s="247">
        <f ca="1">IF(SUM(SUMIF((A6:E25),('Data Base'!K77),(S6:S25)),SUMIF((A6:E25),('Data Base'!K78),(S6:S25)),SUMIF((A6:E25),('Data Base'!K79),(S6:S25)),SUMIF((A6:E25),('Data Base'!K80),(S6:S25)))&gt;30,30,SUM(SUMIF((A6:E25),('Data Base'!K77),(S6:S25)),SUMIF((A6:E25),('Data Base'!K78),(S6:S25)),SUMIF((A6:E25),('Data Base'!K79),(S6:S25)),SUMIF((A6:E25),('Data Base'!K80),(S6:S25))))</f>
        <v>0</v>
      </c>
      <c r="T27" s="248">
        <f ca="1">IF(SUM(SUMIF((A6:E25),('Data Base'!K77),(T6:T25)),SUMIF((A6:E25),('Data Base'!K78),(T6:T25)),SUMIF((A6:E25),('Data Base'!K79),(T6:T25)),SUMIF((A6:E25),('Data Base'!K80),(T6:T25)))&gt;30,30,SUM(SUMIF((A6:E25),('Data Base'!K77),(T6:T25)),SUMIF((A6:E25),('Data Base'!K78),(T6:T25)),SUMIF((A6:E25),('Data Base'!K79),(T6:T25)),SUMIF((A6:E25),('Data Base'!K80),(T6:T25))))</f>
        <v>0</v>
      </c>
      <c r="U27" s="250"/>
    </row>
    <row r="28" spans="1:22" ht="29.25" customHeight="1">
      <c r="A28" s="1507" t="s">
        <v>31</v>
      </c>
      <c r="B28" s="1508"/>
      <c r="C28" s="1508"/>
      <c r="D28" s="1508"/>
      <c r="E28" s="1508"/>
      <c r="F28" s="1508"/>
      <c r="G28" s="1430" t="s">
        <v>32</v>
      </c>
      <c r="H28" s="1430"/>
      <c r="I28" s="1431">
        <f>Q2</f>
        <v>0</v>
      </c>
      <c r="J28" s="1432"/>
      <c r="K28" s="1432"/>
      <c r="L28" s="1432"/>
      <c r="M28" s="1432"/>
      <c r="N28" s="1430" t="s">
        <v>33</v>
      </c>
      <c r="O28" s="1430"/>
      <c r="P28" s="1430"/>
      <c r="Q28" s="1430"/>
      <c r="R28" s="1432">
        <f>C2</f>
        <v>0</v>
      </c>
      <c r="S28" s="1432"/>
      <c r="T28" s="1432"/>
      <c r="U28" s="1506"/>
    </row>
    <row r="29" spans="1:22" ht="29.25" customHeight="1" thickBot="1">
      <c r="A29" s="1437">
        <f>'فرم الف'!A27</f>
        <v>0</v>
      </c>
      <c r="B29" s="1425"/>
      <c r="C29" s="1425"/>
      <c r="D29" s="1425"/>
      <c r="E29" s="1425"/>
      <c r="F29" s="1425"/>
      <c r="G29" s="1425">
        <f>'فرم الف'!E27</f>
        <v>0</v>
      </c>
      <c r="H29" s="1425"/>
      <c r="I29" s="1425"/>
      <c r="J29" s="1425"/>
      <c r="K29" s="1425"/>
      <c r="L29" s="1425"/>
      <c r="M29" s="1425"/>
      <c r="N29" s="1425" t="str">
        <f>'فرم الف'!J27</f>
        <v/>
      </c>
      <c r="O29" s="1425"/>
      <c r="P29" s="1425"/>
      <c r="Q29" s="1425"/>
      <c r="R29" s="1425"/>
      <c r="S29" s="1425"/>
      <c r="T29" s="1425"/>
      <c r="U29" s="1426"/>
    </row>
  </sheetData>
  <sheetProtection algorithmName="SHA-512" hashValue="3bBAWlIra8FRW+1RoVhCcH6bYO+mDgxCyRqN0Xp62EwfYUt5LjxfzG9HDHYY8ABb3yzd2uNG9/Ia0RQF+qa8Lw==" saltValue="I91rNpZ4yaGiTzNiTKD6iA==" spinCount="100000" sheet="1" objects="1" scenarios="1" formatCells="0" formatRows="0" selectLockedCells="1"/>
  <mergeCells count="153">
    <mergeCell ref="R3:U3"/>
    <mergeCell ref="A3:Q3"/>
    <mergeCell ref="A29:F29"/>
    <mergeCell ref="A28:F28"/>
    <mergeCell ref="K4:L5"/>
    <mergeCell ref="S4:U4"/>
    <mergeCell ref="F4:F5"/>
    <mergeCell ref="Q1:U1"/>
    <mergeCell ref="C2:G2"/>
    <mergeCell ref="H2:L2"/>
    <mergeCell ref="M2:P2"/>
    <mergeCell ref="Q2:U2"/>
    <mergeCell ref="A1:B2"/>
    <mergeCell ref="C1:G1"/>
    <mergeCell ref="H1:L1"/>
    <mergeCell ref="M1:P1"/>
    <mergeCell ref="Q4:R5"/>
    <mergeCell ref="A20:E20"/>
    <mergeCell ref="G20:H20"/>
    <mergeCell ref="K20:L20"/>
    <mergeCell ref="M20:N20"/>
    <mergeCell ref="O20:P20"/>
    <mergeCell ref="Q20:R20"/>
    <mergeCell ref="A18:E18"/>
    <mergeCell ref="A4:E5"/>
    <mergeCell ref="G4:H5"/>
    <mergeCell ref="M4:N5"/>
    <mergeCell ref="O4:P5"/>
    <mergeCell ref="I4:I5"/>
    <mergeCell ref="J4:J5"/>
    <mergeCell ref="M18:N18"/>
    <mergeCell ref="O18:P18"/>
    <mergeCell ref="A16:E16"/>
    <mergeCell ref="G16:H16"/>
    <mergeCell ref="K16:L16"/>
    <mergeCell ref="M16:N16"/>
    <mergeCell ref="O16:P16"/>
    <mergeCell ref="O15:P15"/>
    <mergeCell ref="Q18:R18"/>
    <mergeCell ref="A19:E19"/>
    <mergeCell ref="G19:H19"/>
    <mergeCell ref="K19:L19"/>
    <mergeCell ref="M19:N19"/>
    <mergeCell ref="O19:P19"/>
    <mergeCell ref="Q19:R19"/>
    <mergeCell ref="O17:P17"/>
    <mergeCell ref="Q17:R17"/>
    <mergeCell ref="G18:H18"/>
    <mergeCell ref="K18:L18"/>
    <mergeCell ref="Q6:R6"/>
    <mergeCell ref="A7:E7"/>
    <mergeCell ref="G7:H7"/>
    <mergeCell ref="K7:L7"/>
    <mergeCell ref="M7:N7"/>
    <mergeCell ref="O7:P7"/>
    <mergeCell ref="Q7:R7"/>
    <mergeCell ref="A6:E6"/>
    <mergeCell ref="G6:H6"/>
    <mergeCell ref="K6:L6"/>
    <mergeCell ref="M6:N6"/>
    <mergeCell ref="O6:P6"/>
    <mergeCell ref="Q8:R8"/>
    <mergeCell ref="A9:E9"/>
    <mergeCell ref="G9:H9"/>
    <mergeCell ref="K9:L9"/>
    <mergeCell ref="M9:N9"/>
    <mergeCell ref="O9:P9"/>
    <mergeCell ref="Q9:R9"/>
    <mergeCell ref="A8:E8"/>
    <mergeCell ref="G8:H8"/>
    <mergeCell ref="K8:L8"/>
    <mergeCell ref="M8:N8"/>
    <mergeCell ref="O8:P8"/>
    <mergeCell ref="Q10:R10"/>
    <mergeCell ref="A11:E11"/>
    <mergeCell ref="G11:H11"/>
    <mergeCell ref="K11:L11"/>
    <mergeCell ref="M11:N11"/>
    <mergeCell ref="O11:P11"/>
    <mergeCell ref="Q11:R11"/>
    <mergeCell ref="A10:E10"/>
    <mergeCell ref="G10:H10"/>
    <mergeCell ref="K10:L10"/>
    <mergeCell ref="M10:N10"/>
    <mergeCell ref="O10:P10"/>
    <mergeCell ref="Q16:R16"/>
    <mergeCell ref="A17:E17"/>
    <mergeCell ref="G17:H17"/>
    <mergeCell ref="K17:L17"/>
    <mergeCell ref="M17:N17"/>
    <mergeCell ref="Q14:R14"/>
    <mergeCell ref="A15:E15"/>
    <mergeCell ref="G15:H15"/>
    <mergeCell ref="K15:L15"/>
    <mergeCell ref="M15:N15"/>
    <mergeCell ref="Q15:R15"/>
    <mergeCell ref="A14:E14"/>
    <mergeCell ref="G14:H14"/>
    <mergeCell ref="K14:L14"/>
    <mergeCell ref="M14:N14"/>
    <mergeCell ref="O14:P14"/>
    <mergeCell ref="Q12:R12"/>
    <mergeCell ref="A13:E13"/>
    <mergeCell ref="G13:H13"/>
    <mergeCell ref="K13:L13"/>
    <mergeCell ref="M13:N13"/>
    <mergeCell ref="O13:P13"/>
    <mergeCell ref="Q13:R13"/>
    <mergeCell ref="A12:E12"/>
    <mergeCell ref="G12:H12"/>
    <mergeCell ref="K12:L12"/>
    <mergeCell ref="M12:N12"/>
    <mergeCell ref="O12:P12"/>
    <mergeCell ref="Q25:R25"/>
    <mergeCell ref="G28:H28"/>
    <mergeCell ref="A25:E25"/>
    <mergeCell ref="G25:H25"/>
    <mergeCell ref="A21:E21"/>
    <mergeCell ref="G21:H21"/>
    <mergeCell ref="K21:L21"/>
    <mergeCell ref="M21:N21"/>
    <mergeCell ref="O21:P21"/>
    <mergeCell ref="Q21:R21"/>
    <mergeCell ref="A22:E22"/>
    <mergeCell ref="G22:H22"/>
    <mergeCell ref="K22:L22"/>
    <mergeCell ref="M22:N22"/>
    <mergeCell ref="O22:P22"/>
    <mergeCell ref="Q22:R22"/>
    <mergeCell ref="G29:M29"/>
    <mergeCell ref="A23:E23"/>
    <mergeCell ref="G23:H23"/>
    <mergeCell ref="K23:L23"/>
    <mergeCell ref="M23:N23"/>
    <mergeCell ref="O23:P23"/>
    <mergeCell ref="Q23:R23"/>
    <mergeCell ref="A24:E24"/>
    <mergeCell ref="G24:H24"/>
    <mergeCell ref="K24:L24"/>
    <mergeCell ref="M24:N24"/>
    <mergeCell ref="O24:P24"/>
    <mergeCell ref="Q24:R24"/>
    <mergeCell ref="N29:U29"/>
    <mergeCell ref="I28:M28"/>
    <mergeCell ref="N28:Q28"/>
    <mergeCell ref="R28:U28"/>
    <mergeCell ref="K26:R26"/>
    <mergeCell ref="K27:R27"/>
    <mergeCell ref="J26:J27"/>
    <mergeCell ref="A26:I27"/>
    <mergeCell ref="K25:L25"/>
    <mergeCell ref="M25:N25"/>
    <mergeCell ref="O25:P25"/>
  </mergeCells>
  <conditionalFormatting sqref="I6:K10 G6:G10 M6:M10 O6:O10 Q6:Q10 A6:A12 A13:E20 G11:R20">
    <cfRule type="containsBlanks" dxfId="100" priority="2">
      <formula>LEN(TRIM(A6))=0</formula>
    </cfRule>
  </conditionalFormatting>
  <conditionalFormatting sqref="A21:E25 G21:R25">
    <cfRule type="containsBlanks" dxfId="99" priority="1">
      <formula>LEN(TRIM(A21))=0</formula>
    </cfRule>
  </conditionalFormatting>
  <dataValidations count="2">
    <dataValidation allowBlank="1" showInputMessage="1" showErrorMessage="1" promptTitle="توجه:" prompt="لطفا نام كشور قيد شود" sqref="I6:I25"/>
    <dataValidation allowBlank="1" showInputMessage="1" showErrorMessage="1" promptTitle="توجه:" prompt="امتياز اين فعاليت فقط با داشتن كارنامه از معاونت پژوهش و فناوري دانشگاه لحاظ مي گردد." sqref="G6:H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داخل ليست انتخاب نماييد">
          <x14:formula1>
            <xm:f>'Data Base'!$K$71:$K$80</xm:f>
          </x14:formula1>
          <xm:sqref>A6:E25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249977111117893"/>
  </sheetPr>
  <dimension ref="A1:CB62"/>
  <sheetViews>
    <sheetView showGridLines="0" rightToLeft="1" view="pageBreakPreview" zoomScaleNormal="100" zoomScaleSheetLayoutView="100" workbookViewId="0">
      <pane ySplit="5" topLeftCell="A6" activePane="bottomLeft" state="frozen"/>
      <selection pane="bottomLeft" activeCell="Q6" sqref="Q6"/>
    </sheetView>
  </sheetViews>
  <sheetFormatPr defaultColWidth="9.140625" defaultRowHeight="15"/>
  <cols>
    <col min="1" max="1" width="2.85546875" style="11" customWidth="1"/>
    <col min="2" max="2" width="3.7109375" style="11" customWidth="1"/>
    <col min="3" max="7" width="5" style="11" customWidth="1"/>
    <col min="8" max="8" width="5.7109375" style="11" customWidth="1"/>
    <col min="9" max="9" width="9.5703125" style="11" customWidth="1"/>
    <col min="10" max="11" width="6.140625" style="11" customWidth="1"/>
    <col min="12" max="13" width="3.85546875" style="11" customWidth="1"/>
    <col min="14" max="14" width="5.28515625" style="11" customWidth="1"/>
    <col min="15" max="15" width="6.42578125" style="11" customWidth="1"/>
    <col min="16" max="16" width="12.5703125" style="11" customWidth="1"/>
    <col min="17" max="17" width="10.42578125" style="11" customWidth="1"/>
    <col min="18" max="20" width="5.42578125" style="11" customWidth="1"/>
    <col min="21" max="21" width="7.28515625" style="11" customWidth="1"/>
    <col min="22" max="16384" width="9.140625" style="11"/>
  </cols>
  <sheetData>
    <row r="1" spans="1:80" ht="15" customHeight="1">
      <c r="A1" s="1109" t="s">
        <v>34</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2"/>
      <c r="J2" s="1092"/>
      <c r="K2" s="1092"/>
      <c r="L2" s="1092"/>
      <c r="M2" s="1092">
        <f>'فرم الف'!J15</f>
        <v>0</v>
      </c>
      <c r="N2" s="1095"/>
      <c r="O2" s="1095"/>
      <c r="P2" s="1095"/>
      <c r="Q2" s="1115">
        <f>'فرم الف'!D9</f>
        <v>0</v>
      </c>
      <c r="R2" s="1116"/>
      <c r="S2" s="1116"/>
      <c r="T2" s="1116"/>
      <c r="U2" s="111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9" customHeight="1" thickBot="1">
      <c r="A3" s="1174" t="s">
        <v>307</v>
      </c>
      <c r="B3" s="1174"/>
      <c r="C3" s="1118"/>
      <c r="D3" s="1118"/>
      <c r="E3" s="1118"/>
      <c r="F3" s="1118"/>
      <c r="G3" s="1118"/>
      <c r="H3" s="1118"/>
      <c r="I3" s="1118"/>
      <c r="J3" s="1118"/>
      <c r="K3" s="1118"/>
      <c r="L3" s="1118"/>
      <c r="M3" s="1118"/>
      <c r="N3" s="1118"/>
      <c r="O3" s="1118"/>
      <c r="P3" s="1118"/>
      <c r="Q3" s="1118"/>
      <c r="R3" s="1118"/>
      <c r="S3" s="1370" t="s">
        <v>308</v>
      </c>
      <c r="T3" s="1119"/>
      <c r="U3" s="1119"/>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8"/>
      <c r="BE3" s="38"/>
      <c r="BF3" s="38"/>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686" t="s">
        <v>291</v>
      </c>
      <c r="C4" s="1686"/>
      <c r="D4" s="1686"/>
      <c r="E4" s="1686"/>
      <c r="F4" s="1686"/>
      <c r="G4" s="1686" t="s">
        <v>293</v>
      </c>
      <c r="H4" s="1686"/>
      <c r="I4" s="1226" t="s">
        <v>292</v>
      </c>
      <c r="J4" s="1122" t="s">
        <v>294</v>
      </c>
      <c r="K4" s="1136"/>
      <c r="L4" s="1392" t="s">
        <v>295</v>
      </c>
      <c r="M4" s="1686"/>
      <c r="N4" s="1122" t="s">
        <v>300</v>
      </c>
      <c r="O4" s="1136"/>
      <c r="P4" s="1686" t="s">
        <v>303</v>
      </c>
      <c r="Q4" s="1686" t="s">
        <v>933</v>
      </c>
      <c r="R4" s="1268" t="s">
        <v>13</v>
      </c>
      <c r="S4" s="1268"/>
      <c r="T4" s="1268"/>
      <c r="U4" s="1690" t="s">
        <v>14</v>
      </c>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7" customHeight="1" thickBot="1">
      <c r="A5" s="1121"/>
      <c r="B5" s="1687"/>
      <c r="C5" s="1687"/>
      <c r="D5" s="1687"/>
      <c r="E5" s="1687"/>
      <c r="F5" s="1687"/>
      <c r="G5" s="1687"/>
      <c r="H5" s="1687"/>
      <c r="I5" s="1212"/>
      <c r="J5" s="150" t="s">
        <v>301</v>
      </c>
      <c r="K5" s="149" t="s">
        <v>302</v>
      </c>
      <c r="L5" s="1211"/>
      <c r="M5" s="1687"/>
      <c r="N5" s="1131"/>
      <c r="O5" s="1137"/>
      <c r="P5" s="1687"/>
      <c r="Q5" s="1687"/>
      <c r="R5" s="15" t="s">
        <v>17</v>
      </c>
      <c r="S5" s="15" t="s">
        <v>349</v>
      </c>
      <c r="T5" s="15" t="s">
        <v>18</v>
      </c>
      <c r="U5" s="1276"/>
      <c r="W5" s="10"/>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7.75" customHeight="1">
      <c r="A6" s="14">
        <v>1</v>
      </c>
      <c r="B6" s="1688"/>
      <c r="C6" s="1688"/>
      <c r="D6" s="1688"/>
      <c r="E6" s="1688"/>
      <c r="F6" s="1688"/>
      <c r="G6" s="1404"/>
      <c r="H6" s="1404"/>
      <c r="I6" s="121"/>
      <c r="J6" s="117"/>
      <c r="K6" s="117"/>
      <c r="L6" s="1689"/>
      <c r="M6" s="1689"/>
      <c r="N6" s="1408"/>
      <c r="O6" s="1410"/>
      <c r="P6" s="121"/>
      <c r="Q6" s="121"/>
      <c r="R6" s="563"/>
      <c r="S6" s="175"/>
      <c r="T6" s="13"/>
      <c r="U6" s="143"/>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57.75" customHeight="1">
      <c r="A7" s="12">
        <v>2</v>
      </c>
      <c r="B7" s="1164"/>
      <c r="C7" s="1164"/>
      <c r="D7" s="1164"/>
      <c r="E7" s="1164"/>
      <c r="F7" s="1164"/>
      <c r="G7" s="1157"/>
      <c r="H7" s="1157"/>
      <c r="I7" s="42"/>
      <c r="J7" s="43"/>
      <c r="K7" s="43"/>
      <c r="L7" s="1387"/>
      <c r="M7" s="1389"/>
      <c r="N7" s="1387"/>
      <c r="O7" s="1389"/>
      <c r="P7" s="42"/>
      <c r="Q7" s="42"/>
      <c r="R7" s="550"/>
      <c r="S7" s="34"/>
      <c r="T7" s="145"/>
      <c r="U7" s="144"/>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57.75" customHeight="1">
      <c r="A8" s="12">
        <v>3</v>
      </c>
      <c r="B8" s="1164"/>
      <c r="C8" s="1164"/>
      <c r="D8" s="1164"/>
      <c r="E8" s="1164"/>
      <c r="F8" s="1164"/>
      <c r="G8" s="1157"/>
      <c r="H8" s="1157"/>
      <c r="I8" s="42"/>
      <c r="J8" s="43"/>
      <c r="K8" s="43"/>
      <c r="L8" s="1387"/>
      <c r="M8" s="1389"/>
      <c r="N8" s="1387"/>
      <c r="O8" s="1389"/>
      <c r="P8" s="42"/>
      <c r="Q8" s="42"/>
      <c r="R8" s="550"/>
      <c r="S8" s="34"/>
      <c r="T8" s="145"/>
      <c r="U8" s="144"/>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57.75" customHeight="1">
      <c r="A9" s="12">
        <v>4</v>
      </c>
      <c r="B9" s="1164"/>
      <c r="C9" s="1164"/>
      <c r="D9" s="1164"/>
      <c r="E9" s="1164"/>
      <c r="F9" s="1164"/>
      <c r="G9" s="1157"/>
      <c r="H9" s="1157"/>
      <c r="I9" s="42"/>
      <c r="J9" s="43"/>
      <c r="K9" s="43"/>
      <c r="L9" s="1387"/>
      <c r="M9" s="1389"/>
      <c r="N9" s="1387"/>
      <c r="O9" s="1389"/>
      <c r="P9" s="42"/>
      <c r="Q9" s="42"/>
      <c r="R9" s="550"/>
      <c r="S9" s="34"/>
      <c r="T9" s="145"/>
      <c r="U9" s="144"/>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57.75" customHeight="1">
      <c r="A10" s="12">
        <v>5</v>
      </c>
      <c r="B10" s="1164"/>
      <c r="C10" s="1164"/>
      <c r="D10" s="1164"/>
      <c r="E10" s="1164"/>
      <c r="F10" s="1164"/>
      <c r="G10" s="1157"/>
      <c r="H10" s="1157"/>
      <c r="I10" s="42"/>
      <c r="J10" s="43"/>
      <c r="K10" s="43"/>
      <c r="L10" s="1387"/>
      <c r="M10" s="1389"/>
      <c r="N10" s="1387"/>
      <c r="O10" s="1389"/>
      <c r="P10" s="42"/>
      <c r="Q10" s="42"/>
      <c r="R10" s="550"/>
      <c r="S10" s="34"/>
      <c r="T10" s="145"/>
      <c r="U10" s="144"/>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57.75" customHeight="1">
      <c r="A11" s="12">
        <v>6</v>
      </c>
      <c r="B11" s="1164"/>
      <c r="C11" s="1164"/>
      <c r="D11" s="1164"/>
      <c r="E11" s="1164"/>
      <c r="F11" s="1164"/>
      <c r="G11" s="1157"/>
      <c r="H11" s="1157"/>
      <c r="I11" s="42"/>
      <c r="J11" s="43"/>
      <c r="K11" s="43"/>
      <c r="L11" s="1387"/>
      <c r="M11" s="1389"/>
      <c r="N11" s="1387"/>
      <c r="O11" s="1389"/>
      <c r="P11" s="42"/>
      <c r="Q11" s="42"/>
      <c r="R11" s="550"/>
      <c r="S11" s="34"/>
      <c r="T11" s="145"/>
      <c r="U11" s="144"/>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57.75" customHeight="1">
      <c r="A12" s="12">
        <v>7</v>
      </c>
      <c r="B12" s="1164"/>
      <c r="C12" s="1164"/>
      <c r="D12" s="1164"/>
      <c r="E12" s="1164"/>
      <c r="F12" s="1164"/>
      <c r="G12" s="1157"/>
      <c r="H12" s="1157"/>
      <c r="I12" s="42"/>
      <c r="J12" s="43"/>
      <c r="K12" s="43"/>
      <c r="L12" s="1387"/>
      <c r="M12" s="1389"/>
      <c r="N12" s="1387"/>
      <c r="O12" s="1389"/>
      <c r="P12" s="42"/>
      <c r="Q12" s="42"/>
      <c r="R12" s="550"/>
      <c r="S12" s="34"/>
      <c r="T12" s="145"/>
      <c r="U12" s="144"/>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57.75" customHeight="1">
      <c r="A13" s="12">
        <v>8</v>
      </c>
      <c r="B13" s="1164"/>
      <c r="C13" s="1164"/>
      <c r="D13" s="1164"/>
      <c r="E13" s="1164"/>
      <c r="F13" s="1164"/>
      <c r="G13" s="1157"/>
      <c r="H13" s="1157"/>
      <c r="I13" s="42"/>
      <c r="J13" s="43"/>
      <c r="K13" s="43"/>
      <c r="L13" s="1387"/>
      <c r="M13" s="1389"/>
      <c r="N13" s="1387"/>
      <c r="O13" s="1389"/>
      <c r="P13" s="42"/>
      <c r="Q13" s="42"/>
      <c r="R13" s="550"/>
      <c r="S13" s="34"/>
      <c r="T13" s="145"/>
      <c r="U13" s="144"/>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57.75" customHeight="1">
      <c r="A14" s="12">
        <v>9</v>
      </c>
      <c r="B14" s="1164"/>
      <c r="C14" s="1164"/>
      <c r="D14" s="1164"/>
      <c r="E14" s="1164"/>
      <c r="F14" s="1164"/>
      <c r="G14" s="1157"/>
      <c r="H14" s="1157"/>
      <c r="I14" s="42"/>
      <c r="J14" s="43"/>
      <c r="K14" s="43"/>
      <c r="L14" s="1387"/>
      <c r="M14" s="1389"/>
      <c r="N14" s="1387"/>
      <c r="O14" s="1389"/>
      <c r="P14" s="42"/>
      <c r="Q14" s="42"/>
      <c r="R14" s="550"/>
      <c r="S14" s="34"/>
      <c r="T14" s="145"/>
      <c r="U14" s="144"/>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57.75" customHeight="1">
      <c r="A15" s="12">
        <v>10</v>
      </c>
      <c r="B15" s="1164"/>
      <c r="C15" s="1164"/>
      <c r="D15" s="1164"/>
      <c r="E15" s="1164"/>
      <c r="F15" s="1164"/>
      <c r="G15" s="1157"/>
      <c r="H15" s="1157"/>
      <c r="I15" s="42"/>
      <c r="J15" s="43"/>
      <c r="K15" s="43"/>
      <c r="L15" s="1387"/>
      <c r="M15" s="1389"/>
      <c r="N15" s="1387"/>
      <c r="O15" s="1389"/>
      <c r="P15" s="42"/>
      <c r="Q15" s="42"/>
      <c r="R15" s="550"/>
      <c r="S15" s="34"/>
      <c r="T15" s="145"/>
      <c r="U15" s="144"/>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57.75" customHeight="1">
      <c r="A16" s="12">
        <v>11</v>
      </c>
      <c r="B16" s="1164"/>
      <c r="C16" s="1164"/>
      <c r="D16" s="1164"/>
      <c r="E16" s="1164"/>
      <c r="F16" s="1164"/>
      <c r="G16" s="1157"/>
      <c r="H16" s="1157"/>
      <c r="I16" s="42"/>
      <c r="J16" s="43"/>
      <c r="K16" s="43"/>
      <c r="L16" s="1387"/>
      <c r="M16" s="1389"/>
      <c r="N16" s="1387"/>
      <c r="O16" s="1389"/>
      <c r="P16" s="42"/>
      <c r="Q16" s="42"/>
      <c r="R16" s="550"/>
      <c r="S16" s="34"/>
      <c r="T16" s="145"/>
      <c r="U16" s="144"/>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57.75" customHeight="1">
      <c r="A17" s="12">
        <v>12</v>
      </c>
      <c r="B17" s="1164"/>
      <c r="C17" s="1164"/>
      <c r="D17" s="1164"/>
      <c r="E17" s="1164"/>
      <c r="F17" s="1164"/>
      <c r="G17" s="1157"/>
      <c r="H17" s="1157"/>
      <c r="I17" s="42"/>
      <c r="J17" s="43"/>
      <c r="K17" s="43"/>
      <c r="L17" s="1387"/>
      <c r="M17" s="1389"/>
      <c r="N17" s="1387"/>
      <c r="O17" s="1389"/>
      <c r="P17" s="42"/>
      <c r="Q17" s="42"/>
      <c r="R17" s="550"/>
      <c r="S17" s="34"/>
      <c r="T17" s="145"/>
      <c r="U17" s="144"/>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57.75" customHeight="1">
      <c r="A18" s="12">
        <v>13</v>
      </c>
      <c r="B18" s="1164"/>
      <c r="C18" s="1164"/>
      <c r="D18" s="1164"/>
      <c r="E18" s="1164"/>
      <c r="F18" s="1164"/>
      <c r="G18" s="1157"/>
      <c r="H18" s="1157"/>
      <c r="I18" s="42"/>
      <c r="J18" s="43"/>
      <c r="K18" s="43"/>
      <c r="L18" s="1387"/>
      <c r="M18" s="1389"/>
      <c r="N18" s="1387"/>
      <c r="O18" s="1389"/>
      <c r="P18" s="42"/>
      <c r="Q18" s="42"/>
      <c r="R18" s="550"/>
      <c r="S18" s="34"/>
      <c r="T18" s="145"/>
      <c r="U18" s="144"/>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57.75" customHeight="1">
      <c r="A19" s="12">
        <v>14</v>
      </c>
      <c r="B19" s="1164"/>
      <c r="C19" s="1164"/>
      <c r="D19" s="1164"/>
      <c r="E19" s="1164"/>
      <c r="F19" s="1164"/>
      <c r="G19" s="1157"/>
      <c r="H19" s="1157"/>
      <c r="I19" s="42"/>
      <c r="J19" s="43"/>
      <c r="K19" s="43"/>
      <c r="L19" s="1387"/>
      <c r="M19" s="1389"/>
      <c r="N19" s="1387"/>
      <c r="O19" s="1389"/>
      <c r="P19" s="42"/>
      <c r="Q19" s="42"/>
      <c r="R19" s="550"/>
      <c r="S19" s="34"/>
      <c r="T19" s="145"/>
      <c r="U19" s="144"/>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57.75" customHeight="1">
      <c r="A20" s="12">
        <v>15</v>
      </c>
      <c r="B20" s="1164"/>
      <c r="C20" s="1164"/>
      <c r="D20" s="1164"/>
      <c r="E20" s="1164"/>
      <c r="F20" s="1164"/>
      <c r="G20" s="1157"/>
      <c r="H20" s="1157"/>
      <c r="I20" s="42"/>
      <c r="J20" s="43"/>
      <c r="K20" s="43"/>
      <c r="L20" s="1387"/>
      <c r="M20" s="1389"/>
      <c r="N20" s="1387"/>
      <c r="O20" s="1389"/>
      <c r="P20" s="42"/>
      <c r="Q20" s="42"/>
      <c r="R20" s="550"/>
      <c r="S20" s="34"/>
      <c r="T20" s="145"/>
      <c r="U20" s="144"/>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57.75" customHeight="1">
      <c r="A21" s="12">
        <v>16</v>
      </c>
      <c r="B21" s="1164"/>
      <c r="C21" s="1164"/>
      <c r="D21" s="1164"/>
      <c r="E21" s="1164"/>
      <c r="F21" s="1164"/>
      <c r="G21" s="1157"/>
      <c r="H21" s="1157"/>
      <c r="I21" s="42"/>
      <c r="J21" s="43"/>
      <c r="K21" s="43"/>
      <c r="L21" s="1387"/>
      <c r="M21" s="1389"/>
      <c r="N21" s="1387"/>
      <c r="O21" s="1389"/>
      <c r="P21" s="42"/>
      <c r="Q21" s="42"/>
      <c r="R21" s="550"/>
      <c r="S21" s="34"/>
      <c r="T21" s="145"/>
      <c r="U21" s="144"/>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57.75" customHeight="1">
      <c r="A22" s="12">
        <v>17</v>
      </c>
      <c r="B22" s="1164"/>
      <c r="C22" s="1164"/>
      <c r="D22" s="1164"/>
      <c r="E22" s="1164"/>
      <c r="F22" s="1164"/>
      <c r="G22" s="1157"/>
      <c r="H22" s="1157"/>
      <c r="I22" s="42"/>
      <c r="J22" s="43"/>
      <c r="K22" s="43"/>
      <c r="L22" s="1387"/>
      <c r="M22" s="1389"/>
      <c r="N22" s="1387"/>
      <c r="O22" s="1389"/>
      <c r="P22" s="42"/>
      <c r="Q22" s="42"/>
      <c r="R22" s="550"/>
      <c r="S22" s="34"/>
      <c r="T22" s="145"/>
      <c r="U22" s="144"/>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57.75" customHeight="1">
      <c r="A23" s="12">
        <v>18</v>
      </c>
      <c r="B23" s="1164"/>
      <c r="C23" s="1164"/>
      <c r="D23" s="1164"/>
      <c r="E23" s="1164"/>
      <c r="F23" s="1164"/>
      <c r="G23" s="1157"/>
      <c r="H23" s="1157"/>
      <c r="I23" s="42"/>
      <c r="J23" s="43"/>
      <c r="K23" s="43"/>
      <c r="L23" s="1387"/>
      <c r="M23" s="1389"/>
      <c r="N23" s="1387"/>
      <c r="O23" s="1389"/>
      <c r="P23" s="42"/>
      <c r="Q23" s="42"/>
      <c r="R23" s="550"/>
      <c r="S23" s="34"/>
      <c r="T23" s="145"/>
      <c r="U23" s="144"/>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57.75" customHeight="1">
      <c r="A24" s="12">
        <v>19</v>
      </c>
      <c r="B24" s="1164"/>
      <c r="C24" s="1164"/>
      <c r="D24" s="1164"/>
      <c r="E24" s="1164"/>
      <c r="F24" s="1164"/>
      <c r="G24" s="1157"/>
      <c r="H24" s="1157"/>
      <c r="I24" s="42"/>
      <c r="J24" s="43"/>
      <c r="K24" s="43"/>
      <c r="L24" s="1387"/>
      <c r="M24" s="1389"/>
      <c r="N24" s="1387"/>
      <c r="O24" s="1389"/>
      <c r="P24" s="42"/>
      <c r="Q24" s="42"/>
      <c r="R24" s="550"/>
      <c r="S24" s="34"/>
      <c r="T24" s="145"/>
      <c r="U24" s="144"/>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57.75" customHeight="1" thickBot="1">
      <c r="A25" s="45">
        <v>20</v>
      </c>
      <c r="B25" s="1260"/>
      <c r="C25" s="1260"/>
      <c r="D25" s="1260"/>
      <c r="E25" s="1260"/>
      <c r="F25" s="1260"/>
      <c r="G25" s="1182"/>
      <c r="H25" s="1182"/>
      <c r="I25" s="54"/>
      <c r="J25" s="53"/>
      <c r="K25" s="53"/>
      <c r="L25" s="1641"/>
      <c r="M25" s="1642"/>
      <c r="N25" s="1641"/>
      <c r="O25" s="1642"/>
      <c r="P25" s="54"/>
      <c r="Q25" s="54"/>
      <c r="R25" s="552"/>
      <c r="S25" s="176"/>
      <c r="T25" s="147"/>
      <c r="U25" s="146"/>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3.75" customHeight="1">
      <c r="A26" s="1684" t="s">
        <v>306</v>
      </c>
      <c r="B26" s="1685"/>
      <c r="C26" s="1685"/>
      <c r="D26" s="1685"/>
      <c r="E26" s="1685"/>
      <c r="F26" s="1685"/>
      <c r="G26" s="1685"/>
      <c r="H26" s="1685"/>
      <c r="I26" s="1685"/>
      <c r="J26" s="1685"/>
      <c r="K26" s="1685"/>
      <c r="L26" s="1685"/>
      <c r="M26" s="1685"/>
      <c r="N26" s="1685"/>
      <c r="O26" s="52">
        <f>SUMIF(G6:G25,'Data Base'!B84,R6:R25)</f>
        <v>0</v>
      </c>
      <c r="P26" s="1682" t="s">
        <v>323</v>
      </c>
      <c r="Q26" s="1683"/>
      <c r="R26" s="50">
        <f>IF(O26&gt;6,6,O26)</f>
        <v>0</v>
      </c>
      <c r="S26" s="49">
        <f>IF(SUMIF((G6:G25),('Data Base'!B84),(S6:S25))&gt;6,6,SUMIF((G6:G25),('Data Base'!B84),(S6:S25)))</f>
        <v>0</v>
      </c>
      <c r="T26" s="51"/>
      <c r="U26" s="55"/>
      <c r="V26" s="44"/>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75" customHeight="1" thickBot="1">
      <c r="A27" s="1680" t="s">
        <v>324</v>
      </c>
      <c r="B27" s="1681"/>
      <c r="C27" s="1681"/>
      <c r="D27" s="1681"/>
      <c r="E27" s="1681"/>
      <c r="F27" s="1681"/>
      <c r="G27" s="1681"/>
      <c r="H27" s="1681"/>
      <c r="I27" s="1681"/>
      <c r="J27" s="1681"/>
      <c r="K27" s="1681"/>
      <c r="L27" s="1681"/>
      <c r="M27" s="1681"/>
      <c r="N27" s="1681"/>
      <c r="O27" s="1681"/>
      <c r="P27" s="1681"/>
      <c r="Q27" s="1681"/>
      <c r="R27" s="251">
        <f ca="1">SUMIF((G6:H25),('Data Base'!B85),(R6:R25))</f>
        <v>0</v>
      </c>
      <c r="S27" s="252">
        <f>SUMIF((G6:G25),('Data Base'!B85),(S6:S25))</f>
        <v>0</v>
      </c>
      <c r="T27" s="253"/>
      <c r="U27" s="254"/>
      <c r="V27" s="44"/>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1.5" customHeight="1">
      <c r="A28" s="1397" t="s">
        <v>31</v>
      </c>
      <c r="B28" s="1398"/>
      <c r="C28" s="1398"/>
      <c r="D28" s="1398"/>
      <c r="E28" s="1398"/>
      <c r="F28" s="1398"/>
      <c r="G28" s="1398"/>
      <c r="H28" s="1399" t="s">
        <v>32</v>
      </c>
      <c r="I28" s="1399"/>
      <c r="J28" s="1399"/>
      <c r="K28" s="1400">
        <f>Q2</f>
        <v>0</v>
      </c>
      <c r="L28" s="1390"/>
      <c r="M28" s="1390"/>
      <c r="N28" s="1390"/>
      <c r="O28" s="1399" t="s">
        <v>33</v>
      </c>
      <c r="P28" s="1399"/>
      <c r="Q28" s="1390">
        <f>C2</f>
        <v>0</v>
      </c>
      <c r="R28" s="1390"/>
      <c r="S28" s="1390"/>
      <c r="T28" s="1390"/>
      <c r="U28" s="1391"/>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1.5" customHeight="1" thickBot="1">
      <c r="A29" s="1151">
        <f>'فرم الف'!A27</f>
        <v>0</v>
      </c>
      <c r="B29" s="1153"/>
      <c r="C29" s="1153"/>
      <c r="D29" s="1153"/>
      <c r="E29" s="1153"/>
      <c r="F29" s="1153"/>
      <c r="G29" s="1153"/>
      <c r="H29" s="1153">
        <f>'فرم الف'!E27</f>
        <v>0</v>
      </c>
      <c r="I29" s="1153"/>
      <c r="J29" s="1153"/>
      <c r="K29" s="1153"/>
      <c r="L29" s="1153"/>
      <c r="M29" s="1153"/>
      <c r="N29" s="1153"/>
      <c r="O29" s="1153" t="str">
        <f>'فرم الف'!J27</f>
        <v/>
      </c>
      <c r="P29" s="1153"/>
      <c r="Q29" s="1153"/>
      <c r="R29" s="1153"/>
      <c r="S29" s="1153"/>
      <c r="T29" s="1153"/>
      <c r="U29" s="1154"/>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6:80" ht="20.25" customHeight="1">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6:80">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6:80" ht="17.25" customHeight="1">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6:80" ht="20.25" customHeight="1">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6:80">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6:80" ht="17.25" customHeight="1">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6:80" ht="20.25" customHeight="1">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6:80">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6:80" ht="17.25" customHeight="1">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6:80" ht="20.25" customHeight="1">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6:80">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6:80" ht="17.25" customHeight="1">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6:80" ht="20.25" customHeight="1">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6:80">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6:80" ht="17.25" customHeight="1">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6:80" ht="20.25" customHeight="1">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6:80">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6:80" ht="17.25" customHeight="1">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6:80" ht="20.25" customHeight="1">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6:80">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6:80" ht="17.25" customHeight="1">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6:80" ht="20.25" customHeight="1">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6:80">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6:80" ht="17.25" customHeight="1">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6:80" ht="20.25" customHeight="1">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6:80">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6:80">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6:80">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1" spans="26:80" ht="26.25" customHeight="1">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row>
    <row r="62" spans="26:80" ht="26.25" customHeight="1">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row>
  </sheetData>
  <sheetProtection algorithmName="SHA-512" hashValue="W+oWR184OuTEmzyPaKt9qckgFxJOHbkEZvlsEM81FYlHOBR20GhtFIT8tBsOB2HbzC3HZNGzI1UU7H/Gbt1KcQ==" saltValue="MN3scpD1vNtusQA3T8if0g==" spinCount="100000" sheet="1" objects="1" scenarios="1" formatCells="0" formatRows="0" selectLockedCells="1"/>
  <mergeCells count="113">
    <mergeCell ref="A3:R3"/>
    <mergeCell ref="S3:U3"/>
    <mergeCell ref="A4:A5"/>
    <mergeCell ref="B4:F5"/>
    <mergeCell ref="L4:M5"/>
    <mergeCell ref="R4:T4"/>
    <mergeCell ref="U4:U5"/>
    <mergeCell ref="A1:B2"/>
    <mergeCell ref="C1:G1"/>
    <mergeCell ref="Q1:U1"/>
    <mergeCell ref="C2:G2"/>
    <mergeCell ref="Q2:U2"/>
    <mergeCell ref="N4:O5"/>
    <mergeCell ref="M1:P1"/>
    <mergeCell ref="H1:L1"/>
    <mergeCell ref="H2:L2"/>
    <mergeCell ref="M2:P2"/>
    <mergeCell ref="A29:G29"/>
    <mergeCell ref="O29:U29"/>
    <mergeCell ref="G4:H5"/>
    <mergeCell ref="I4:I5"/>
    <mergeCell ref="J4:K4"/>
    <mergeCell ref="G6:H6"/>
    <mergeCell ref="Q4:Q5"/>
    <mergeCell ref="A28:G28"/>
    <mergeCell ref="B24:F24"/>
    <mergeCell ref="L24:M24"/>
    <mergeCell ref="B25:F25"/>
    <mergeCell ref="L25:M25"/>
    <mergeCell ref="B22:F22"/>
    <mergeCell ref="L22:M22"/>
    <mergeCell ref="B23:F23"/>
    <mergeCell ref="L23:M23"/>
    <mergeCell ref="B20:F20"/>
    <mergeCell ref="L20:M20"/>
    <mergeCell ref="B21:F21"/>
    <mergeCell ref="L21:M21"/>
    <mergeCell ref="B18:F18"/>
    <mergeCell ref="L18:M18"/>
    <mergeCell ref="B19:F19"/>
    <mergeCell ref="L19:M19"/>
    <mergeCell ref="B8:F8"/>
    <mergeCell ref="G8:H8"/>
    <mergeCell ref="B9:F9"/>
    <mergeCell ref="G9:H9"/>
    <mergeCell ref="B10:F10"/>
    <mergeCell ref="G10:H10"/>
    <mergeCell ref="P4:P5"/>
    <mergeCell ref="G7:H7"/>
    <mergeCell ref="G18:H18"/>
    <mergeCell ref="L8:M8"/>
    <mergeCell ref="L9:M9"/>
    <mergeCell ref="L10:M10"/>
    <mergeCell ref="B6:F6"/>
    <mergeCell ref="L6:M6"/>
    <mergeCell ref="B7:F7"/>
    <mergeCell ref="L7:M7"/>
    <mergeCell ref="B11:F11"/>
    <mergeCell ref="G11:H11"/>
    <mergeCell ref="L11:M11"/>
    <mergeCell ref="B12:F12"/>
    <mergeCell ref="G12:H12"/>
    <mergeCell ref="L12:M12"/>
    <mergeCell ref="N6:O6"/>
    <mergeCell ref="N7:O7"/>
    <mergeCell ref="G24:H24"/>
    <mergeCell ref="G15:H15"/>
    <mergeCell ref="L15:M15"/>
    <mergeCell ref="B16:F16"/>
    <mergeCell ref="G16:H16"/>
    <mergeCell ref="L16:M16"/>
    <mergeCell ref="B13:F13"/>
    <mergeCell ref="G13:H13"/>
    <mergeCell ref="L13:M13"/>
    <mergeCell ref="B14:F14"/>
    <mergeCell ref="G14:H14"/>
    <mergeCell ref="L14:M14"/>
    <mergeCell ref="G19:H19"/>
    <mergeCell ref="G20:H20"/>
    <mergeCell ref="G21:H21"/>
    <mergeCell ref="N8:O8"/>
    <mergeCell ref="N9:O9"/>
    <mergeCell ref="N10:O10"/>
    <mergeCell ref="N11:O11"/>
    <mergeCell ref="N12:O12"/>
    <mergeCell ref="N19:O19"/>
    <mergeCell ref="N23:O23"/>
    <mergeCell ref="N24:O24"/>
    <mergeCell ref="N25:O25"/>
    <mergeCell ref="H28:J28"/>
    <mergeCell ref="H29:N29"/>
    <mergeCell ref="K28:N28"/>
    <mergeCell ref="N13:O13"/>
    <mergeCell ref="N14:O14"/>
    <mergeCell ref="N15:O15"/>
    <mergeCell ref="N16:O16"/>
    <mergeCell ref="N17:O17"/>
    <mergeCell ref="N18:O18"/>
    <mergeCell ref="N20:O20"/>
    <mergeCell ref="N21:O21"/>
    <mergeCell ref="N22:O22"/>
    <mergeCell ref="A27:Q27"/>
    <mergeCell ref="O28:P28"/>
    <mergeCell ref="Q28:U28"/>
    <mergeCell ref="B17:F17"/>
    <mergeCell ref="G17:H17"/>
    <mergeCell ref="L17:M17"/>
    <mergeCell ref="B15:F15"/>
    <mergeCell ref="G25:H25"/>
    <mergeCell ref="P26:Q26"/>
    <mergeCell ref="A26:N26"/>
    <mergeCell ref="G22:H22"/>
    <mergeCell ref="G23:H23"/>
  </mergeCells>
  <conditionalFormatting sqref="B6:G7 I7:M7 I6:N6 P6:Q7">
    <cfRule type="containsBlanks" dxfId="98" priority="4">
      <formula>LEN(TRIM(B6))=0</formula>
    </cfRule>
  </conditionalFormatting>
  <conditionalFormatting sqref="B8:G25 I8:M25 P8:Q25">
    <cfRule type="containsBlanks" dxfId="97" priority="2">
      <formula>LEN(TRIM(B8))=0</formula>
    </cfRule>
  </conditionalFormatting>
  <conditionalFormatting sqref="N7:N25">
    <cfRule type="containsBlanks" dxfId="96" priority="1">
      <formula>LEN(TRIM(N7))=0</formula>
    </cfRule>
  </conditionalFormatting>
  <dataValidations count="3">
    <dataValidation type="decimal" operator="greaterThanOrEqual" allowBlank="1" showInputMessage="1" showErrorMessage="1" errorTitle="خطا در ورود امتياز" error="لطفا يك عدد بالاتر از صفر وارد نماييد" promptTitle="توجه:" prompt="حداکثر تا 2 امتیاز در واحد کار براي طرح هاي داخلي_x000a_حداکثر تا 15 امتیاز در واحد کار براي طرح هاي خارجي" sqref="R6:S25">
      <formula1>0</formula1>
    </dataValidation>
    <dataValidation allowBlank="1" showInputMessage="1" showErrorMessage="1" promptTitle="توجه:" prompt="جهت طرح هاي خارج از موسسه تاريخ و شماره تایید شده نهاد سفارش دهنده وارد شود" sqref="I6:I25"/>
    <dataValidation allowBlank="1" showInputMessage="1" showErrorMessage="1" promptTitle="نام موسسه يا نهاد سفارش دهنده" prompt="اين سلول جهت طرح هاي پژوهشي خارج موسسه مي باشد." sqref="P6:P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Base'!$B$84:$B$85</xm:f>
          </x14:formula1>
          <xm:sqref>G6:H25</xm:sqref>
        </x14:dataValidation>
        <x14:dataValidation type="list" allowBlank="1" showInputMessage="1" showErrorMessage="1">
          <x14:formula1>
            <xm:f>'Data Base'!$F$84:$F$86</xm:f>
          </x14:formula1>
          <xm:sqref>L6:M25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85546875" style="19" customWidth="1"/>
    <col min="7" max="7" width="6.5703125" style="19" customWidth="1"/>
    <col min="8" max="8" width="6.140625" style="19" customWidth="1"/>
    <col min="9" max="9" width="13.7109375" style="19" customWidth="1"/>
    <col min="10" max="11" width="6.140625" style="19" customWidth="1"/>
    <col min="12" max="12" width="7.140625" style="19" customWidth="1"/>
    <col min="13" max="13" width="6.140625" style="19" customWidth="1"/>
    <col min="14" max="15" width="6.5703125" style="19" customWidth="1"/>
    <col min="16" max="16" width="6.140625" style="19" customWidth="1"/>
    <col min="17" max="19" width="5.42578125" style="19" customWidth="1"/>
    <col min="20" max="20" width="7.42578125" style="19" customWidth="1"/>
    <col min="21" max="16384" width="9.140625" style="19"/>
  </cols>
  <sheetData>
    <row r="1" spans="1:79" ht="15" customHeight="1">
      <c r="A1" s="1466" t="s">
        <v>34</v>
      </c>
      <c r="B1" s="1467"/>
      <c r="C1" s="1494" t="s">
        <v>0</v>
      </c>
      <c r="D1" s="1486"/>
      <c r="E1" s="1486"/>
      <c r="F1" s="1486"/>
      <c r="G1" s="1486"/>
      <c r="H1" s="1486" t="s">
        <v>1</v>
      </c>
      <c r="I1" s="1486"/>
      <c r="J1" s="1486"/>
      <c r="K1" s="1486"/>
      <c r="L1" s="1491" t="s">
        <v>2</v>
      </c>
      <c r="M1" s="1491"/>
      <c r="N1" s="1491"/>
      <c r="O1" s="1491"/>
      <c r="P1" s="1486" t="s">
        <v>3</v>
      </c>
      <c r="Q1" s="1486"/>
      <c r="R1" s="1486"/>
      <c r="S1" s="1486"/>
      <c r="T1" s="1487"/>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row>
    <row r="2" spans="1:79"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88">
        <f>'فرم الف'!D9</f>
        <v>0</v>
      </c>
      <c r="Q2" s="1489"/>
      <c r="R2" s="1489"/>
      <c r="S2" s="1489"/>
      <c r="T2" s="1490"/>
      <c r="Y2" s="198"/>
      <c r="Z2" s="198"/>
      <c r="AA2" s="198"/>
      <c r="AB2" s="198"/>
      <c r="AC2" s="178"/>
      <c r="AD2" s="198"/>
      <c r="AE2" s="198"/>
      <c r="AF2" s="198"/>
      <c r="AG2" s="198"/>
      <c r="AH2" s="198"/>
      <c r="AI2" s="198"/>
      <c r="AJ2" s="198"/>
      <c r="AK2" s="198"/>
      <c r="AL2" s="198"/>
      <c r="AM2" s="198"/>
      <c r="AN2" s="198"/>
      <c r="AO2" s="198"/>
      <c r="AP2" s="198"/>
      <c r="AQ2" s="179"/>
      <c r="AR2" s="180"/>
      <c r="AS2" s="180"/>
      <c r="AT2" s="179"/>
      <c r="AU2" s="180"/>
      <c r="AV2" s="180"/>
      <c r="AW2" s="179"/>
      <c r="AX2" s="180"/>
      <c r="AY2" s="180"/>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row>
    <row r="3" spans="1:79" ht="21.75" thickBot="1">
      <c r="A3" s="1528" t="s">
        <v>839</v>
      </c>
      <c r="B3" s="1528"/>
      <c r="C3" s="1529"/>
      <c r="D3" s="1529"/>
      <c r="E3" s="1529"/>
      <c r="F3" s="1529"/>
      <c r="G3" s="1529"/>
      <c r="H3" s="1529"/>
      <c r="I3" s="1529"/>
      <c r="J3" s="1529"/>
      <c r="K3" s="1529"/>
      <c r="L3" s="1529"/>
      <c r="M3" s="1529"/>
      <c r="N3" s="1529"/>
      <c r="O3" s="1529"/>
      <c r="P3" s="1529"/>
      <c r="Q3" s="1529"/>
      <c r="R3" s="1527" t="s">
        <v>309</v>
      </c>
      <c r="S3" s="1527"/>
      <c r="T3" s="1527"/>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9"/>
      <c r="BD3" s="199"/>
      <c r="BE3" s="199"/>
      <c r="BF3" s="198"/>
      <c r="BG3" s="198"/>
      <c r="BH3" s="198"/>
      <c r="BI3" s="198"/>
      <c r="BJ3" s="198"/>
      <c r="BK3" s="198"/>
      <c r="BL3" s="198"/>
      <c r="BM3" s="198"/>
      <c r="BN3" s="198"/>
      <c r="BO3" s="198"/>
      <c r="BP3" s="198"/>
      <c r="BQ3" s="198"/>
      <c r="BR3" s="198"/>
      <c r="BS3" s="198"/>
      <c r="BT3" s="198"/>
      <c r="BU3" s="198"/>
      <c r="BV3" s="198"/>
      <c r="BW3" s="198"/>
      <c r="BX3" s="198"/>
      <c r="BY3" s="198"/>
      <c r="BZ3" s="198"/>
      <c r="CA3" s="198"/>
    </row>
    <row r="4" spans="1:79" ht="18.75" customHeight="1">
      <c r="A4" s="1479" t="s">
        <v>9</v>
      </c>
      <c r="B4" s="1644" t="s">
        <v>310</v>
      </c>
      <c r="C4" s="1645"/>
      <c r="D4" s="1645"/>
      <c r="E4" s="1645"/>
      <c r="F4" s="1646"/>
      <c r="G4" s="1453" t="s">
        <v>311</v>
      </c>
      <c r="H4" s="1650"/>
      <c r="I4" s="1650"/>
      <c r="J4" s="1482" t="s">
        <v>243</v>
      </c>
      <c r="K4" s="1482"/>
      <c r="L4" s="1453" t="s">
        <v>312</v>
      </c>
      <c r="M4" s="1454"/>
      <c r="N4" s="1482" t="s">
        <v>56</v>
      </c>
      <c r="O4" s="1482"/>
      <c r="P4" s="1482"/>
      <c r="Q4" s="1470" t="s">
        <v>13</v>
      </c>
      <c r="R4" s="1470"/>
      <c r="S4" s="1470"/>
      <c r="T4" s="1524" t="s">
        <v>14</v>
      </c>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row>
    <row r="5" spans="1:79" ht="57" customHeight="1" thickBot="1">
      <c r="A5" s="1480"/>
      <c r="B5" s="1647"/>
      <c r="C5" s="1648"/>
      <c r="D5" s="1648"/>
      <c r="E5" s="1648"/>
      <c r="F5" s="1649"/>
      <c r="G5" s="1455"/>
      <c r="H5" s="1651"/>
      <c r="I5" s="1651"/>
      <c r="J5" s="1483"/>
      <c r="K5" s="1483"/>
      <c r="L5" s="1455"/>
      <c r="M5" s="1456"/>
      <c r="N5" s="1483"/>
      <c r="O5" s="1483"/>
      <c r="P5" s="1483"/>
      <c r="Q5" s="188" t="s">
        <v>17</v>
      </c>
      <c r="R5" s="188" t="s">
        <v>349</v>
      </c>
      <c r="S5" s="188" t="s">
        <v>18</v>
      </c>
      <c r="T5" s="1525"/>
      <c r="V5" s="189"/>
      <c r="Y5" s="198"/>
      <c r="Z5" s="200"/>
      <c r="AA5" s="200"/>
      <c r="AB5" s="200"/>
      <c r="AC5" s="191"/>
      <c r="AD5" s="191"/>
      <c r="AE5" s="191"/>
      <c r="AF5" s="191"/>
      <c r="AG5" s="200"/>
      <c r="AH5" s="191"/>
      <c r="AI5" s="200"/>
      <c r="AJ5" s="200"/>
      <c r="AK5" s="200"/>
      <c r="AL5" s="200"/>
      <c r="AM5" s="200"/>
      <c r="AN5" s="200"/>
      <c r="AO5" s="200"/>
      <c r="AP5" s="200"/>
      <c r="AQ5" s="201"/>
      <c r="AR5" s="200"/>
      <c r="AS5" s="200"/>
      <c r="AT5" s="201"/>
      <c r="AU5" s="200"/>
      <c r="AV5" s="200"/>
      <c r="AW5" s="201"/>
      <c r="AX5" s="200"/>
      <c r="AY5" s="200"/>
      <c r="AZ5" s="201"/>
      <c r="BA5" s="200"/>
      <c r="BB5" s="200"/>
      <c r="BC5" s="201"/>
      <c r="BD5" s="191"/>
      <c r="BE5" s="201"/>
      <c r="BF5" s="201"/>
      <c r="BG5" s="191"/>
      <c r="BH5" s="201"/>
      <c r="BI5" s="202"/>
      <c r="BJ5" s="194"/>
      <c r="BK5" s="202"/>
      <c r="BL5" s="202"/>
      <c r="BM5" s="194"/>
      <c r="BN5" s="202"/>
      <c r="BO5" s="202"/>
      <c r="BP5" s="202"/>
      <c r="BQ5" s="202"/>
      <c r="BR5" s="202"/>
      <c r="BS5" s="202"/>
      <c r="BT5" s="202"/>
      <c r="BU5" s="201"/>
      <c r="BV5" s="191"/>
      <c r="BW5" s="200"/>
      <c r="BX5" s="201"/>
      <c r="BY5" s="191"/>
      <c r="BZ5" s="200"/>
      <c r="CA5" s="198"/>
    </row>
    <row r="6" spans="1:79" ht="20.25">
      <c r="A6" s="223">
        <v>1</v>
      </c>
      <c r="B6" s="1160"/>
      <c r="C6" s="1201"/>
      <c r="D6" s="1201"/>
      <c r="E6" s="1201"/>
      <c r="F6" s="1161"/>
      <c r="G6" s="1160"/>
      <c r="H6" s="1201"/>
      <c r="I6" s="1201"/>
      <c r="J6" s="1643"/>
      <c r="K6" s="1643"/>
      <c r="L6" s="1408"/>
      <c r="M6" s="1410"/>
      <c r="N6" s="1404"/>
      <c r="O6" s="1404"/>
      <c r="P6" s="1404"/>
      <c r="Q6" s="563"/>
      <c r="R6" s="175"/>
      <c r="S6" s="13"/>
      <c r="T6" s="143"/>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row>
    <row r="7" spans="1:79" ht="17.25" customHeight="1">
      <c r="A7" s="224">
        <v>2</v>
      </c>
      <c r="B7" s="1202"/>
      <c r="C7" s="1203"/>
      <c r="D7" s="1203"/>
      <c r="E7" s="1203"/>
      <c r="F7" s="1204"/>
      <c r="G7" s="1202"/>
      <c r="H7" s="1203"/>
      <c r="I7" s="1203"/>
      <c r="J7" s="1534"/>
      <c r="K7" s="1534"/>
      <c r="L7" s="1387"/>
      <c r="M7" s="1389"/>
      <c r="N7" s="1157"/>
      <c r="O7" s="1157"/>
      <c r="P7" s="1157"/>
      <c r="Q7" s="550"/>
      <c r="R7" s="34"/>
      <c r="S7" s="145"/>
      <c r="T7" s="144"/>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row>
    <row r="8" spans="1:79" ht="17.25" customHeight="1">
      <c r="A8" s="224">
        <v>3</v>
      </c>
      <c r="B8" s="1202"/>
      <c r="C8" s="1203"/>
      <c r="D8" s="1203"/>
      <c r="E8" s="1203"/>
      <c r="F8" s="1204"/>
      <c r="G8" s="1202"/>
      <c r="H8" s="1203"/>
      <c r="I8" s="1203"/>
      <c r="J8" s="1534"/>
      <c r="K8" s="1534"/>
      <c r="L8" s="1387"/>
      <c r="M8" s="1389"/>
      <c r="N8" s="1157"/>
      <c r="O8" s="1157"/>
      <c r="P8" s="1157"/>
      <c r="Q8" s="550"/>
      <c r="R8" s="34"/>
      <c r="S8" s="145"/>
      <c r="T8" s="144"/>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row>
    <row r="9" spans="1:79" ht="17.25" customHeight="1">
      <c r="A9" s="224">
        <v>4</v>
      </c>
      <c r="B9" s="1202"/>
      <c r="C9" s="1203"/>
      <c r="D9" s="1203"/>
      <c r="E9" s="1203"/>
      <c r="F9" s="1204"/>
      <c r="G9" s="1202"/>
      <c r="H9" s="1203"/>
      <c r="I9" s="1203"/>
      <c r="J9" s="1534"/>
      <c r="K9" s="1534"/>
      <c r="L9" s="1387"/>
      <c r="M9" s="1389"/>
      <c r="N9" s="1157"/>
      <c r="O9" s="1157"/>
      <c r="P9" s="1157"/>
      <c r="Q9" s="550"/>
      <c r="R9" s="34"/>
      <c r="S9" s="145"/>
      <c r="T9" s="144"/>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row>
    <row r="10" spans="1:79" ht="17.25" customHeight="1">
      <c r="A10" s="224">
        <v>5</v>
      </c>
      <c r="B10" s="1202"/>
      <c r="C10" s="1203"/>
      <c r="D10" s="1203"/>
      <c r="E10" s="1203"/>
      <c r="F10" s="1204"/>
      <c r="G10" s="1202"/>
      <c r="H10" s="1203"/>
      <c r="I10" s="1203"/>
      <c r="J10" s="1534"/>
      <c r="K10" s="1534"/>
      <c r="L10" s="1387"/>
      <c r="M10" s="1389"/>
      <c r="N10" s="1157"/>
      <c r="O10" s="1157"/>
      <c r="P10" s="1157"/>
      <c r="Q10" s="550"/>
      <c r="R10" s="34"/>
      <c r="S10" s="145"/>
      <c r="T10" s="144"/>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row>
    <row r="11" spans="1:79" ht="17.25" customHeight="1">
      <c r="A11" s="224">
        <v>6</v>
      </c>
      <c r="B11" s="1202"/>
      <c r="C11" s="1203"/>
      <c r="D11" s="1203"/>
      <c r="E11" s="1203"/>
      <c r="F11" s="1204"/>
      <c r="G11" s="1202"/>
      <c r="H11" s="1203"/>
      <c r="I11" s="1203"/>
      <c r="J11" s="1534"/>
      <c r="K11" s="1534"/>
      <c r="L11" s="1387"/>
      <c r="M11" s="1389"/>
      <c r="N11" s="1157"/>
      <c r="O11" s="1157"/>
      <c r="P11" s="1157"/>
      <c r="Q11" s="550"/>
      <c r="R11" s="34"/>
      <c r="S11" s="145"/>
      <c r="T11" s="144"/>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row>
    <row r="12" spans="1:79" ht="17.25" customHeight="1">
      <c r="A12" s="224">
        <v>7</v>
      </c>
      <c r="B12" s="1202"/>
      <c r="C12" s="1203"/>
      <c r="D12" s="1203"/>
      <c r="E12" s="1203"/>
      <c r="F12" s="1204"/>
      <c r="G12" s="1202"/>
      <c r="H12" s="1203"/>
      <c r="I12" s="1203"/>
      <c r="J12" s="1534"/>
      <c r="K12" s="1534"/>
      <c r="L12" s="1387"/>
      <c r="M12" s="1389"/>
      <c r="N12" s="1157"/>
      <c r="O12" s="1157"/>
      <c r="P12" s="1157"/>
      <c r="Q12" s="550"/>
      <c r="R12" s="34"/>
      <c r="S12" s="145"/>
      <c r="T12" s="144"/>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row>
    <row r="13" spans="1:79" ht="17.25" customHeight="1">
      <c r="A13" s="224">
        <v>8</v>
      </c>
      <c r="B13" s="1202"/>
      <c r="C13" s="1203"/>
      <c r="D13" s="1203"/>
      <c r="E13" s="1203"/>
      <c r="F13" s="1204"/>
      <c r="G13" s="1202"/>
      <c r="H13" s="1203"/>
      <c r="I13" s="1203"/>
      <c r="J13" s="1534"/>
      <c r="K13" s="1534"/>
      <c r="L13" s="1387"/>
      <c r="M13" s="1389"/>
      <c r="N13" s="1157"/>
      <c r="O13" s="1157"/>
      <c r="P13" s="1157"/>
      <c r="Q13" s="550"/>
      <c r="R13" s="34"/>
      <c r="S13" s="145"/>
      <c r="T13" s="144"/>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row>
    <row r="14" spans="1:79" ht="17.25" customHeight="1">
      <c r="A14" s="224">
        <v>9</v>
      </c>
      <c r="B14" s="1202"/>
      <c r="C14" s="1203"/>
      <c r="D14" s="1203"/>
      <c r="E14" s="1203"/>
      <c r="F14" s="1204"/>
      <c r="G14" s="1202"/>
      <c r="H14" s="1203"/>
      <c r="I14" s="1203"/>
      <c r="J14" s="1534"/>
      <c r="K14" s="1534"/>
      <c r="L14" s="1387"/>
      <c r="M14" s="1389"/>
      <c r="N14" s="1157"/>
      <c r="O14" s="1157"/>
      <c r="P14" s="1157"/>
      <c r="Q14" s="550"/>
      <c r="R14" s="34"/>
      <c r="S14" s="145"/>
      <c r="T14" s="144"/>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row>
    <row r="15" spans="1:79" ht="17.25" customHeight="1" thickBot="1">
      <c r="A15" s="225">
        <v>10</v>
      </c>
      <c r="B15" s="1244"/>
      <c r="C15" s="1245"/>
      <c r="D15" s="1245"/>
      <c r="E15" s="1245"/>
      <c r="F15" s="1246"/>
      <c r="G15" s="1244"/>
      <c r="H15" s="1245"/>
      <c r="I15" s="1245"/>
      <c r="J15" s="1424"/>
      <c r="K15" s="1424"/>
      <c r="L15" s="1641"/>
      <c r="M15" s="1642"/>
      <c r="N15" s="1182"/>
      <c r="O15" s="1182"/>
      <c r="P15" s="1182"/>
      <c r="Q15" s="552"/>
      <c r="R15" s="176"/>
      <c r="S15" s="147"/>
      <c r="T15" s="146"/>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row>
    <row r="16" spans="1:79" ht="27" customHeight="1" thickBot="1">
      <c r="A16" s="1143" t="s">
        <v>270</v>
      </c>
      <c r="B16" s="1144"/>
      <c r="C16" s="1144"/>
      <c r="D16" s="1144"/>
      <c r="E16" s="1144"/>
      <c r="F16" s="1144"/>
      <c r="G16" s="1144"/>
      <c r="H16" s="1144"/>
      <c r="I16" s="1144"/>
      <c r="J16" s="1144"/>
      <c r="K16" s="215">
        <f>SUM(Q6:Q15)</f>
        <v>0</v>
      </c>
      <c r="L16" s="1188" t="s">
        <v>322</v>
      </c>
      <c r="M16" s="1188"/>
      <c r="N16" s="1188"/>
      <c r="O16" s="1188"/>
      <c r="P16" s="1189"/>
      <c r="Q16" s="216">
        <f>IF(K16&gt;30,30,K16)</f>
        <v>0</v>
      </c>
      <c r="R16" s="238">
        <f>IF(SUM(R6:R15)&gt;30,30,SUM(R6:R15))</f>
        <v>0</v>
      </c>
      <c r="S16" s="48"/>
      <c r="T16" s="177"/>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row>
    <row r="17" spans="1:79" ht="33" customHeight="1">
      <c r="A17" s="1507" t="s">
        <v>31</v>
      </c>
      <c r="B17" s="1508"/>
      <c r="C17" s="1508"/>
      <c r="D17" s="1508"/>
      <c r="E17" s="1508"/>
      <c r="F17" s="1508"/>
      <c r="G17" s="1508"/>
      <c r="H17" s="1430" t="s">
        <v>32</v>
      </c>
      <c r="I17" s="1430"/>
      <c r="J17" s="1431">
        <f>P2</f>
        <v>0</v>
      </c>
      <c r="K17" s="1432"/>
      <c r="L17" s="1432"/>
      <c r="M17" s="1432"/>
      <c r="N17" s="1430" t="s">
        <v>33</v>
      </c>
      <c r="O17" s="1430"/>
      <c r="P17" s="1430"/>
      <c r="Q17" s="1432">
        <f>C2</f>
        <v>0</v>
      </c>
      <c r="R17" s="1432"/>
      <c r="S17" s="1432"/>
      <c r="T17" s="1506"/>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row>
    <row r="18" spans="1:79" ht="33" customHeight="1" thickBot="1">
      <c r="A18" s="1437">
        <f>'فرم الف'!A27</f>
        <v>0</v>
      </c>
      <c r="B18" s="1425"/>
      <c r="C18" s="1425"/>
      <c r="D18" s="1425"/>
      <c r="E18" s="1425"/>
      <c r="F18" s="1425"/>
      <c r="G18" s="1425"/>
      <c r="H18" s="1425">
        <f>'فرم الف'!E27</f>
        <v>0</v>
      </c>
      <c r="I18" s="1425"/>
      <c r="J18" s="1425"/>
      <c r="K18" s="1425"/>
      <c r="L18" s="1425"/>
      <c r="M18" s="1425"/>
      <c r="N18" s="1425" t="str">
        <f>'فرم الف'!J27</f>
        <v/>
      </c>
      <c r="O18" s="1425"/>
      <c r="P18" s="1425"/>
      <c r="Q18" s="1425"/>
      <c r="R18" s="1425"/>
      <c r="S18" s="1425"/>
      <c r="T18" s="1426"/>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row>
    <row r="19" spans="1:79" ht="20.25" customHeight="1">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row>
    <row r="20" spans="1:79">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row>
    <row r="21" spans="1:79" ht="17.25" customHeight="1">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row>
    <row r="22" spans="1:79" ht="20.25" customHeight="1">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row>
    <row r="23" spans="1:79">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row>
    <row r="24" spans="1:79" ht="17.25" customHeight="1">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row>
    <row r="25" spans="1:79" ht="20.25" customHeight="1">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row>
    <row r="26" spans="1:79">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row>
    <row r="27" spans="1:79" ht="17.25" customHeight="1">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row>
    <row r="28" spans="1:79" ht="20.25" customHeight="1">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row>
    <row r="29" spans="1:79">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row>
    <row r="30" spans="1:79" ht="17.25" customHeight="1">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row>
    <row r="31" spans="1:79" ht="20.25" customHeight="1">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row>
    <row r="32" spans="1:79">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row>
    <row r="33" spans="25:79" ht="17.25" customHeight="1">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row>
    <row r="34" spans="25:79" ht="20.25" customHeight="1">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row>
    <row r="35" spans="25:79">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row>
    <row r="36" spans="25:79" ht="17.25" customHeight="1">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row>
    <row r="37" spans="25:79" ht="20.25" customHeight="1">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row>
    <row r="38" spans="25:79">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row>
    <row r="39" spans="25:79" ht="17.25" customHeight="1">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row>
    <row r="40" spans="25:79" ht="20.25" customHeight="1">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row>
    <row r="41" spans="25:79">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row>
    <row r="42" spans="25:79" ht="17.25" customHeight="1">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row>
    <row r="43" spans="25:79" ht="20.25" customHeight="1">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row>
    <row r="44" spans="25:79">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row>
    <row r="45" spans="25:79" ht="17.25" customHeight="1">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row>
    <row r="46" spans="25:79" ht="20.25" customHeight="1">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row>
    <row r="47" spans="25:79">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row>
    <row r="48" spans="25:79" ht="17.25" customHeight="1">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row>
    <row r="49" spans="25:79" ht="20.25" customHeight="1">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row>
    <row r="50" spans="25:79">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row>
    <row r="51" spans="25:79" ht="17.25" customHeight="1">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row>
    <row r="52" spans="25:79" ht="20.25" customHeight="1">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row>
    <row r="53" spans="25:79">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row>
    <row r="54" spans="25:79" ht="17.25" customHeight="1">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row>
    <row r="55" spans="25:79" ht="20.25" customHeight="1">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row>
    <row r="56" spans="25:79">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row>
    <row r="57" spans="25:79" ht="17.25" customHeight="1">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row>
    <row r="58" spans="25:79" ht="20.25" customHeight="1">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row>
    <row r="59" spans="25:79">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row>
    <row r="60" spans="25:79">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row>
    <row r="61" spans="25:79">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row>
    <row r="62" spans="25:79" ht="26.25" customHeight="1">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row>
    <row r="63" spans="25:79" ht="26.25" customHeight="1">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row>
  </sheetData>
  <sheetProtection algorithmName="SHA-512" hashValue="tIf8dX7NS3WID0zBlwJ2uHoIevxbv74u5quYC8gqUOB9h5mPdT/kycSvbn76gIzFIiD6b1zJJjVIafVkbl6TxA==" saltValue="g46JI2w8CvBSdm3cTE/tlA=="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A3:Q3"/>
    <mergeCell ref="R3:T3"/>
    <mergeCell ref="A4:A5"/>
    <mergeCell ref="B4:F5"/>
    <mergeCell ref="G4:I5"/>
    <mergeCell ref="J4:K5"/>
    <mergeCell ref="L4:M5"/>
    <mergeCell ref="N4:P5"/>
    <mergeCell ref="Q4:S4"/>
    <mergeCell ref="T4:T5"/>
    <mergeCell ref="B7:F7"/>
    <mergeCell ref="G7:I7"/>
    <mergeCell ref="J7:K7"/>
    <mergeCell ref="L7:M7"/>
    <mergeCell ref="N7:P7"/>
    <mergeCell ref="B6:F6"/>
    <mergeCell ref="G6:I6"/>
    <mergeCell ref="J6:K6"/>
    <mergeCell ref="L6:M6"/>
    <mergeCell ref="N6:P6"/>
    <mergeCell ref="B9:F9"/>
    <mergeCell ref="G9:I9"/>
    <mergeCell ref="J9:K9"/>
    <mergeCell ref="L9:M9"/>
    <mergeCell ref="N9:P9"/>
    <mergeCell ref="B8:F8"/>
    <mergeCell ref="G8:I8"/>
    <mergeCell ref="J8:K8"/>
    <mergeCell ref="L8:M8"/>
    <mergeCell ref="N8:P8"/>
    <mergeCell ref="B11:F11"/>
    <mergeCell ref="G11:I11"/>
    <mergeCell ref="J11:K11"/>
    <mergeCell ref="L11:M11"/>
    <mergeCell ref="N11:P11"/>
    <mergeCell ref="B10:F10"/>
    <mergeCell ref="G10:I10"/>
    <mergeCell ref="J10:K10"/>
    <mergeCell ref="L10:M10"/>
    <mergeCell ref="N10:P10"/>
    <mergeCell ref="B13:F13"/>
    <mergeCell ref="G13:I13"/>
    <mergeCell ref="J13:K13"/>
    <mergeCell ref="L13:M13"/>
    <mergeCell ref="N13:P13"/>
    <mergeCell ref="B12:F12"/>
    <mergeCell ref="G12:I12"/>
    <mergeCell ref="J12:K12"/>
    <mergeCell ref="L12:M12"/>
    <mergeCell ref="N12:P12"/>
    <mergeCell ref="B15:F15"/>
    <mergeCell ref="G15:I15"/>
    <mergeCell ref="J15:K15"/>
    <mergeCell ref="L15:M15"/>
    <mergeCell ref="N15:P15"/>
    <mergeCell ref="B14:F14"/>
    <mergeCell ref="G14:I14"/>
    <mergeCell ref="J14:K14"/>
    <mergeCell ref="L14:M14"/>
    <mergeCell ref="N14:P14"/>
    <mergeCell ref="L16:P16"/>
    <mergeCell ref="A16:J16"/>
    <mergeCell ref="Q17:T17"/>
    <mergeCell ref="A18:G18"/>
    <mergeCell ref="H18:M18"/>
    <mergeCell ref="N18:T18"/>
    <mergeCell ref="A17:G17"/>
    <mergeCell ref="H17:I17"/>
    <mergeCell ref="J17:M17"/>
    <mergeCell ref="N17:P17"/>
  </mergeCells>
  <conditionalFormatting sqref="B6:P15">
    <cfRule type="containsBlanks" dxfId="95" priority="1">
      <formula>LEN(TRIM(B6))=0</formula>
    </cfRule>
  </conditionalFormatting>
  <dataValidations count="1">
    <dataValidation type="decimal" allowBlank="1" showInputMessage="1" showErrorMessage="1" errorTitle="خطا در ورود امتياز" error="لطفا يك عدد بين 0 تا 10 وارد نماييد." promptTitle="توجه:" prompt="حداکثر تا 10 امتیاز در واحد کار" sqref="Q6:R15">
      <formula1>0</formula1>
      <formula2>10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Base'!$B$41:$B$43</xm:f>
          </x14:formula1>
          <xm:sqref>L6:M15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249977111117893"/>
  </sheetPr>
  <dimension ref="A1:CB56"/>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cols>
    <col min="1" max="1" width="2.85546875" style="19" customWidth="1"/>
    <col min="2" max="2" width="3.7109375" style="19" customWidth="1"/>
    <col min="3" max="7" width="5.140625" style="19" customWidth="1"/>
    <col min="8" max="8" width="5.7109375" style="19" customWidth="1"/>
    <col min="9" max="10" width="8.28515625" style="19" customWidth="1"/>
    <col min="11" max="12" width="6.140625" style="19" customWidth="1"/>
    <col min="13" max="13" width="5" style="19" customWidth="1"/>
    <col min="14" max="15" width="3.5703125" style="19" customWidth="1"/>
    <col min="16" max="16" width="12.140625" style="19" customWidth="1"/>
    <col min="17" max="17" width="9.7109375" style="19" customWidth="1"/>
    <col min="18" max="20" width="5.42578125" style="19" customWidth="1"/>
    <col min="21" max="21" width="7.7109375" style="19" customWidth="1"/>
    <col min="22" max="16384" width="9.140625" style="19"/>
  </cols>
  <sheetData>
    <row r="1" spans="1:80" ht="15" customHeight="1">
      <c r="A1" s="1466" t="s">
        <v>34</v>
      </c>
      <c r="B1" s="1467"/>
      <c r="C1" s="1494" t="s">
        <v>0</v>
      </c>
      <c r="D1" s="1486"/>
      <c r="E1" s="1486"/>
      <c r="F1" s="1486"/>
      <c r="G1" s="1486"/>
      <c r="H1" s="1486" t="s">
        <v>1</v>
      </c>
      <c r="I1" s="1486"/>
      <c r="J1" s="1486"/>
      <c r="K1" s="1486"/>
      <c r="L1" s="1491" t="s">
        <v>2</v>
      </c>
      <c r="M1" s="1491"/>
      <c r="N1" s="1491"/>
      <c r="O1" s="1491"/>
      <c r="P1" s="1491"/>
      <c r="Q1" s="1486" t="s">
        <v>3</v>
      </c>
      <c r="R1" s="1486"/>
      <c r="S1" s="1486"/>
      <c r="T1" s="1486"/>
      <c r="U1" s="1487"/>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93"/>
      <c r="Q2" s="1488">
        <f>'فرم الف'!D9</f>
        <v>0</v>
      </c>
      <c r="R2" s="1489"/>
      <c r="S2" s="1489"/>
      <c r="T2" s="1489"/>
      <c r="U2" s="1490"/>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979</v>
      </c>
      <c r="B3" s="1528"/>
      <c r="C3" s="1529"/>
      <c r="D3" s="1529"/>
      <c r="E3" s="1529"/>
      <c r="F3" s="1529"/>
      <c r="G3" s="1529"/>
      <c r="H3" s="1529"/>
      <c r="I3" s="1529"/>
      <c r="J3" s="1529"/>
      <c r="K3" s="1529"/>
      <c r="L3" s="1529"/>
      <c r="M3" s="1529"/>
      <c r="N3" s="1529"/>
      <c r="O3" s="1529"/>
      <c r="P3" s="1529"/>
      <c r="Q3" s="1529"/>
      <c r="R3" s="1529"/>
      <c r="S3" s="1697" t="s">
        <v>316</v>
      </c>
      <c r="T3" s="1527"/>
      <c r="U3" s="1527"/>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6.5" customHeight="1">
      <c r="A4" s="1479" t="s">
        <v>9</v>
      </c>
      <c r="B4" s="1453" t="s">
        <v>240</v>
      </c>
      <c r="C4" s="1650"/>
      <c r="D4" s="1650"/>
      <c r="E4" s="1650"/>
      <c r="F4" s="1650"/>
      <c r="G4" s="1650"/>
      <c r="H4" s="1650"/>
      <c r="I4" s="1453" t="s">
        <v>294</v>
      </c>
      <c r="J4" s="1454"/>
      <c r="K4" s="1650" t="s">
        <v>966</v>
      </c>
      <c r="L4" s="1650"/>
      <c r="M4" s="1454"/>
      <c r="N4" s="1453" t="s">
        <v>318</v>
      </c>
      <c r="O4" s="1454"/>
      <c r="P4" s="1482" t="s">
        <v>317</v>
      </c>
      <c r="Q4" s="1482" t="s">
        <v>243</v>
      </c>
      <c r="R4" s="1470" t="s">
        <v>13</v>
      </c>
      <c r="S4" s="1470"/>
      <c r="T4" s="1470"/>
      <c r="U4" s="1524" t="s">
        <v>14</v>
      </c>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60" customHeight="1" thickBot="1">
      <c r="A5" s="1480"/>
      <c r="B5" s="1455"/>
      <c r="C5" s="1651"/>
      <c r="D5" s="1651"/>
      <c r="E5" s="1651"/>
      <c r="F5" s="1651"/>
      <c r="G5" s="1651"/>
      <c r="H5" s="1651"/>
      <c r="I5" s="212" t="s">
        <v>301</v>
      </c>
      <c r="J5" s="213" t="s">
        <v>319</v>
      </c>
      <c r="K5" s="1651"/>
      <c r="L5" s="1651"/>
      <c r="M5" s="1456"/>
      <c r="N5" s="1455"/>
      <c r="O5" s="1456"/>
      <c r="P5" s="1483"/>
      <c r="Q5" s="1483"/>
      <c r="R5" s="188" t="s">
        <v>17</v>
      </c>
      <c r="S5" s="188" t="s">
        <v>349</v>
      </c>
      <c r="T5" s="188" t="s">
        <v>18</v>
      </c>
      <c r="U5" s="1525"/>
      <c r="W5" s="189"/>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57.75" customHeight="1">
      <c r="A6" s="223">
        <v>1</v>
      </c>
      <c r="B6" s="1160"/>
      <c r="C6" s="1201"/>
      <c r="D6" s="1201"/>
      <c r="E6" s="1201"/>
      <c r="F6" s="1201"/>
      <c r="G6" s="1201"/>
      <c r="H6" s="1161"/>
      <c r="I6" s="117"/>
      <c r="J6" s="117"/>
      <c r="K6" s="1698"/>
      <c r="L6" s="1699"/>
      <c r="M6" s="1700"/>
      <c r="N6" s="1408"/>
      <c r="O6" s="1410"/>
      <c r="P6" s="121"/>
      <c r="Q6" s="121"/>
      <c r="R6" s="563"/>
      <c r="S6" s="175"/>
      <c r="T6" s="13"/>
      <c r="U6" s="143"/>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57.75" customHeight="1">
      <c r="A7" s="224">
        <v>2</v>
      </c>
      <c r="B7" s="1202"/>
      <c r="C7" s="1203"/>
      <c r="D7" s="1203"/>
      <c r="E7" s="1203"/>
      <c r="F7" s="1203"/>
      <c r="G7" s="1203"/>
      <c r="H7" s="1204"/>
      <c r="I7" s="43"/>
      <c r="J7" s="43"/>
      <c r="K7" s="1691"/>
      <c r="L7" s="1247"/>
      <c r="M7" s="1248"/>
      <c r="N7" s="1387"/>
      <c r="O7" s="1389"/>
      <c r="P7" s="42"/>
      <c r="Q7" s="42"/>
      <c r="R7" s="550"/>
      <c r="S7" s="34"/>
      <c r="T7" s="145"/>
      <c r="U7" s="144"/>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57.75" customHeight="1">
      <c r="A8" s="224">
        <v>3</v>
      </c>
      <c r="B8" s="1202"/>
      <c r="C8" s="1203"/>
      <c r="D8" s="1203"/>
      <c r="E8" s="1203"/>
      <c r="F8" s="1203"/>
      <c r="G8" s="1203"/>
      <c r="H8" s="1204"/>
      <c r="I8" s="43"/>
      <c r="J8" s="43"/>
      <c r="K8" s="1691"/>
      <c r="L8" s="1247"/>
      <c r="M8" s="1248"/>
      <c r="N8" s="1387"/>
      <c r="O8" s="1389"/>
      <c r="P8" s="42"/>
      <c r="Q8" s="42"/>
      <c r="R8" s="550"/>
      <c r="S8" s="34"/>
      <c r="T8" s="145"/>
      <c r="U8" s="144"/>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57.75" customHeight="1">
      <c r="A9" s="224">
        <v>4</v>
      </c>
      <c r="B9" s="1202"/>
      <c r="C9" s="1203"/>
      <c r="D9" s="1203"/>
      <c r="E9" s="1203"/>
      <c r="F9" s="1203"/>
      <c r="G9" s="1203"/>
      <c r="H9" s="1204"/>
      <c r="I9" s="43"/>
      <c r="J9" s="43"/>
      <c r="K9" s="1691"/>
      <c r="L9" s="1247"/>
      <c r="M9" s="1248"/>
      <c r="N9" s="1387"/>
      <c r="O9" s="1389"/>
      <c r="P9" s="42"/>
      <c r="Q9" s="42"/>
      <c r="R9" s="550"/>
      <c r="S9" s="34"/>
      <c r="T9" s="145"/>
      <c r="U9" s="144"/>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57.75" customHeight="1">
      <c r="A10" s="224">
        <v>5</v>
      </c>
      <c r="B10" s="1202"/>
      <c r="C10" s="1203"/>
      <c r="D10" s="1203"/>
      <c r="E10" s="1203"/>
      <c r="F10" s="1203"/>
      <c r="G10" s="1203"/>
      <c r="H10" s="1204"/>
      <c r="I10" s="43"/>
      <c r="J10" s="43"/>
      <c r="K10" s="1691"/>
      <c r="L10" s="1247"/>
      <c r="M10" s="1248"/>
      <c r="N10" s="1387"/>
      <c r="O10" s="1389"/>
      <c r="P10" s="42"/>
      <c r="Q10" s="42"/>
      <c r="R10" s="550"/>
      <c r="S10" s="34"/>
      <c r="T10" s="145"/>
      <c r="U10" s="144"/>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57.75" customHeight="1">
      <c r="A11" s="224">
        <v>6</v>
      </c>
      <c r="B11" s="1202"/>
      <c r="C11" s="1203"/>
      <c r="D11" s="1203"/>
      <c r="E11" s="1203"/>
      <c r="F11" s="1203"/>
      <c r="G11" s="1203"/>
      <c r="H11" s="1204"/>
      <c r="I11" s="43"/>
      <c r="J11" s="43"/>
      <c r="K11" s="1691"/>
      <c r="L11" s="1247"/>
      <c r="M11" s="1248"/>
      <c r="N11" s="1387"/>
      <c r="O11" s="1389"/>
      <c r="P11" s="42"/>
      <c r="Q11" s="42"/>
      <c r="R11" s="550"/>
      <c r="S11" s="34"/>
      <c r="T11" s="145"/>
      <c r="U11" s="144"/>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57.75" customHeight="1">
      <c r="A12" s="224">
        <v>7</v>
      </c>
      <c r="B12" s="1202"/>
      <c r="C12" s="1203"/>
      <c r="D12" s="1203"/>
      <c r="E12" s="1203"/>
      <c r="F12" s="1203"/>
      <c r="G12" s="1203"/>
      <c r="H12" s="1204"/>
      <c r="I12" s="43"/>
      <c r="J12" s="43"/>
      <c r="K12" s="1691"/>
      <c r="L12" s="1247"/>
      <c r="M12" s="1248"/>
      <c r="N12" s="1387"/>
      <c r="O12" s="1389"/>
      <c r="P12" s="42"/>
      <c r="Q12" s="42"/>
      <c r="R12" s="550"/>
      <c r="S12" s="34"/>
      <c r="T12" s="145"/>
      <c r="U12" s="144"/>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57.75" customHeight="1">
      <c r="A13" s="224">
        <v>8</v>
      </c>
      <c r="B13" s="1202"/>
      <c r="C13" s="1203"/>
      <c r="D13" s="1203"/>
      <c r="E13" s="1203"/>
      <c r="F13" s="1203"/>
      <c r="G13" s="1203"/>
      <c r="H13" s="1204"/>
      <c r="I13" s="43"/>
      <c r="J13" s="43"/>
      <c r="K13" s="1691"/>
      <c r="L13" s="1247"/>
      <c r="M13" s="1248"/>
      <c r="N13" s="1387"/>
      <c r="O13" s="1389"/>
      <c r="P13" s="42"/>
      <c r="Q13" s="42"/>
      <c r="R13" s="550"/>
      <c r="S13" s="34"/>
      <c r="T13" s="145"/>
      <c r="U13" s="144"/>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57.75" customHeight="1">
      <c r="A14" s="224">
        <v>9</v>
      </c>
      <c r="B14" s="1202"/>
      <c r="C14" s="1203"/>
      <c r="D14" s="1203"/>
      <c r="E14" s="1203"/>
      <c r="F14" s="1203"/>
      <c r="G14" s="1203"/>
      <c r="H14" s="1204"/>
      <c r="I14" s="43"/>
      <c r="J14" s="43"/>
      <c r="K14" s="1691"/>
      <c r="L14" s="1247"/>
      <c r="M14" s="1248"/>
      <c r="N14" s="1387"/>
      <c r="O14" s="1389"/>
      <c r="P14" s="42"/>
      <c r="Q14" s="42"/>
      <c r="R14" s="550"/>
      <c r="S14" s="34"/>
      <c r="T14" s="145"/>
      <c r="U14" s="144"/>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57.75" customHeight="1">
      <c r="A15" s="224">
        <v>10</v>
      </c>
      <c r="B15" s="1202"/>
      <c r="C15" s="1203"/>
      <c r="D15" s="1203"/>
      <c r="E15" s="1203"/>
      <c r="F15" s="1203"/>
      <c r="G15" s="1203"/>
      <c r="H15" s="1204"/>
      <c r="I15" s="43"/>
      <c r="J15" s="43"/>
      <c r="K15" s="1691"/>
      <c r="L15" s="1247"/>
      <c r="M15" s="1248"/>
      <c r="N15" s="1387"/>
      <c r="O15" s="1389"/>
      <c r="P15" s="42"/>
      <c r="Q15" s="42"/>
      <c r="R15" s="550"/>
      <c r="S15" s="34"/>
      <c r="T15" s="145"/>
      <c r="U15" s="144"/>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57.75" customHeight="1">
      <c r="A16" s="224">
        <v>11</v>
      </c>
      <c r="B16" s="1202"/>
      <c r="C16" s="1203"/>
      <c r="D16" s="1203"/>
      <c r="E16" s="1203"/>
      <c r="F16" s="1203"/>
      <c r="G16" s="1203"/>
      <c r="H16" s="1204"/>
      <c r="I16" s="43"/>
      <c r="J16" s="43"/>
      <c r="K16" s="1691"/>
      <c r="L16" s="1247"/>
      <c r="M16" s="1248"/>
      <c r="N16" s="1387"/>
      <c r="O16" s="1389"/>
      <c r="P16" s="42"/>
      <c r="Q16" s="42"/>
      <c r="R16" s="550"/>
      <c r="S16" s="34"/>
      <c r="T16" s="145"/>
      <c r="U16" s="144"/>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57.75" customHeight="1">
      <c r="A17" s="224">
        <v>12</v>
      </c>
      <c r="B17" s="1202"/>
      <c r="C17" s="1203"/>
      <c r="D17" s="1203"/>
      <c r="E17" s="1203"/>
      <c r="F17" s="1203"/>
      <c r="G17" s="1203"/>
      <c r="H17" s="1204"/>
      <c r="I17" s="43"/>
      <c r="J17" s="43"/>
      <c r="K17" s="1691"/>
      <c r="L17" s="1247"/>
      <c r="M17" s="1248"/>
      <c r="N17" s="1387"/>
      <c r="O17" s="1389"/>
      <c r="P17" s="42"/>
      <c r="Q17" s="42"/>
      <c r="R17" s="550"/>
      <c r="S17" s="34"/>
      <c r="T17" s="145"/>
      <c r="U17" s="144"/>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57.75" customHeight="1">
      <c r="A18" s="224">
        <v>13</v>
      </c>
      <c r="B18" s="1202"/>
      <c r="C18" s="1203"/>
      <c r="D18" s="1203"/>
      <c r="E18" s="1203"/>
      <c r="F18" s="1203"/>
      <c r="G18" s="1203"/>
      <c r="H18" s="1204"/>
      <c r="I18" s="43"/>
      <c r="J18" s="43"/>
      <c r="K18" s="1691"/>
      <c r="L18" s="1247"/>
      <c r="M18" s="1248"/>
      <c r="N18" s="1387"/>
      <c r="O18" s="1389"/>
      <c r="P18" s="42"/>
      <c r="Q18" s="42"/>
      <c r="R18" s="550"/>
      <c r="S18" s="34"/>
      <c r="T18" s="145"/>
      <c r="U18" s="144"/>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57.75" customHeight="1">
      <c r="A19" s="224">
        <v>14</v>
      </c>
      <c r="B19" s="1202"/>
      <c r="C19" s="1203"/>
      <c r="D19" s="1203"/>
      <c r="E19" s="1203"/>
      <c r="F19" s="1203"/>
      <c r="G19" s="1203"/>
      <c r="H19" s="1204"/>
      <c r="I19" s="43"/>
      <c r="J19" s="43"/>
      <c r="K19" s="1691"/>
      <c r="L19" s="1247"/>
      <c r="M19" s="1248"/>
      <c r="N19" s="1387"/>
      <c r="O19" s="1389"/>
      <c r="P19" s="42"/>
      <c r="Q19" s="42"/>
      <c r="R19" s="550"/>
      <c r="S19" s="34"/>
      <c r="T19" s="145"/>
      <c r="U19" s="144"/>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57.75" customHeight="1" thickBot="1">
      <c r="A20" s="225">
        <v>15</v>
      </c>
      <c r="B20" s="1244"/>
      <c r="C20" s="1245"/>
      <c r="D20" s="1245"/>
      <c r="E20" s="1245"/>
      <c r="F20" s="1245"/>
      <c r="G20" s="1245"/>
      <c r="H20" s="1246"/>
      <c r="I20" s="53"/>
      <c r="J20" s="53"/>
      <c r="K20" s="1692"/>
      <c r="L20" s="1251"/>
      <c r="M20" s="1252"/>
      <c r="N20" s="1641"/>
      <c r="O20" s="1642"/>
      <c r="P20" s="54"/>
      <c r="Q20" s="54"/>
      <c r="R20" s="552"/>
      <c r="S20" s="176"/>
      <c r="T20" s="147"/>
      <c r="U20" s="146"/>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33.75" customHeight="1" thickBot="1">
      <c r="A21" s="1143" t="s">
        <v>270</v>
      </c>
      <c r="B21" s="1144"/>
      <c r="C21" s="1144"/>
      <c r="D21" s="1144"/>
      <c r="E21" s="1144"/>
      <c r="F21" s="1144"/>
      <c r="G21" s="1144"/>
      <c r="H21" s="1144"/>
      <c r="I21" s="1144"/>
      <c r="J21" s="1144"/>
      <c r="K21" s="1144"/>
      <c r="L21" s="1144"/>
      <c r="M21" s="1144"/>
      <c r="N21" s="215">
        <f>SUM(R6:R20)</f>
        <v>0</v>
      </c>
      <c r="O21" s="1188" t="s">
        <v>325</v>
      </c>
      <c r="P21" s="1188"/>
      <c r="Q21" s="1189"/>
      <c r="R21" s="216">
        <f>IF(N21&gt;12,12,N21)</f>
        <v>0</v>
      </c>
      <c r="S21" s="238">
        <f>IF(SUM(S6:S20)&gt;12,12,SUM(S6:S20))</f>
        <v>0</v>
      </c>
      <c r="T21" s="48"/>
      <c r="U21" s="177"/>
      <c r="V21" s="261"/>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1.5" customHeight="1">
      <c r="A22" s="1435" t="s">
        <v>31</v>
      </c>
      <c r="B22" s="1436"/>
      <c r="C22" s="1436"/>
      <c r="D22" s="1436"/>
      <c r="E22" s="1436"/>
      <c r="F22" s="1436"/>
      <c r="G22" s="1436"/>
      <c r="H22" s="1695" t="s">
        <v>32</v>
      </c>
      <c r="I22" s="1695"/>
      <c r="J22" s="1696">
        <f>Q2</f>
        <v>0</v>
      </c>
      <c r="K22" s="1693"/>
      <c r="L22" s="1693"/>
      <c r="M22" s="1693"/>
      <c r="N22" s="1693"/>
      <c r="O22" s="1695" t="s">
        <v>33</v>
      </c>
      <c r="P22" s="1695"/>
      <c r="Q22" s="1695"/>
      <c r="R22" s="1693">
        <f>C2</f>
        <v>0</v>
      </c>
      <c r="S22" s="1693"/>
      <c r="T22" s="1693"/>
      <c r="U22" s="1694"/>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1.5" customHeight="1" thickBot="1">
      <c r="A23" s="1437">
        <f>'فرم الف'!A27</f>
        <v>0</v>
      </c>
      <c r="B23" s="1425"/>
      <c r="C23" s="1425"/>
      <c r="D23" s="1425"/>
      <c r="E23" s="1425"/>
      <c r="F23" s="1425"/>
      <c r="G23" s="1425"/>
      <c r="H23" s="1425">
        <f>'فرم الف'!E27</f>
        <v>0</v>
      </c>
      <c r="I23" s="1425"/>
      <c r="J23" s="1425"/>
      <c r="K23" s="1425"/>
      <c r="L23" s="1425"/>
      <c r="M23" s="1425"/>
      <c r="N23" s="1425"/>
      <c r="O23" s="1425" t="str">
        <f>'فرم الف'!J27</f>
        <v/>
      </c>
      <c r="P23" s="1425"/>
      <c r="Q23" s="1425"/>
      <c r="R23" s="1425"/>
      <c r="S23" s="1425"/>
      <c r="T23" s="1425"/>
      <c r="U23" s="1426"/>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20.25" customHeight="1">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17.25" customHeight="1">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20.25" customHeight="1">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20.25" customHeight="1">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17.25" customHeight="1">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6:80" ht="20.25" customHeight="1">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6:80">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6:80" ht="17.25" customHeight="1">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6:80" ht="20.25" customHeight="1">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6:80">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6:80" ht="17.25" customHeight="1">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6:80" ht="20.25" customHeight="1">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6:80">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6:80" ht="17.25" customHeight="1">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6:80" ht="20.25" customHeight="1">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6:80">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6:80" ht="17.25" customHeight="1">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6:80" ht="20.25" customHeight="1">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6:80">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6:80" ht="17.25" customHeight="1">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6:80" ht="20.25" customHeight="1">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6:80">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6:80" ht="17.25" customHeight="1">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6:80" ht="20.25" customHeight="1">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6:80">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6:80">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6:80">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6:80" ht="26.25" customHeight="1">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6:80" ht="26.25" customHeight="1">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sheetData>
  <sheetProtection algorithmName="SHA-512" hashValue="zGC/Tkw+03tps8sl+jxp7QciIa36pxvg8ENqmkyPJ3w+jkpuUOS3D3/3qD2eFXQGPfqnNOZJ263GMD0DGwXG7A==" saltValue="CLE18GM4AU2Ja2Q2WhjdRA==" spinCount="100000" sheet="1" objects="1" scenarios="1" formatCells="0" formatRows="0" selectLockedCells="1"/>
  <mergeCells count="75">
    <mergeCell ref="B10:H10"/>
    <mergeCell ref="K7:M7"/>
    <mergeCell ref="K8:M8"/>
    <mergeCell ref="K9:M9"/>
    <mergeCell ref="A1:B2"/>
    <mergeCell ref="C1:G1"/>
    <mergeCell ref="H1:K1"/>
    <mergeCell ref="L1:P1"/>
    <mergeCell ref="N9:O9"/>
    <mergeCell ref="N7:O7"/>
    <mergeCell ref="N8:O8"/>
    <mergeCell ref="B7:H7"/>
    <mergeCell ref="B8:H8"/>
    <mergeCell ref="B9:H9"/>
    <mergeCell ref="K10:M10"/>
    <mergeCell ref="Q1:U1"/>
    <mergeCell ref="C2:G2"/>
    <mergeCell ref="H2:K2"/>
    <mergeCell ref="L2:P2"/>
    <mergeCell ref="Q2:U2"/>
    <mergeCell ref="Q4:Q5"/>
    <mergeCell ref="R4:T4"/>
    <mergeCell ref="U4:U5"/>
    <mergeCell ref="N6:O6"/>
    <mergeCell ref="A3:R3"/>
    <mergeCell ref="S3:U3"/>
    <mergeCell ref="A4:A5"/>
    <mergeCell ref="I4:J4"/>
    <mergeCell ref="N4:O5"/>
    <mergeCell ref="P4:P5"/>
    <mergeCell ref="B4:H5"/>
    <mergeCell ref="B6:H6"/>
    <mergeCell ref="K4:M5"/>
    <mergeCell ref="K6:M6"/>
    <mergeCell ref="N13:O13"/>
    <mergeCell ref="N14:O14"/>
    <mergeCell ref="N11:O11"/>
    <mergeCell ref="N12:O12"/>
    <mergeCell ref="N10:O10"/>
    <mergeCell ref="B11:H11"/>
    <mergeCell ref="B12:H12"/>
    <mergeCell ref="B13:H13"/>
    <mergeCell ref="B14:H14"/>
    <mergeCell ref="K11:M11"/>
    <mergeCell ref="K12:M12"/>
    <mergeCell ref="K13:M13"/>
    <mergeCell ref="K14:M14"/>
    <mergeCell ref="N17:O17"/>
    <mergeCell ref="N18:O18"/>
    <mergeCell ref="N15:O15"/>
    <mergeCell ref="N16:O16"/>
    <mergeCell ref="B15:H15"/>
    <mergeCell ref="B16:H16"/>
    <mergeCell ref="B17:H17"/>
    <mergeCell ref="B18:H18"/>
    <mergeCell ref="K15:M15"/>
    <mergeCell ref="K16:M16"/>
    <mergeCell ref="K17:M17"/>
    <mergeCell ref="K18:M18"/>
    <mergeCell ref="A21:M21"/>
    <mergeCell ref="O21:Q21"/>
    <mergeCell ref="H23:N23"/>
    <mergeCell ref="O23:U23"/>
    <mergeCell ref="N19:O19"/>
    <mergeCell ref="N20:O20"/>
    <mergeCell ref="B19:H19"/>
    <mergeCell ref="B20:H20"/>
    <mergeCell ref="K19:M19"/>
    <mergeCell ref="K20:M20"/>
    <mergeCell ref="R22:U22"/>
    <mergeCell ref="A23:G23"/>
    <mergeCell ref="A22:G22"/>
    <mergeCell ref="O22:Q22"/>
    <mergeCell ref="H22:I22"/>
    <mergeCell ref="J22:N22"/>
  </mergeCells>
  <conditionalFormatting sqref="P6:Q6 N6 I6:K6 B6">
    <cfRule type="containsBlanks" dxfId="94" priority="5">
      <formula>LEN(TRIM(B6))=0</formula>
    </cfRule>
  </conditionalFormatting>
  <conditionalFormatting sqref="P7:Q20 N7:N20 I7:K20 B7:B20">
    <cfRule type="containsBlanks" dxfId="93" priority="1">
      <formula>LEN(TRIM(B7))=0</formula>
    </cfRule>
  </conditionalFormatting>
  <dataValidations count="2">
    <dataValidation allowBlank="1" showInputMessage="1" showErrorMessage="1" promptTitle="توجه:" prompt="ارائه موافقت مؤسسه محل خدمت با انجام فعالیت الزامی است" sqref="B6:H20"/>
    <dataValidation type="decimal" operator="greaterThanOrEqual" allowBlank="1" showInputMessage="1" showErrorMessage="1" errorTitle="خطا در ورود امتياز" error="لطفا يك عدد وارد نماييد" sqref="R6:T2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Base'!$D$41:$D$42</xm:f>
          </x14:formula1>
          <xm:sqref>N6:O20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249977111117893"/>
  </sheetPr>
  <dimension ref="A1:CB62"/>
  <sheetViews>
    <sheetView showGridLines="0" rightToLeft="1" view="pageBreakPreview" zoomScale="115" zoomScaleNormal="100" zoomScaleSheetLayoutView="115" workbookViewId="0">
      <pane ySplit="6" topLeftCell="A7" activePane="bottomLeft" state="frozen"/>
      <selection pane="bottomLeft" activeCell="B7" sqref="B7:F7"/>
    </sheetView>
  </sheetViews>
  <sheetFormatPr defaultColWidth="9.140625" defaultRowHeight="15"/>
  <cols>
    <col min="1" max="1" width="2.85546875" style="19" customWidth="1"/>
    <col min="2" max="2" width="3.7109375" style="19" customWidth="1"/>
    <col min="3" max="6" width="5.140625" style="19" customWidth="1"/>
    <col min="7" max="10" width="7" style="19" customWidth="1"/>
    <col min="11" max="11" width="5.42578125" style="19" customWidth="1"/>
    <col min="12" max="12" width="4.5703125" style="19" customWidth="1"/>
    <col min="13" max="16" width="6" style="19" customWidth="1"/>
    <col min="17" max="17" width="12.42578125" style="19" customWidth="1"/>
    <col min="18" max="20" width="5.42578125" style="19" customWidth="1"/>
    <col min="21" max="21" width="7.42578125" style="19" customWidth="1"/>
    <col min="22" max="16384" width="9.140625" style="19"/>
  </cols>
  <sheetData>
    <row r="1" spans="1:80"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2"/>
      <c r="J2" s="1492"/>
      <c r="K2" s="1492"/>
      <c r="L2" s="1492"/>
      <c r="M2" s="1492">
        <f>'فرم الف'!J15</f>
        <v>0</v>
      </c>
      <c r="N2" s="1493"/>
      <c r="O2" s="1493"/>
      <c r="P2" s="1493"/>
      <c r="Q2" s="1488">
        <f>'فرم الف'!D9</f>
        <v>0</v>
      </c>
      <c r="R2" s="1489"/>
      <c r="S2" s="1489"/>
      <c r="T2" s="1489"/>
      <c r="U2" s="1490"/>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978</v>
      </c>
      <c r="B3" s="1528"/>
      <c r="C3" s="1529"/>
      <c r="D3" s="1529"/>
      <c r="E3" s="1529"/>
      <c r="F3" s="1529"/>
      <c r="G3" s="1529"/>
      <c r="H3" s="1529"/>
      <c r="I3" s="1529"/>
      <c r="J3" s="1529"/>
      <c r="K3" s="1529"/>
      <c r="L3" s="1529"/>
      <c r="M3" s="1529"/>
      <c r="N3" s="1529"/>
      <c r="O3" s="1529"/>
      <c r="P3" s="1529"/>
      <c r="Q3" s="1529"/>
      <c r="R3" s="1529"/>
      <c r="S3" s="1697" t="s">
        <v>326</v>
      </c>
      <c r="T3" s="1527"/>
      <c r="U3" s="1527"/>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482" t="s">
        <v>382</v>
      </c>
      <c r="C4" s="1482"/>
      <c r="D4" s="1482"/>
      <c r="E4" s="1482"/>
      <c r="F4" s="1482"/>
      <c r="G4" s="1482" t="s">
        <v>330</v>
      </c>
      <c r="H4" s="1482" t="s">
        <v>331</v>
      </c>
      <c r="I4" s="1482"/>
      <c r="J4" s="1482"/>
      <c r="K4" s="1482" t="s">
        <v>332</v>
      </c>
      <c r="L4" s="1482"/>
      <c r="M4" s="1482" t="s">
        <v>338</v>
      </c>
      <c r="N4" s="1482"/>
      <c r="O4" s="1482"/>
      <c r="P4" s="1482"/>
      <c r="Q4" s="1482" t="s">
        <v>333</v>
      </c>
      <c r="R4" s="1470" t="s">
        <v>13</v>
      </c>
      <c r="S4" s="1470"/>
      <c r="T4" s="1470"/>
      <c r="U4" s="1524" t="s">
        <v>14</v>
      </c>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34.5" customHeight="1">
      <c r="A5" s="1704"/>
      <c r="B5" s="1703"/>
      <c r="C5" s="1703"/>
      <c r="D5" s="1703"/>
      <c r="E5" s="1703"/>
      <c r="F5" s="1703"/>
      <c r="G5" s="1703"/>
      <c r="H5" s="1703"/>
      <c r="I5" s="1703"/>
      <c r="J5" s="1703"/>
      <c r="K5" s="1703"/>
      <c r="L5" s="1703"/>
      <c r="M5" s="1703" t="s">
        <v>327</v>
      </c>
      <c r="N5" s="1703" t="s">
        <v>339</v>
      </c>
      <c r="O5" s="1703"/>
      <c r="P5" s="1703"/>
      <c r="Q5" s="1703"/>
      <c r="R5" s="1705" t="s">
        <v>17</v>
      </c>
      <c r="S5" s="1705" t="s">
        <v>349</v>
      </c>
      <c r="T5" s="1705" t="s">
        <v>18</v>
      </c>
      <c r="U5" s="1701"/>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row>
    <row r="6" spans="1:80" ht="52.5" customHeight="1" thickBot="1">
      <c r="A6" s="1480"/>
      <c r="B6" s="1483"/>
      <c r="C6" s="1483"/>
      <c r="D6" s="1483"/>
      <c r="E6" s="1483"/>
      <c r="F6" s="1483"/>
      <c r="G6" s="1483"/>
      <c r="H6" s="1483"/>
      <c r="I6" s="1483"/>
      <c r="J6" s="1483"/>
      <c r="K6" s="1483"/>
      <c r="L6" s="1483"/>
      <c r="M6" s="1483"/>
      <c r="N6" s="211" t="s">
        <v>328</v>
      </c>
      <c r="O6" s="211" t="s">
        <v>329</v>
      </c>
      <c r="P6" s="211" t="s">
        <v>334</v>
      </c>
      <c r="Q6" s="1483"/>
      <c r="R6" s="1706"/>
      <c r="S6" s="1706"/>
      <c r="T6" s="1706"/>
      <c r="U6" s="1525"/>
      <c r="W6" s="189"/>
      <c r="Z6" s="198"/>
      <c r="AA6" s="200"/>
      <c r="AB6" s="200"/>
      <c r="AC6" s="200"/>
      <c r="AD6" s="191"/>
      <c r="AE6" s="191"/>
      <c r="AF6" s="191"/>
      <c r="AG6" s="191"/>
      <c r="AH6" s="200"/>
      <c r="AI6" s="191"/>
      <c r="AJ6" s="200"/>
      <c r="AK6" s="200"/>
      <c r="AL6" s="200"/>
      <c r="AM6" s="200"/>
      <c r="AN6" s="200"/>
      <c r="AO6" s="200"/>
      <c r="AP6" s="200"/>
      <c r="AQ6" s="200"/>
      <c r="AR6" s="201"/>
      <c r="AS6" s="200"/>
      <c r="AT6" s="200"/>
      <c r="AU6" s="201"/>
      <c r="AV6" s="200"/>
      <c r="AW6" s="200"/>
      <c r="AX6" s="201"/>
      <c r="AY6" s="200"/>
      <c r="AZ6" s="200"/>
      <c r="BA6" s="201"/>
      <c r="BB6" s="200"/>
      <c r="BC6" s="200"/>
      <c r="BD6" s="201"/>
      <c r="BE6" s="191"/>
      <c r="BF6" s="201"/>
      <c r="BG6" s="201"/>
      <c r="BH6" s="191"/>
      <c r="BI6" s="201"/>
      <c r="BJ6" s="202"/>
      <c r="BK6" s="194"/>
      <c r="BL6" s="202"/>
      <c r="BM6" s="202"/>
      <c r="BN6" s="194"/>
      <c r="BO6" s="202"/>
      <c r="BP6" s="202"/>
      <c r="BQ6" s="202"/>
      <c r="BR6" s="202"/>
      <c r="BS6" s="202"/>
      <c r="BT6" s="202"/>
      <c r="BU6" s="202"/>
      <c r="BV6" s="201"/>
      <c r="BW6" s="191"/>
      <c r="BX6" s="200"/>
      <c r="BY6" s="201"/>
      <c r="BZ6" s="191"/>
      <c r="CA6" s="200"/>
      <c r="CB6" s="198"/>
    </row>
    <row r="7" spans="1:80" ht="57.75" customHeight="1">
      <c r="A7" s="223">
        <v>1</v>
      </c>
      <c r="B7" s="1702"/>
      <c r="C7" s="1702"/>
      <c r="D7" s="1702"/>
      <c r="E7" s="1702"/>
      <c r="F7" s="1702"/>
      <c r="G7" s="588"/>
      <c r="H7" s="1708"/>
      <c r="I7" s="1708"/>
      <c r="J7" s="1708"/>
      <c r="K7" s="1707"/>
      <c r="L7" s="1707"/>
      <c r="M7" s="589"/>
      <c r="N7" s="589"/>
      <c r="O7" s="590"/>
      <c r="P7" s="591"/>
      <c r="Q7" s="591"/>
      <c r="R7" s="592"/>
      <c r="S7" s="593"/>
      <c r="T7" s="13"/>
      <c r="U7" s="143"/>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57.75" customHeight="1">
      <c r="A8" s="224">
        <v>2</v>
      </c>
      <c r="B8" s="1709"/>
      <c r="C8" s="1709"/>
      <c r="D8" s="1709"/>
      <c r="E8" s="1709"/>
      <c r="F8" s="1709"/>
      <c r="G8" s="594"/>
      <c r="H8" s="1710"/>
      <c r="I8" s="1710"/>
      <c r="J8" s="1710"/>
      <c r="K8" s="1711"/>
      <c r="L8" s="1711"/>
      <c r="M8" s="595"/>
      <c r="N8" s="595"/>
      <c r="O8" s="596"/>
      <c r="P8" s="597"/>
      <c r="Q8" s="597"/>
      <c r="R8" s="598"/>
      <c r="S8" s="599"/>
      <c r="T8" s="145"/>
      <c r="U8" s="144"/>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57.75" customHeight="1">
      <c r="A9" s="224">
        <v>3</v>
      </c>
      <c r="B9" s="1709"/>
      <c r="C9" s="1709"/>
      <c r="D9" s="1709"/>
      <c r="E9" s="1709"/>
      <c r="F9" s="1709"/>
      <c r="G9" s="594"/>
      <c r="H9" s="1710"/>
      <c r="I9" s="1710"/>
      <c r="J9" s="1710"/>
      <c r="K9" s="1711"/>
      <c r="L9" s="1711"/>
      <c r="M9" s="595"/>
      <c r="N9" s="595"/>
      <c r="O9" s="596"/>
      <c r="P9" s="597"/>
      <c r="Q9" s="597"/>
      <c r="R9" s="598"/>
      <c r="S9" s="599"/>
      <c r="T9" s="145"/>
      <c r="U9" s="144"/>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57.75" customHeight="1">
      <c r="A10" s="224">
        <v>4</v>
      </c>
      <c r="B10" s="1709"/>
      <c r="C10" s="1709"/>
      <c r="D10" s="1709"/>
      <c r="E10" s="1709"/>
      <c r="F10" s="1709"/>
      <c r="G10" s="594"/>
      <c r="H10" s="1710"/>
      <c r="I10" s="1710"/>
      <c r="J10" s="1710"/>
      <c r="K10" s="1711"/>
      <c r="L10" s="1711"/>
      <c r="M10" s="595"/>
      <c r="N10" s="595"/>
      <c r="O10" s="596"/>
      <c r="P10" s="597"/>
      <c r="Q10" s="597"/>
      <c r="R10" s="598"/>
      <c r="S10" s="599"/>
      <c r="T10" s="145"/>
      <c r="U10" s="144"/>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57.75" customHeight="1">
      <c r="A11" s="224">
        <v>5</v>
      </c>
      <c r="B11" s="1709"/>
      <c r="C11" s="1709"/>
      <c r="D11" s="1709"/>
      <c r="E11" s="1709"/>
      <c r="F11" s="1709"/>
      <c r="G11" s="594"/>
      <c r="H11" s="1710"/>
      <c r="I11" s="1710"/>
      <c r="J11" s="1710"/>
      <c r="K11" s="1711"/>
      <c r="L11" s="1711"/>
      <c r="M11" s="595"/>
      <c r="N11" s="595"/>
      <c r="O11" s="596"/>
      <c r="P11" s="597"/>
      <c r="Q11" s="597"/>
      <c r="R11" s="598"/>
      <c r="S11" s="599"/>
      <c r="T11" s="145"/>
      <c r="U11" s="144"/>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57.75" customHeight="1">
      <c r="A12" s="224">
        <v>6</v>
      </c>
      <c r="B12" s="1709"/>
      <c r="C12" s="1709"/>
      <c r="D12" s="1709"/>
      <c r="E12" s="1709"/>
      <c r="F12" s="1709"/>
      <c r="G12" s="594"/>
      <c r="H12" s="1710"/>
      <c r="I12" s="1710"/>
      <c r="J12" s="1710"/>
      <c r="K12" s="1711"/>
      <c r="L12" s="1711"/>
      <c r="M12" s="595"/>
      <c r="N12" s="595"/>
      <c r="O12" s="596"/>
      <c r="P12" s="597"/>
      <c r="Q12" s="597"/>
      <c r="R12" s="598"/>
      <c r="S12" s="599"/>
      <c r="T12" s="145"/>
      <c r="U12" s="144"/>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57.75" customHeight="1">
      <c r="A13" s="224">
        <v>7</v>
      </c>
      <c r="B13" s="1709"/>
      <c r="C13" s="1709"/>
      <c r="D13" s="1709"/>
      <c r="E13" s="1709"/>
      <c r="F13" s="1709"/>
      <c r="G13" s="594"/>
      <c r="H13" s="1710"/>
      <c r="I13" s="1710"/>
      <c r="J13" s="1710"/>
      <c r="K13" s="1711"/>
      <c r="L13" s="1711"/>
      <c r="M13" s="595"/>
      <c r="N13" s="595"/>
      <c r="O13" s="596"/>
      <c r="P13" s="597"/>
      <c r="Q13" s="597"/>
      <c r="R13" s="598"/>
      <c r="S13" s="599"/>
      <c r="T13" s="145"/>
      <c r="U13" s="144"/>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57.75" customHeight="1">
      <c r="A14" s="224">
        <v>8</v>
      </c>
      <c r="B14" s="1709"/>
      <c r="C14" s="1709"/>
      <c r="D14" s="1709"/>
      <c r="E14" s="1709"/>
      <c r="F14" s="1709"/>
      <c r="G14" s="594"/>
      <c r="H14" s="1710"/>
      <c r="I14" s="1710"/>
      <c r="J14" s="1710"/>
      <c r="K14" s="1711"/>
      <c r="L14" s="1711"/>
      <c r="M14" s="595"/>
      <c r="N14" s="595"/>
      <c r="O14" s="596"/>
      <c r="P14" s="597"/>
      <c r="Q14" s="597"/>
      <c r="R14" s="598"/>
      <c r="S14" s="599"/>
      <c r="T14" s="145"/>
      <c r="U14" s="144"/>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57.75" customHeight="1">
      <c r="A15" s="224">
        <v>9</v>
      </c>
      <c r="B15" s="1709"/>
      <c r="C15" s="1709"/>
      <c r="D15" s="1709"/>
      <c r="E15" s="1709"/>
      <c r="F15" s="1709"/>
      <c r="G15" s="594"/>
      <c r="H15" s="1710"/>
      <c r="I15" s="1710"/>
      <c r="J15" s="1710"/>
      <c r="K15" s="1711"/>
      <c r="L15" s="1711"/>
      <c r="M15" s="595"/>
      <c r="N15" s="595"/>
      <c r="O15" s="596"/>
      <c r="P15" s="597"/>
      <c r="Q15" s="597"/>
      <c r="R15" s="598"/>
      <c r="S15" s="599"/>
      <c r="T15" s="145"/>
      <c r="U15" s="144"/>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57.75" customHeight="1">
      <c r="A16" s="224">
        <v>10</v>
      </c>
      <c r="B16" s="1709"/>
      <c r="C16" s="1709"/>
      <c r="D16" s="1709"/>
      <c r="E16" s="1709"/>
      <c r="F16" s="1709"/>
      <c r="G16" s="594"/>
      <c r="H16" s="1710"/>
      <c r="I16" s="1710"/>
      <c r="J16" s="1710"/>
      <c r="K16" s="1711"/>
      <c r="L16" s="1711"/>
      <c r="M16" s="595"/>
      <c r="N16" s="595"/>
      <c r="O16" s="596"/>
      <c r="P16" s="597"/>
      <c r="Q16" s="597"/>
      <c r="R16" s="598"/>
      <c r="S16" s="599"/>
      <c r="T16" s="145"/>
      <c r="U16" s="144"/>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57.75" customHeight="1">
      <c r="A17" s="224">
        <v>11</v>
      </c>
      <c r="B17" s="1709"/>
      <c r="C17" s="1709"/>
      <c r="D17" s="1709"/>
      <c r="E17" s="1709"/>
      <c r="F17" s="1709"/>
      <c r="G17" s="594"/>
      <c r="H17" s="1710"/>
      <c r="I17" s="1710"/>
      <c r="J17" s="1710"/>
      <c r="K17" s="1711"/>
      <c r="L17" s="1711"/>
      <c r="M17" s="595"/>
      <c r="N17" s="595"/>
      <c r="O17" s="596"/>
      <c r="P17" s="597"/>
      <c r="Q17" s="597"/>
      <c r="R17" s="598"/>
      <c r="S17" s="599"/>
      <c r="T17" s="145"/>
      <c r="U17" s="144"/>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57.75" customHeight="1">
      <c r="A18" s="224">
        <v>12</v>
      </c>
      <c r="B18" s="1709"/>
      <c r="C18" s="1709"/>
      <c r="D18" s="1709"/>
      <c r="E18" s="1709"/>
      <c r="F18" s="1709"/>
      <c r="G18" s="594"/>
      <c r="H18" s="1710"/>
      <c r="I18" s="1710"/>
      <c r="J18" s="1710"/>
      <c r="K18" s="1711"/>
      <c r="L18" s="1711"/>
      <c r="M18" s="595"/>
      <c r="N18" s="595"/>
      <c r="O18" s="596"/>
      <c r="P18" s="597"/>
      <c r="Q18" s="597"/>
      <c r="R18" s="598"/>
      <c r="S18" s="599"/>
      <c r="T18" s="145"/>
      <c r="U18" s="144"/>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57.75" customHeight="1">
      <c r="A19" s="224">
        <v>13</v>
      </c>
      <c r="B19" s="1709"/>
      <c r="C19" s="1709"/>
      <c r="D19" s="1709"/>
      <c r="E19" s="1709"/>
      <c r="F19" s="1709"/>
      <c r="G19" s="594"/>
      <c r="H19" s="1710"/>
      <c r="I19" s="1710"/>
      <c r="J19" s="1710"/>
      <c r="K19" s="1711"/>
      <c r="L19" s="1711"/>
      <c r="M19" s="595"/>
      <c r="N19" s="595"/>
      <c r="O19" s="596"/>
      <c r="P19" s="597"/>
      <c r="Q19" s="597"/>
      <c r="R19" s="598"/>
      <c r="S19" s="599"/>
      <c r="T19" s="145"/>
      <c r="U19" s="144"/>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57.75" customHeight="1">
      <c r="A20" s="224">
        <v>14</v>
      </c>
      <c r="B20" s="1709"/>
      <c r="C20" s="1709"/>
      <c r="D20" s="1709"/>
      <c r="E20" s="1709"/>
      <c r="F20" s="1709"/>
      <c r="G20" s="594"/>
      <c r="H20" s="1710"/>
      <c r="I20" s="1710"/>
      <c r="J20" s="1710"/>
      <c r="K20" s="1711"/>
      <c r="L20" s="1711"/>
      <c r="M20" s="595"/>
      <c r="N20" s="595"/>
      <c r="O20" s="596"/>
      <c r="P20" s="597"/>
      <c r="Q20" s="597"/>
      <c r="R20" s="598"/>
      <c r="S20" s="599"/>
      <c r="T20" s="145"/>
      <c r="U20" s="144"/>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57.75" customHeight="1">
      <c r="A21" s="224">
        <v>15</v>
      </c>
      <c r="B21" s="1709"/>
      <c r="C21" s="1709"/>
      <c r="D21" s="1709"/>
      <c r="E21" s="1709"/>
      <c r="F21" s="1709"/>
      <c r="G21" s="594"/>
      <c r="H21" s="1710"/>
      <c r="I21" s="1710"/>
      <c r="J21" s="1710"/>
      <c r="K21" s="1711"/>
      <c r="L21" s="1711"/>
      <c r="M21" s="595"/>
      <c r="N21" s="595"/>
      <c r="O21" s="596"/>
      <c r="P21" s="597"/>
      <c r="Q21" s="597"/>
      <c r="R21" s="598"/>
      <c r="S21" s="599"/>
      <c r="T21" s="145"/>
      <c r="U21" s="144"/>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57.75" customHeight="1">
      <c r="A22" s="224">
        <v>16</v>
      </c>
      <c r="B22" s="1709"/>
      <c r="C22" s="1709"/>
      <c r="D22" s="1709"/>
      <c r="E22" s="1709"/>
      <c r="F22" s="1709"/>
      <c r="G22" s="594"/>
      <c r="H22" s="1710"/>
      <c r="I22" s="1710"/>
      <c r="J22" s="1710"/>
      <c r="K22" s="1711"/>
      <c r="L22" s="1711"/>
      <c r="M22" s="595"/>
      <c r="N22" s="595"/>
      <c r="O22" s="596"/>
      <c r="P22" s="597"/>
      <c r="Q22" s="597"/>
      <c r="R22" s="598"/>
      <c r="S22" s="599"/>
      <c r="T22" s="145"/>
      <c r="U22" s="144"/>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57.75" customHeight="1">
      <c r="A23" s="224">
        <v>17</v>
      </c>
      <c r="B23" s="1709"/>
      <c r="C23" s="1709"/>
      <c r="D23" s="1709"/>
      <c r="E23" s="1709"/>
      <c r="F23" s="1709"/>
      <c r="G23" s="594"/>
      <c r="H23" s="1710"/>
      <c r="I23" s="1710"/>
      <c r="J23" s="1710"/>
      <c r="K23" s="1711"/>
      <c r="L23" s="1711"/>
      <c r="M23" s="595"/>
      <c r="N23" s="595"/>
      <c r="O23" s="596"/>
      <c r="P23" s="597"/>
      <c r="Q23" s="597"/>
      <c r="R23" s="598"/>
      <c r="S23" s="599"/>
      <c r="T23" s="145"/>
      <c r="U23" s="144"/>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57.75" customHeight="1">
      <c r="A24" s="224">
        <v>18</v>
      </c>
      <c r="B24" s="1709"/>
      <c r="C24" s="1709"/>
      <c r="D24" s="1709"/>
      <c r="E24" s="1709"/>
      <c r="F24" s="1709"/>
      <c r="G24" s="594"/>
      <c r="H24" s="1710"/>
      <c r="I24" s="1710"/>
      <c r="J24" s="1710"/>
      <c r="K24" s="1711"/>
      <c r="L24" s="1711"/>
      <c r="M24" s="595"/>
      <c r="N24" s="595"/>
      <c r="O24" s="596"/>
      <c r="P24" s="597"/>
      <c r="Q24" s="597"/>
      <c r="R24" s="598"/>
      <c r="S24" s="599"/>
      <c r="T24" s="145"/>
      <c r="U24" s="144"/>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57.75" customHeight="1">
      <c r="A25" s="224">
        <v>19</v>
      </c>
      <c r="B25" s="1709"/>
      <c r="C25" s="1709"/>
      <c r="D25" s="1709"/>
      <c r="E25" s="1709"/>
      <c r="F25" s="1709"/>
      <c r="G25" s="594"/>
      <c r="H25" s="1710"/>
      <c r="I25" s="1710"/>
      <c r="J25" s="1710"/>
      <c r="K25" s="1711"/>
      <c r="L25" s="1711"/>
      <c r="M25" s="595"/>
      <c r="N25" s="595"/>
      <c r="O25" s="596"/>
      <c r="P25" s="597"/>
      <c r="Q25" s="597"/>
      <c r="R25" s="598"/>
      <c r="S25" s="599"/>
      <c r="T25" s="145"/>
      <c r="U25" s="144"/>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57.75" customHeight="1" thickBot="1">
      <c r="A26" s="225">
        <v>20</v>
      </c>
      <c r="B26" s="1712"/>
      <c r="C26" s="1712"/>
      <c r="D26" s="1712"/>
      <c r="E26" s="1712"/>
      <c r="F26" s="1712"/>
      <c r="G26" s="600"/>
      <c r="H26" s="1713"/>
      <c r="I26" s="1713"/>
      <c r="J26" s="1713"/>
      <c r="K26" s="1714"/>
      <c r="L26" s="1714"/>
      <c r="M26" s="601"/>
      <c r="N26" s="601"/>
      <c r="O26" s="602"/>
      <c r="P26" s="603"/>
      <c r="Q26" s="603"/>
      <c r="R26" s="604"/>
      <c r="S26" s="605"/>
      <c r="T26" s="147"/>
      <c r="U26" s="146"/>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27.75" customHeight="1">
      <c r="A27" s="1719" t="s">
        <v>342</v>
      </c>
      <c r="B27" s="1720"/>
      <c r="C27" s="1720"/>
      <c r="D27" s="1720"/>
      <c r="E27" s="1720"/>
      <c r="F27" s="1720"/>
      <c r="G27" s="1720"/>
      <c r="H27" s="1720"/>
      <c r="I27" s="1720"/>
      <c r="J27" s="1720"/>
      <c r="K27" s="1720"/>
      <c r="L27" s="1720"/>
      <c r="M27" s="1720"/>
      <c r="N27" s="1720"/>
      <c r="O27" s="1720"/>
      <c r="P27" s="1720"/>
      <c r="Q27" s="1720"/>
      <c r="R27" s="262">
        <f>SUMIF((G7:G26),('Data Base'!F41),(R7:R26))</f>
        <v>0</v>
      </c>
      <c r="S27" s="263">
        <f>SUMIF((G7:G26),('Data Base'!F41),(S7:S26))</f>
        <v>0</v>
      </c>
      <c r="T27" s="51"/>
      <c r="U27" s="55"/>
      <c r="V27" s="261"/>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7.75" customHeight="1">
      <c r="A28" s="1731" t="s">
        <v>343</v>
      </c>
      <c r="B28" s="1732"/>
      <c r="C28" s="1732"/>
      <c r="D28" s="1732"/>
      <c r="E28" s="1732"/>
      <c r="F28" s="1732"/>
      <c r="G28" s="1732"/>
      <c r="H28" s="1732"/>
      <c r="I28" s="1732"/>
      <c r="J28" s="1732"/>
      <c r="K28" s="1732"/>
      <c r="L28" s="1732"/>
      <c r="M28" s="1732"/>
      <c r="N28" s="1732"/>
      <c r="O28" s="1732"/>
      <c r="P28" s="1732"/>
      <c r="Q28" s="1732"/>
      <c r="R28" s="264">
        <f>SUMIF((G7:G26),('Data Base'!F42),(R7:R26))</f>
        <v>0</v>
      </c>
      <c r="S28" s="265">
        <f>SUMIF((G7:G26),('Data Base'!F42),(S7:S26))</f>
        <v>0</v>
      </c>
      <c r="T28" s="606"/>
      <c r="U28" s="607"/>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A29" s="1721" t="s">
        <v>344</v>
      </c>
      <c r="B29" s="1722"/>
      <c r="C29" s="1722"/>
      <c r="D29" s="1722"/>
      <c r="E29" s="1722"/>
      <c r="F29" s="1722"/>
      <c r="G29" s="1722"/>
      <c r="H29" s="1722"/>
      <c r="I29" s="1722"/>
      <c r="J29" s="266">
        <f>SUMIF((G7:G26),('Data Base'!F43),(R7:R26))</f>
        <v>0</v>
      </c>
      <c r="K29" s="1725" t="s">
        <v>340</v>
      </c>
      <c r="L29" s="1725"/>
      <c r="M29" s="1725"/>
      <c r="N29" s="1725"/>
      <c r="O29" s="1725"/>
      <c r="P29" s="1725"/>
      <c r="Q29" s="1726"/>
      <c r="R29" s="1729">
        <f>IF(SUM(J29:J30)&gt;10,10,SUM(J29:J30))</f>
        <v>0</v>
      </c>
      <c r="S29" s="1715">
        <f>IF(SUM(SUMIF((G7:G26),('Data Base'!F43),(S7:S26)),SUMIF((G7:G26),('Data Base'!F44),(S7:S26)))&gt;10,10,SUM(SUMIF((G7:G26),('Data Base'!F43),(S7:S26)),SUMIF((G7:G26),('Data Base'!F44),(S7:S26))))</f>
        <v>0</v>
      </c>
      <c r="T29" s="1733"/>
      <c r="U29" s="1735"/>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thickBot="1">
      <c r="A30" s="1723" t="s">
        <v>345</v>
      </c>
      <c r="B30" s="1724"/>
      <c r="C30" s="1724"/>
      <c r="D30" s="1724"/>
      <c r="E30" s="1724"/>
      <c r="F30" s="1724"/>
      <c r="G30" s="1724"/>
      <c r="H30" s="1724"/>
      <c r="I30" s="1724"/>
      <c r="J30" s="267">
        <f>SUMIF((G7:G26),('Data Base'!F44),(R7:R26))</f>
        <v>0</v>
      </c>
      <c r="K30" s="1727"/>
      <c r="L30" s="1727"/>
      <c r="M30" s="1727"/>
      <c r="N30" s="1727"/>
      <c r="O30" s="1727"/>
      <c r="P30" s="1727"/>
      <c r="Q30" s="1728"/>
      <c r="R30" s="1730"/>
      <c r="S30" s="1716"/>
      <c r="T30" s="1734"/>
      <c r="U30" s="1736"/>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8.5" customHeight="1">
      <c r="A31" s="1507" t="s">
        <v>31</v>
      </c>
      <c r="B31" s="1508"/>
      <c r="C31" s="1508"/>
      <c r="D31" s="1508"/>
      <c r="E31" s="1508"/>
      <c r="F31" s="1508"/>
      <c r="G31" s="1508"/>
      <c r="H31" s="1430" t="s">
        <v>32</v>
      </c>
      <c r="I31" s="1430"/>
      <c r="J31" s="1430"/>
      <c r="K31" s="1431">
        <f>Q2</f>
        <v>0</v>
      </c>
      <c r="L31" s="1432"/>
      <c r="M31" s="1432"/>
      <c r="N31" s="1432"/>
      <c r="O31" s="1430" t="s">
        <v>33</v>
      </c>
      <c r="P31" s="1430"/>
      <c r="Q31" s="1430"/>
      <c r="R31" s="1432">
        <f>C2</f>
        <v>0</v>
      </c>
      <c r="S31" s="1432"/>
      <c r="T31" s="1432"/>
      <c r="U31" s="1506"/>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8.5" customHeight="1" thickBot="1">
      <c r="A32" s="1437">
        <f>'فرم الف'!A27</f>
        <v>0</v>
      </c>
      <c r="B32" s="1425"/>
      <c r="C32" s="1425"/>
      <c r="D32" s="1425"/>
      <c r="E32" s="1425"/>
      <c r="F32" s="1425"/>
      <c r="G32" s="1425"/>
      <c r="H32" s="1425">
        <f>'فرم الف'!E27</f>
        <v>0</v>
      </c>
      <c r="I32" s="1425"/>
      <c r="J32" s="1425"/>
      <c r="K32" s="1425"/>
      <c r="L32" s="1425"/>
      <c r="M32" s="1425"/>
      <c r="N32" s="1425"/>
      <c r="O32" s="1425" t="str">
        <f>'فرم الف'!J27</f>
        <v/>
      </c>
      <c r="P32" s="1425"/>
      <c r="Q32" s="1425"/>
      <c r="R32" s="1425"/>
      <c r="S32" s="1425"/>
      <c r="T32" s="1425"/>
      <c r="U32" s="1426"/>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1:80" ht="96" customHeight="1">
      <c r="A33" s="1717" t="s">
        <v>346</v>
      </c>
      <c r="B33" s="1718"/>
      <c r="C33" s="1718"/>
      <c r="D33" s="1718"/>
      <c r="E33" s="1718"/>
      <c r="F33" s="1718"/>
      <c r="G33" s="1718"/>
      <c r="H33" s="1718"/>
      <c r="I33" s="1718"/>
      <c r="J33" s="1718"/>
      <c r="K33" s="1718"/>
      <c r="L33" s="1718"/>
      <c r="M33" s="1718"/>
      <c r="N33" s="1718"/>
      <c r="O33" s="1718"/>
      <c r="P33" s="1718"/>
      <c r="Q33" s="1718"/>
      <c r="R33" s="1718"/>
      <c r="S33" s="1718"/>
      <c r="T33" s="1718"/>
      <c r="U33" s="171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1:80">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1:80" ht="17.25" customHeight="1">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1:80" ht="20.25" customHeight="1">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1:80">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1:80" ht="17.25" customHeight="1">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1:80" ht="20.25" customHeight="1">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1:80">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1:80" ht="17.25" customHeight="1">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1:80" ht="20.25" customHeight="1">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1:80">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1:80" ht="17.25" customHeight="1">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1:80" ht="20.25" customHeight="1">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1:80">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1:80" ht="17.25" customHeight="1">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1:80" ht="20.25" customHeight="1">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6:80">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6:80" ht="17.25" customHeight="1">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6:80" ht="20.25" customHeight="1">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6:80">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6:80" ht="17.25" customHeight="1">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6:80" ht="20.25" customHeight="1">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6:80">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6:80" ht="17.25" customHeight="1">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row r="57" spans="26:80" ht="20.25" customHeight="1">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row>
    <row r="58" spans="26:80">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row>
    <row r="59" spans="26:80">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row>
    <row r="60" spans="26:80">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row>
    <row r="61" spans="26:80" ht="26.25" customHeight="1">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row>
    <row r="62" spans="26:80" ht="26.25" customHeight="1">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c r="CB62" s="198"/>
    </row>
  </sheetData>
  <sheetProtection algorithmName="SHA-512" hashValue="rH4V/SUQmvrQ58oFtkLm3bo7O/lVeWH8xRsDXtAngpgxkAhjYK7btH7eXebGIJHP2OK/pZifnctegy62dTshOQ==" saltValue="1a6NkzeQ3XasL4w9/Yjwyw==" spinCount="100000" sheet="1" objects="1" scenarios="1" formatCells="0" formatRows="0" selectLockedCells="1"/>
  <mergeCells count="103">
    <mergeCell ref="S29:S30"/>
    <mergeCell ref="A33:U33"/>
    <mergeCell ref="A27:Q27"/>
    <mergeCell ref="O31:Q31"/>
    <mergeCell ref="R31:U31"/>
    <mergeCell ref="A29:I29"/>
    <mergeCell ref="A30:I30"/>
    <mergeCell ref="K29:Q30"/>
    <mergeCell ref="R29:R30"/>
    <mergeCell ref="A32:G32"/>
    <mergeCell ref="H32:N32"/>
    <mergeCell ref="O32:U32"/>
    <mergeCell ref="A28:Q28"/>
    <mergeCell ref="A31:G31"/>
    <mergeCell ref="H31:J31"/>
    <mergeCell ref="K31:N31"/>
    <mergeCell ref="T29:T30"/>
    <mergeCell ref="U29:U30"/>
    <mergeCell ref="B22:F22"/>
    <mergeCell ref="B23:F23"/>
    <mergeCell ref="B20:F20"/>
    <mergeCell ref="B21:F21"/>
    <mergeCell ref="H20:J20"/>
    <mergeCell ref="K20:L20"/>
    <mergeCell ref="B18:F18"/>
    <mergeCell ref="B19:F19"/>
    <mergeCell ref="B16:F16"/>
    <mergeCell ref="B17:F17"/>
    <mergeCell ref="H17:J17"/>
    <mergeCell ref="K17:L17"/>
    <mergeCell ref="H18:J18"/>
    <mergeCell ref="K18:L18"/>
    <mergeCell ref="H19:J19"/>
    <mergeCell ref="K19:L19"/>
    <mergeCell ref="H16:J16"/>
    <mergeCell ref="K16:L16"/>
    <mergeCell ref="H21:J21"/>
    <mergeCell ref="K21:L21"/>
    <mergeCell ref="H22:J22"/>
    <mergeCell ref="K22:L22"/>
    <mergeCell ref="H23:J23"/>
    <mergeCell ref="K23:L23"/>
    <mergeCell ref="B26:F26"/>
    <mergeCell ref="B24:F24"/>
    <mergeCell ref="B25:F25"/>
    <mergeCell ref="H24:J24"/>
    <mergeCell ref="K24:L24"/>
    <mergeCell ref="H25:J25"/>
    <mergeCell ref="K25:L25"/>
    <mergeCell ref="H26:J26"/>
    <mergeCell ref="K26:L26"/>
    <mergeCell ref="B14:F14"/>
    <mergeCell ref="B15:F15"/>
    <mergeCell ref="B12:F12"/>
    <mergeCell ref="B13:F13"/>
    <mergeCell ref="H12:J12"/>
    <mergeCell ref="K12:L12"/>
    <mergeCell ref="B10:F10"/>
    <mergeCell ref="B11:F11"/>
    <mergeCell ref="B8:F8"/>
    <mergeCell ref="B9:F9"/>
    <mergeCell ref="H8:J8"/>
    <mergeCell ref="K8:L8"/>
    <mergeCell ref="H9:J9"/>
    <mergeCell ref="K9:L9"/>
    <mergeCell ref="H10:J10"/>
    <mergeCell ref="K10:L10"/>
    <mergeCell ref="H11:J11"/>
    <mergeCell ref="K11:L11"/>
    <mergeCell ref="H13:J13"/>
    <mergeCell ref="K13:L13"/>
    <mergeCell ref="H14:J14"/>
    <mergeCell ref="K14:L14"/>
    <mergeCell ref="H15:J15"/>
    <mergeCell ref="K15:L15"/>
    <mergeCell ref="R4:T4"/>
    <mergeCell ref="U4:U6"/>
    <mergeCell ref="B7:F7"/>
    <mergeCell ref="N5:P5"/>
    <mergeCell ref="M5:M6"/>
    <mergeCell ref="K4:L6"/>
    <mergeCell ref="A3:R3"/>
    <mergeCell ref="S3:U3"/>
    <mergeCell ref="A4:A6"/>
    <mergeCell ref="R5:R6"/>
    <mergeCell ref="S5:S6"/>
    <mergeCell ref="T5:T6"/>
    <mergeCell ref="Q4:Q6"/>
    <mergeCell ref="M4:P4"/>
    <mergeCell ref="B4:F6"/>
    <mergeCell ref="K7:L7"/>
    <mergeCell ref="H4:J6"/>
    <mergeCell ref="G4:G6"/>
    <mergeCell ref="H7:J7"/>
    <mergeCell ref="A1:B2"/>
    <mergeCell ref="C1:G1"/>
    <mergeCell ref="Q1:U1"/>
    <mergeCell ref="C2:G2"/>
    <mergeCell ref="Q2:U2"/>
    <mergeCell ref="M1:P1"/>
    <mergeCell ref="M2:P2"/>
    <mergeCell ref="H1:L1"/>
    <mergeCell ref="H2:L2"/>
  </mergeCells>
  <conditionalFormatting sqref="B7:Q7">
    <cfRule type="containsBlanks" dxfId="92" priority="6">
      <formula>LEN(TRIM(B7))=0</formula>
    </cfRule>
  </conditionalFormatting>
  <conditionalFormatting sqref="B8:Q26">
    <cfRule type="containsBlanks" dxfId="91" priority="1">
      <formula>LEN(TRIM(B8))=0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حداکثر امتیاز:_x000a_تصنیف تا 15_x000a_تالیف تا 10_x000a_تصحیح انتقادی تا 7_x000a_ترجمه مرتبط با تخصص تا 7" sqref="R7:S26">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Base'!$F$41:$F$44</xm:f>
          </x14:formula1>
          <xm:sqref>G7:G26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6" tint="-0.249977111117893"/>
  </sheetPr>
  <dimension ref="A1:CB60"/>
  <sheetViews>
    <sheetView showGridLines="0" rightToLeft="1" view="pageBreakPreview" zoomScaleNormal="100" zoomScaleSheetLayoutView="100" workbookViewId="0">
      <pane ySplit="5" topLeftCell="A6" activePane="bottomLeft" state="frozen"/>
      <selection pane="bottomLeft" activeCell="K9" sqref="K9:L9"/>
    </sheetView>
  </sheetViews>
  <sheetFormatPr defaultColWidth="9.140625" defaultRowHeight="15"/>
  <cols>
    <col min="1" max="1" width="2.85546875" style="19" customWidth="1"/>
    <col min="2" max="2" width="3.7109375" style="19" customWidth="1"/>
    <col min="3" max="3" width="3.85546875" style="19" customWidth="1"/>
    <col min="4" max="4" width="8.28515625" style="19" customWidth="1"/>
    <col min="5" max="5" width="5.85546875" style="19" customWidth="1"/>
    <col min="6" max="6" width="5.140625" style="19" customWidth="1"/>
    <col min="7" max="7" width="5.5703125" style="19" customWidth="1"/>
    <col min="8" max="8" width="9.28515625" style="19" customWidth="1"/>
    <col min="9" max="10" width="5.7109375" style="19" customWidth="1"/>
    <col min="11" max="11" width="5.42578125" style="19" customWidth="1"/>
    <col min="12" max="12" width="4.7109375" style="19" customWidth="1"/>
    <col min="13" max="13" width="5.7109375" style="19" customWidth="1"/>
    <col min="14" max="14" width="8.140625" style="19" customWidth="1"/>
    <col min="15" max="15" width="7.28515625" style="19" customWidth="1"/>
    <col min="16" max="16" width="4.7109375" style="19" customWidth="1"/>
    <col min="17" max="17" width="6.140625" style="19" customWidth="1"/>
    <col min="18" max="18" width="9.85546875" style="19" customWidth="1"/>
    <col min="19" max="21" width="5.28515625" style="19" customWidth="1"/>
    <col min="22" max="16384" width="9.140625" style="19"/>
  </cols>
  <sheetData>
    <row r="1" spans="1:80" ht="15" customHeight="1">
      <c r="A1" s="1466" t="s">
        <v>34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2"/>
      <c r="J2" s="1492"/>
      <c r="K2" s="1492"/>
      <c r="L2" s="1492"/>
      <c r="M2" s="1492">
        <f>'فرم الف'!J15</f>
        <v>0</v>
      </c>
      <c r="N2" s="1493"/>
      <c r="O2" s="1493"/>
      <c r="P2" s="1493"/>
      <c r="Q2" s="1488">
        <f>'فرم الف'!D9</f>
        <v>0</v>
      </c>
      <c r="R2" s="1489"/>
      <c r="S2" s="1489"/>
      <c r="T2" s="1489"/>
      <c r="U2" s="1490"/>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980</v>
      </c>
      <c r="B3" s="1528"/>
      <c r="C3" s="1529"/>
      <c r="D3" s="1529"/>
      <c r="E3" s="1529"/>
      <c r="F3" s="1529"/>
      <c r="G3" s="1529"/>
      <c r="H3" s="1529"/>
      <c r="I3" s="1529"/>
      <c r="J3" s="1529"/>
      <c r="K3" s="1529"/>
      <c r="L3" s="1529"/>
      <c r="M3" s="1529"/>
      <c r="N3" s="1529"/>
      <c r="O3" s="1529"/>
      <c r="P3" s="1529"/>
      <c r="Q3" s="1529"/>
      <c r="R3" s="1529"/>
      <c r="S3" s="1697" t="s">
        <v>347</v>
      </c>
      <c r="T3" s="1527"/>
      <c r="U3" s="1527"/>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6.5" customHeight="1">
      <c r="A4" s="1479" t="s">
        <v>9</v>
      </c>
      <c r="B4" s="1482" t="s">
        <v>351</v>
      </c>
      <c r="C4" s="1482"/>
      <c r="D4" s="1482"/>
      <c r="E4" s="1482"/>
      <c r="F4" s="1482"/>
      <c r="G4" s="1482" t="s">
        <v>352</v>
      </c>
      <c r="H4" s="1482" t="s">
        <v>353</v>
      </c>
      <c r="I4" s="1482" t="s">
        <v>354</v>
      </c>
      <c r="J4" s="1482"/>
      <c r="K4" s="1482" t="s">
        <v>355</v>
      </c>
      <c r="L4" s="1482"/>
      <c r="M4" s="1482" t="s">
        <v>356</v>
      </c>
      <c r="N4" s="1477" t="s">
        <v>357</v>
      </c>
      <c r="O4" s="1477" t="s">
        <v>240</v>
      </c>
      <c r="P4" s="1482" t="s">
        <v>350</v>
      </c>
      <c r="Q4" s="1482"/>
      <c r="R4" s="1482" t="s">
        <v>348</v>
      </c>
      <c r="S4" s="1470" t="s">
        <v>13</v>
      </c>
      <c r="T4" s="1470"/>
      <c r="U4" s="1560"/>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60" customHeight="1" thickBot="1">
      <c r="A5" s="1480"/>
      <c r="B5" s="1483"/>
      <c r="C5" s="1483"/>
      <c r="D5" s="1483"/>
      <c r="E5" s="1483"/>
      <c r="F5" s="1483"/>
      <c r="G5" s="1483"/>
      <c r="H5" s="1483"/>
      <c r="I5" s="1483"/>
      <c r="J5" s="1483"/>
      <c r="K5" s="1483"/>
      <c r="L5" s="1483"/>
      <c r="M5" s="1483"/>
      <c r="N5" s="1478"/>
      <c r="O5" s="1478"/>
      <c r="P5" s="1483"/>
      <c r="Q5" s="1483"/>
      <c r="R5" s="1483"/>
      <c r="S5" s="188" t="s">
        <v>17</v>
      </c>
      <c r="T5" s="188" t="s">
        <v>349</v>
      </c>
      <c r="U5" s="243" t="s">
        <v>18</v>
      </c>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row>
    <row r="6" spans="1:80" ht="57.75" customHeight="1">
      <c r="A6" s="223">
        <v>1</v>
      </c>
      <c r="B6" s="1702"/>
      <c r="C6" s="1702"/>
      <c r="D6" s="1702"/>
      <c r="E6" s="1702"/>
      <c r="F6" s="1702"/>
      <c r="G6" s="608"/>
      <c r="H6" s="588"/>
      <c r="I6" s="1708"/>
      <c r="J6" s="1708"/>
      <c r="K6" s="1707"/>
      <c r="L6" s="1707"/>
      <c r="M6" s="609"/>
      <c r="N6" s="610" t="s">
        <v>364</v>
      </c>
      <c r="O6" s="610"/>
      <c r="P6" s="1738"/>
      <c r="Q6" s="1738"/>
      <c r="R6" s="611"/>
      <c r="S6" s="173">
        <f>IF(OR(B6="",H6="",I6="",M6="",O6="",P6=""),0,IF(AND(EXACT(H6,'Data Base'!$H$41),EXACT(O6,'Data Base'!$J$41)),2,IF(AND(EXACT(H6,'Data Base'!$H$41),EXACT(O6,'Data Base'!$J$42)),1,IF(AND(EXACT(H6,'Data Base'!$H$41),EXACT(O6,'Data Base'!$J$43)),0.5,IF(AND(EXACT(H6,'Data Base'!$H$41),EXACT(O6,'Data Base'!$J$44)),0.25,IF(AND(EXACT(H6,'Data Base'!$H$42),EXACT(O6,'Data Base'!$J$41)),6,IF(AND(EXACT(H6,'Data Base'!$H$42),EXACT(O6,'Data Base'!$J$42)),3,IF(AND(EXACT(H6,'Data Base'!$H$42),EXACT(O6,'Data Base'!$J$43)),1.5,IF(AND(EXACT(H6,'Data Base'!$H$42),EXACT(O6,'Data Base'!$J$44)),0.75,0)))))))))</f>
        <v>0</v>
      </c>
      <c r="T6" s="175"/>
      <c r="U6" s="612"/>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57.75" customHeight="1">
      <c r="A7" s="224">
        <v>2</v>
      </c>
      <c r="B7" s="1709"/>
      <c r="C7" s="1709"/>
      <c r="D7" s="1709"/>
      <c r="E7" s="1709"/>
      <c r="F7" s="1709"/>
      <c r="G7" s="613"/>
      <c r="H7" s="594"/>
      <c r="I7" s="1710"/>
      <c r="J7" s="1710"/>
      <c r="K7" s="1711"/>
      <c r="L7" s="1711"/>
      <c r="M7" s="614"/>
      <c r="N7" s="615" t="s">
        <v>364</v>
      </c>
      <c r="O7" s="615"/>
      <c r="P7" s="1737"/>
      <c r="Q7" s="1737"/>
      <c r="R7" s="616"/>
      <c r="S7" s="174">
        <f>IF(OR(B7="",H7="",I7="",M7="",O7="",P7=""),0,IF(AND(EXACT(H7,'Data Base'!$H$41),EXACT(O7,'Data Base'!$J$41)),2,IF(AND(EXACT(H7,'Data Base'!$H$41),EXACT(O7,'Data Base'!$J$42)),1,IF(AND(EXACT(H7,'Data Base'!$H$41),EXACT(O7,'Data Base'!$J$43)),0.5,IF(AND(EXACT(H7,'Data Base'!$H$41),EXACT(O7,'Data Base'!$J$44)),0.25,IF(AND(EXACT(H7,'Data Base'!$H$42),EXACT(O7,'Data Base'!$J$41)),6,IF(AND(EXACT(H7,'Data Base'!$H$42),EXACT(O7,'Data Base'!$J$42)),3,IF(AND(EXACT(H7,'Data Base'!$H$42),EXACT(O7,'Data Base'!$J$43)),1.5,IF(AND(EXACT(H7,'Data Base'!$H$42),EXACT(O7,'Data Base'!$J$44)),0.75,0)))))))))</f>
        <v>0</v>
      </c>
      <c r="T7" s="34"/>
      <c r="U7" s="617"/>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57.75" customHeight="1">
      <c r="A8" s="224">
        <v>3</v>
      </c>
      <c r="B8" s="1709"/>
      <c r="C8" s="1709"/>
      <c r="D8" s="1709"/>
      <c r="E8" s="1709"/>
      <c r="F8" s="1709"/>
      <c r="G8" s="613"/>
      <c r="H8" s="594"/>
      <c r="I8" s="1710"/>
      <c r="J8" s="1710"/>
      <c r="K8" s="1711"/>
      <c r="L8" s="1711"/>
      <c r="M8" s="614"/>
      <c r="N8" s="615" t="s">
        <v>364</v>
      </c>
      <c r="O8" s="615"/>
      <c r="P8" s="1737"/>
      <c r="Q8" s="1737"/>
      <c r="R8" s="616"/>
      <c r="S8" s="174">
        <f>IF(OR(B8="",H8="",I8="",M8="",O8="",P8=""),0,IF(AND(EXACT(H8,'Data Base'!$H$41),EXACT(O8,'Data Base'!$J$41)),2,IF(AND(EXACT(H8,'Data Base'!$H$41),EXACT(O8,'Data Base'!$J$42)),1,IF(AND(EXACT(H8,'Data Base'!$H$41),EXACT(O8,'Data Base'!$J$43)),0.5,IF(AND(EXACT(H8,'Data Base'!$H$41),EXACT(O8,'Data Base'!$J$44)),0.25,IF(AND(EXACT(H8,'Data Base'!$H$42),EXACT(O8,'Data Base'!$J$41)),6,IF(AND(EXACT(H8,'Data Base'!$H$42),EXACT(O8,'Data Base'!$J$42)),3,IF(AND(EXACT(H8,'Data Base'!$H$42),EXACT(O8,'Data Base'!$J$43)),1.5,IF(AND(EXACT(H8,'Data Base'!$H$42),EXACT(O8,'Data Base'!$J$44)),0.75,0)))))))))</f>
        <v>0</v>
      </c>
      <c r="T8" s="34"/>
      <c r="U8" s="617"/>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57.75" customHeight="1">
      <c r="A9" s="224">
        <v>4</v>
      </c>
      <c r="B9" s="1709"/>
      <c r="C9" s="1709"/>
      <c r="D9" s="1709"/>
      <c r="E9" s="1709"/>
      <c r="F9" s="1709"/>
      <c r="G9" s="613"/>
      <c r="H9" s="594"/>
      <c r="I9" s="1710"/>
      <c r="J9" s="1710"/>
      <c r="K9" s="1711"/>
      <c r="L9" s="1711"/>
      <c r="M9" s="614"/>
      <c r="N9" s="615" t="s">
        <v>364</v>
      </c>
      <c r="O9" s="615"/>
      <c r="P9" s="1737"/>
      <c r="Q9" s="1737"/>
      <c r="R9" s="616"/>
      <c r="S9" s="174">
        <f>IF(OR(B9="",H9="",I9="",M9="",O9="",P9=""),0,IF(AND(EXACT(H9,'Data Base'!$H$41),EXACT(O9,'Data Base'!$J$41)),2,IF(AND(EXACT(H9,'Data Base'!$H$41),EXACT(O9,'Data Base'!$J$42)),1,IF(AND(EXACT(H9,'Data Base'!$H$41),EXACT(O9,'Data Base'!$J$43)),0.5,IF(AND(EXACT(H9,'Data Base'!$H$41),EXACT(O9,'Data Base'!$J$44)),0.25,IF(AND(EXACT(H9,'Data Base'!$H$42),EXACT(O9,'Data Base'!$J$41)),6,IF(AND(EXACT(H9,'Data Base'!$H$42),EXACT(O9,'Data Base'!$J$42)),3,IF(AND(EXACT(H9,'Data Base'!$H$42),EXACT(O9,'Data Base'!$J$43)),1.5,IF(AND(EXACT(H9,'Data Base'!$H$42),EXACT(O9,'Data Base'!$J$44)),0.75,0)))))))))</f>
        <v>0</v>
      </c>
      <c r="T9" s="34"/>
      <c r="U9" s="617"/>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57.75" customHeight="1">
      <c r="A10" s="224">
        <v>5</v>
      </c>
      <c r="B10" s="1709"/>
      <c r="C10" s="1709"/>
      <c r="D10" s="1709"/>
      <c r="E10" s="1709"/>
      <c r="F10" s="1709"/>
      <c r="G10" s="613"/>
      <c r="H10" s="594"/>
      <c r="I10" s="1710"/>
      <c r="J10" s="1710"/>
      <c r="K10" s="1711"/>
      <c r="L10" s="1711"/>
      <c r="M10" s="614"/>
      <c r="N10" s="615" t="s">
        <v>364</v>
      </c>
      <c r="O10" s="615"/>
      <c r="P10" s="1737"/>
      <c r="Q10" s="1737"/>
      <c r="R10" s="616"/>
      <c r="S10" s="174">
        <f>IF(OR(B10="",H10="",I10="",M10="",O10="",P10=""),0,IF(AND(EXACT(H10,'Data Base'!$H$41),EXACT(O10,'Data Base'!$J$41)),2,IF(AND(EXACT(H10,'Data Base'!$H$41),EXACT(O10,'Data Base'!$J$42)),1,IF(AND(EXACT(H10,'Data Base'!$H$41),EXACT(O10,'Data Base'!$J$43)),0.5,IF(AND(EXACT(H10,'Data Base'!$H$41),EXACT(O10,'Data Base'!$J$44)),0.25,IF(AND(EXACT(H10,'Data Base'!$H$42),EXACT(O10,'Data Base'!$J$41)),6,IF(AND(EXACT(H10,'Data Base'!$H$42),EXACT(O10,'Data Base'!$J$42)),3,IF(AND(EXACT(H10,'Data Base'!$H$42),EXACT(O10,'Data Base'!$J$43)),1.5,IF(AND(EXACT(H10,'Data Base'!$H$42),EXACT(O10,'Data Base'!$J$44)),0.75,0)))))))))</f>
        <v>0</v>
      </c>
      <c r="T10" s="34"/>
      <c r="U10" s="617"/>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57.75" customHeight="1">
      <c r="A11" s="224">
        <v>6</v>
      </c>
      <c r="B11" s="1709"/>
      <c r="C11" s="1709"/>
      <c r="D11" s="1709"/>
      <c r="E11" s="1709"/>
      <c r="F11" s="1709"/>
      <c r="G11" s="613"/>
      <c r="H11" s="594"/>
      <c r="I11" s="1710"/>
      <c r="J11" s="1710"/>
      <c r="K11" s="1711"/>
      <c r="L11" s="1711"/>
      <c r="M11" s="614"/>
      <c r="N11" s="615" t="s">
        <v>364</v>
      </c>
      <c r="O11" s="615"/>
      <c r="P11" s="1737"/>
      <c r="Q11" s="1737"/>
      <c r="R11" s="616"/>
      <c r="S11" s="174">
        <f>IF(OR(B11="",H11="",I11="",M11="",O11="",P11=""),0,IF(AND(EXACT(H11,'Data Base'!$H$41),EXACT(O11,'Data Base'!$J$41)),2,IF(AND(EXACT(H11,'Data Base'!$H$41),EXACT(O11,'Data Base'!$J$42)),1,IF(AND(EXACT(H11,'Data Base'!$H$41),EXACT(O11,'Data Base'!$J$43)),0.5,IF(AND(EXACT(H11,'Data Base'!$H$41),EXACT(O11,'Data Base'!$J$44)),0.25,IF(AND(EXACT(H11,'Data Base'!$H$42),EXACT(O11,'Data Base'!$J$41)),6,IF(AND(EXACT(H11,'Data Base'!$H$42),EXACT(O11,'Data Base'!$J$42)),3,IF(AND(EXACT(H11,'Data Base'!$H$42),EXACT(O11,'Data Base'!$J$43)),1.5,IF(AND(EXACT(H11,'Data Base'!$H$42),EXACT(O11,'Data Base'!$J$44)),0.75,0)))))))))</f>
        <v>0</v>
      </c>
      <c r="T11" s="34"/>
      <c r="U11" s="617"/>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57.75" customHeight="1">
      <c r="A12" s="224">
        <v>7</v>
      </c>
      <c r="B12" s="1709"/>
      <c r="C12" s="1709"/>
      <c r="D12" s="1709"/>
      <c r="E12" s="1709"/>
      <c r="F12" s="1709"/>
      <c r="G12" s="613"/>
      <c r="H12" s="594"/>
      <c r="I12" s="1710"/>
      <c r="J12" s="1710"/>
      <c r="K12" s="1711"/>
      <c r="L12" s="1711"/>
      <c r="M12" s="614"/>
      <c r="N12" s="615" t="s">
        <v>364</v>
      </c>
      <c r="O12" s="615"/>
      <c r="P12" s="1737"/>
      <c r="Q12" s="1737"/>
      <c r="R12" s="616"/>
      <c r="S12" s="174">
        <f>IF(OR(B12="",H12="",I12="",M12="",O12="",P12=""),0,IF(AND(EXACT(H12,'Data Base'!$H$41),EXACT(O12,'Data Base'!$J$41)),2,IF(AND(EXACT(H12,'Data Base'!$H$41),EXACT(O12,'Data Base'!$J$42)),1,IF(AND(EXACT(H12,'Data Base'!$H$41),EXACT(O12,'Data Base'!$J$43)),0.5,IF(AND(EXACT(H12,'Data Base'!$H$41),EXACT(O12,'Data Base'!$J$44)),0.25,IF(AND(EXACT(H12,'Data Base'!$H$42),EXACT(O12,'Data Base'!$J$41)),6,IF(AND(EXACT(H12,'Data Base'!$H$42),EXACT(O12,'Data Base'!$J$42)),3,IF(AND(EXACT(H12,'Data Base'!$H$42),EXACT(O12,'Data Base'!$J$43)),1.5,IF(AND(EXACT(H12,'Data Base'!$H$42),EXACT(O12,'Data Base'!$J$44)),0.75,0)))))))))</f>
        <v>0</v>
      </c>
      <c r="T12" s="34"/>
      <c r="U12" s="617"/>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58.5" customHeight="1">
      <c r="A13" s="224">
        <v>8</v>
      </c>
      <c r="B13" s="1709"/>
      <c r="C13" s="1709"/>
      <c r="D13" s="1709"/>
      <c r="E13" s="1709"/>
      <c r="F13" s="1709"/>
      <c r="G13" s="613"/>
      <c r="H13" s="594"/>
      <c r="I13" s="1710"/>
      <c r="J13" s="1710"/>
      <c r="K13" s="1711"/>
      <c r="L13" s="1711"/>
      <c r="M13" s="614"/>
      <c r="N13" s="615" t="s">
        <v>364</v>
      </c>
      <c r="O13" s="615"/>
      <c r="P13" s="1737"/>
      <c r="Q13" s="1737"/>
      <c r="R13" s="616"/>
      <c r="S13" s="174">
        <f>IF(OR(B13="",H13="",I13="",M13="",O13="",P13=""),0,IF(AND(EXACT(H13,'Data Base'!$H$41),EXACT(O13,'Data Base'!$J$41)),2,IF(AND(EXACT(H13,'Data Base'!$H$41),EXACT(O13,'Data Base'!$J$42)),1,IF(AND(EXACT(H13,'Data Base'!$H$41),EXACT(O13,'Data Base'!$J$43)),0.5,IF(AND(EXACT(H13,'Data Base'!$H$41),EXACT(O13,'Data Base'!$J$44)),0.25,IF(AND(EXACT(H13,'Data Base'!$H$42),EXACT(O13,'Data Base'!$J$41)),6,IF(AND(EXACT(H13,'Data Base'!$H$42),EXACT(O13,'Data Base'!$J$42)),3,IF(AND(EXACT(H13,'Data Base'!$H$42),EXACT(O13,'Data Base'!$J$43)),1.5,IF(AND(EXACT(H13,'Data Base'!$H$42),EXACT(O13,'Data Base'!$J$44)),0.75,0)))))))))</f>
        <v>0</v>
      </c>
      <c r="T13" s="34"/>
      <c r="U13" s="617"/>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58.5" customHeight="1">
      <c r="A14" s="224">
        <v>9</v>
      </c>
      <c r="B14" s="1709"/>
      <c r="C14" s="1709"/>
      <c r="D14" s="1709"/>
      <c r="E14" s="1709"/>
      <c r="F14" s="1709"/>
      <c r="G14" s="613"/>
      <c r="H14" s="594"/>
      <c r="I14" s="1710"/>
      <c r="J14" s="1710"/>
      <c r="K14" s="1711"/>
      <c r="L14" s="1711"/>
      <c r="M14" s="614"/>
      <c r="N14" s="615" t="s">
        <v>364</v>
      </c>
      <c r="O14" s="615"/>
      <c r="P14" s="1737"/>
      <c r="Q14" s="1737"/>
      <c r="R14" s="616"/>
      <c r="S14" s="174">
        <f>IF(OR(B14="",H14="",I14="",M14="",O14="",P14=""),0,IF(AND(EXACT(H14,'Data Base'!$H$41),EXACT(O14,'Data Base'!$J$41)),2,IF(AND(EXACT(H14,'Data Base'!$H$41),EXACT(O14,'Data Base'!$J$42)),1,IF(AND(EXACT(H14,'Data Base'!$H$41),EXACT(O14,'Data Base'!$J$43)),0.5,IF(AND(EXACT(H14,'Data Base'!$H$41),EXACT(O14,'Data Base'!$J$44)),0.25,IF(AND(EXACT(H14,'Data Base'!$H$42),EXACT(O14,'Data Base'!$J$41)),6,IF(AND(EXACT(H14,'Data Base'!$H$42),EXACT(O14,'Data Base'!$J$42)),3,IF(AND(EXACT(H14,'Data Base'!$H$42),EXACT(O14,'Data Base'!$J$43)),1.5,IF(AND(EXACT(H14,'Data Base'!$H$42),EXACT(O14,'Data Base'!$J$44)),0.75,0)))))))))</f>
        <v>0</v>
      </c>
      <c r="T14" s="34"/>
      <c r="U14" s="617"/>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58.5" customHeight="1">
      <c r="A15" s="224">
        <v>10</v>
      </c>
      <c r="B15" s="1709"/>
      <c r="C15" s="1709"/>
      <c r="D15" s="1709"/>
      <c r="E15" s="1709"/>
      <c r="F15" s="1709"/>
      <c r="G15" s="613"/>
      <c r="H15" s="594"/>
      <c r="I15" s="1710"/>
      <c r="J15" s="1710"/>
      <c r="K15" s="1711"/>
      <c r="L15" s="1711"/>
      <c r="M15" s="614"/>
      <c r="N15" s="615" t="s">
        <v>364</v>
      </c>
      <c r="O15" s="615"/>
      <c r="P15" s="1737"/>
      <c r="Q15" s="1737"/>
      <c r="R15" s="616"/>
      <c r="S15" s="174">
        <f>IF(OR(B15="",H15="",I15="",M15="",O15="",P15=""),0,IF(AND(EXACT(H15,'Data Base'!$H$41),EXACT(O15,'Data Base'!$J$41)),2,IF(AND(EXACT(H15,'Data Base'!$H$41),EXACT(O15,'Data Base'!$J$42)),1,IF(AND(EXACT(H15,'Data Base'!$H$41),EXACT(O15,'Data Base'!$J$43)),0.5,IF(AND(EXACT(H15,'Data Base'!$H$41),EXACT(O15,'Data Base'!$J$44)),0.25,IF(AND(EXACT(H15,'Data Base'!$H$42),EXACT(O15,'Data Base'!$J$41)),6,IF(AND(EXACT(H15,'Data Base'!$H$42),EXACT(O15,'Data Base'!$J$42)),3,IF(AND(EXACT(H15,'Data Base'!$H$42),EXACT(O15,'Data Base'!$J$43)),1.5,IF(AND(EXACT(H15,'Data Base'!$H$42),EXACT(O15,'Data Base'!$J$44)),0.75,0)))))))))</f>
        <v>0</v>
      </c>
      <c r="T15" s="34"/>
      <c r="U15" s="617"/>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58.5" customHeight="1">
      <c r="A16" s="224">
        <v>11</v>
      </c>
      <c r="B16" s="1709"/>
      <c r="C16" s="1709"/>
      <c r="D16" s="1709"/>
      <c r="E16" s="1709"/>
      <c r="F16" s="1709"/>
      <c r="G16" s="613"/>
      <c r="H16" s="594"/>
      <c r="I16" s="1710"/>
      <c r="J16" s="1710"/>
      <c r="K16" s="1711"/>
      <c r="L16" s="1711"/>
      <c r="M16" s="614"/>
      <c r="N16" s="615" t="s">
        <v>364</v>
      </c>
      <c r="O16" s="615"/>
      <c r="P16" s="1737"/>
      <c r="Q16" s="1737"/>
      <c r="R16" s="616"/>
      <c r="S16" s="174">
        <f>IF(OR(B16="",H16="",I16="",M16="",O16="",P16=""),0,IF(AND(EXACT(H16,'Data Base'!$H$41),EXACT(O16,'Data Base'!$J$41)),2,IF(AND(EXACT(H16,'Data Base'!$H$41),EXACT(O16,'Data Base'!$J$42)),1,IF(AND(EXACT(H16,'Data Base'!$H$41),EXACT(O16,'Data Base'!$J$43)),0.5,IF(AND(EXACT(H16,'Data Base'!$H$41),EXACT(O16,'Data Base'!$J$44)),0.25,IF(AND(EXACT(H16,'Data Base'!$H$42),EXACT(O16,'Data Base'!$J$41)),6,IF(AND(EXACT(H16,'Data Base'!$H$42),EXACT(O16,'Data Base'!$J$42)),3,IF(AND(EXACT(H16,'Data Base'!$H$42),EXACT(O16,'Data Base'!$J$43)),1.5,IF(AND(EXACT(H16,'Data Base'!$H$42),EXACT(O16,'Data Base'!$J$44)),0.75,0)))))))))</f>
        <v>0</v>
      </c>
      <c r="T16" s="34"/>
      <c r="U16" s="617"/>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58.5" customHeight="1">
      <c r="A17" s="224">
        <v>12</v>
      </c>
      <c r="B17" s="1709"/>
      <c r="C17" s="1709"/>
      <c r="D17" s="1709"/>
      <c r="E17" s="1709"/>
      <c r="F17" s="1709"/>
      <c r="G17" s="613"/>
      <c r="H17" s="594"/>
      <c r="I17" s="1710"/>
      <c r="J17" s="1710"/>
      <c r="K17" s="1711"/>
      <c r="L17" s="1711"/>
      <c r="M17" s="614"/>
      <c r="N17" s="615" t="s">
        <v>364</v>
      </c>
      <c r="O17" s="615"/>
      <c r="P17" s="1737"/>
      <c r="Q17" s="1737"/>
      <c r="R17" s="616"/>
      <c r="S17" s="174">
        <f>IF(OR(B17="",H17="",I17="",M17="",O17="",P17=""),0,IF(AND(EXACT(H17,'Data Base'!$H$41),EXACT(O17,'Data Base'!$J$41)),2,IF(AND(EXACT(H17,'Data Base'!$H$41),EXACT(O17,'Data Base'!$J$42)),1,IF(AND(EXACT(H17,'Data Base'!$H$41),EXACT(O17,'Data Base'!$J$43)),0.5,IF(AND(EXACT(H17,'Data Base'!$H$41),EXACT(O17,'Data Base'!$J$44)),0.25,IF(AND(EXACT(H17,'Data Base'!$H$42),EXACT(O17,'Data Base'!$J$41)),6,IF(AND(EXACT(H17,'Data Base'!$H$42),EXACT(O17,'Data Base'!$J$42)),3,IF(AND(EXACT(H17,'Data Base'!$H$42),EXACT(O17,'Data Base'!$J$43)),1.5,IF(AND(EXACT(H17,'Data Base'!$H$42),EXACT(O17,'Data Base'!$J$44)),0.75,0)))))))))</f>
        <v>0</v>
      </c>
      <c r="T17" s="34"/>
      <c r="U17" s="617"/>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58.5" customHeight="1">
      <c r="A18" s="224">
        <v>13</v>
      </c>
      <c r="B18" s="1709"/>
      <c r="C18" s="1709"/>
      <c r="D18" s="1709"/>
      <c r="E18" s="1709"/>
      <c r="F18" s="1709"/>
      <c r="G18" s="613"/>
      <c r="H18" s="594"/>
      <c r="I18" s="1710"/>
      <c r="J18" s="1710"/>
      <c r="K18" s="1711"/>
      <c r="L18" s="1711"/>
      <c r="M18" s="614"/>
      <c r="N18" s="615" t="s">
        <v>364</v>
      </c>
      <c r="O18" s="615"/>
      <c r="P18" s="1737"/>
      <c r="Q18" s="1737"/>
      <c r="R18" s="616"/>
      <c r="S18" s="174">
        <f>IF(OR(B18="",H18="",I18="",M18="",O18="",P18=""),0,IF(AND(EXACT(H18,'Data Base'!$H$41),EXACT(O18,'Data Base'!$J$41)),2,IF(AND(EXACT(H18,'Data Base'!$H$41),EXACT(O18,'Data Base'!$J$42)),1,IF(AND(EXACT(H18,'Data Base'!$H$41),EXACT(O18,'Data Base'!$J$43)),0.5,IF(AND(EXACT(H18,'Data Base'!$H$41),EXACT(O18,'Data Base'!$J$44)),0.25,IF(AND(EXACT(H18,'Data Base'!$H$42),EXACT(O18,'Data Base'!$J$41)),6,IF(AND(EXACT(H18,'Data Base'!$H$42),EXACT(O18,'Data Base'!$J$42)),3,IF(AND(EXACT(H18,'Data Base'!$H$42),EXACT(O18,'Data Base'!$J$43)),1.5,IF(AND(EXACT(H18,'Data Base'!$H$42),EXACT(O18,'Data Base'!$J$44)),0.75,0)))))))))</f>
        <v>0</v>
      </c>
      <c r="T18" s="34"/>
      <c r="U18" s="617"/>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58.5" customHeight="1">
      <c r="A19" s="224">
        <v>14</v>
      </c>
      <c r="B19" s="1709"/>
      <c r="C19" s="1709"/>
      <c r="D19" s="1709"/>
      <c r="E19" s="1709"/>
      <c r="F19" s="1709"/>
      <c r="G19" s="613"/>
      <c r="H19" s="594"/>
      <c r="I19" s="1710"/>
      <c r="J19" s="1710"/>
      <c r="K19" s="1711"/>
      <c r="L19" s="1711"/>
      <c r="M19" s="614"/>
      <c r="N19" s="615" t="s">
        <v>364</v>
      </c>
      <c r="O19" s="615"/>
      <c r="P19" s="1737"/>
      <c r="Q19" s="1737"/>
      <c r="R19" s="616"/>
      <c r="S19" s="174">
        <f>IF(OR(B19="",H19="",I19="",M19="",O19="",P19=""),0,IF(AND(EXACT(H19,'Data Base'!$H$41),EXACT(O19,'Data Base'!$J$41)),2,IF(AND(EXACT(H19,'Data Base'!$H$41),EXACT(O19,'Data Base'!$J$42)),1,IF(AND(EXACT(H19,'Data Base'!$H$41),EXACT(O19,'Data Base'!$J$43)),0.5,IF(AND(EXACT(H19,'Data Base'!$H$41),EXACT(O19,'Data Base'!$J$44)),0.25,IF(AND(EXACT(H19,'Data Base'!$H$42),EXACT(O19,'Data Base'!$J$41)),6,IF(AND(EXACT(H19,'Data Base'!$H$42),EXACT(O19,'Data Base'!$J$42)),3,IF(AND(EXACT(H19,'Data Base'!$H$42),EXACT(O19,'Data Base'!$J$43)),1.5,IF(AND(EXACT(H19,'Data Base'!$H$42),EXACT(O19,'Data Base'!$J$44)),0.75,0)))))))))</f>
        <v>0</v>
      </c>
      <c r="T19" s="34"/>
      <c r="U19" s="617"/>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58.5" customHeight="1">
      <c r="A20" s="224">
        <v>15</v>
      </c>
      <c r="B20" s="1709"/>
      <c r="C20" s="1709"/>
      <c r="D20" s="1709"/>
      <c r="E20" s="1709"/>
      <c r="F20" s="1709"/>
      <c r="G20" s="613"/>
      <c r="H20" s="594"/>
      <c r="I20" s="1710"/>
      <c r="J20" s="1710"/>
      <c r="K20" s="1711"/>
      <c r="L20" s="1711"/>
      <c r="M20" s="614"/>
      <c r="N20" s="615" t="s">
        <v>364</v>
      </c>
      <c r="O20" s="615"/>
      <c r="P20" s="1737"/>
      <c r="Q20" s="1737"/>
      <c r="R20" s="616"/>
      <c r="S20" s="174">
        <f>IF(OR(B20="",H20="",I20="",M20="",O20="",P20=""),0,IF(AND(EXACT(H20,'Data Base'!$H$41),EXACT(O20,'Data Base'!$J$41)),2,IF(AND(EXACT(H20,'Data Base'!$H$41),EXACT(O20,'Data Base'!$J$42)),1,IF(AND(EXACT(H20,'Data Base'!$H$41),EXACT(O20,'Data Base'!$J$43)),0.5,IF(AND(EXACT(H20,'Data Base'!$H$41),EXACT(O20,'Data Base'!$J$44)),0.25,IF(AND(EXACT(H20,'Data Base'!$H$42),EXACT(O20,'Data Base'!$J$41)),6,IF(AND(EXACT(H20,'Data Base'!$H$42),EXACT(O20,'Data Base'!$J$42)),3,IF(AND(EXACT(H20,'Data Base'!$H$42),EXACT(O20,'Data Base'!$J$43)),1.5,IF(AND(EXACT(H20,'Data Base'!$H$42),EXACT(O20,'Data Base'!$J$44)),0.75,0)))))))))</f>
        <v>0</v>
      </c>
      <c r="T20" s="34"/>
      <c r="U20" s="617"/>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58.5" customHeight="1">
      <c r="A21" s="224">
        <v>16</v>
      </c>
      <c r="B21" s="1709"/>
      <c r="C21" s="1709"/>
      <c r="D21" s="1709"/>
      <c r="E21" s="1709"/>
      <c r="F21" s="1709"/>
      <c r="G21" s="613"/>
      <c r="H21" s="594"/>
      <c r="I21" s="1710"/>
      <c r="J21" s="1710"/>
      <c r="K21" s="1711"/>
      <c r="L21" s="1711"/>
      <c r="M21" s="614"/>
      <c r="N21" s="615" t="s">
        <v>364</v>
      </c>
      <c r="O21" s="615"/>
      <c r="P21" s="1737"/>
      <c r="Q21" s="1737"/>
      <c r="R21" s="616"/>
      <c r="S21" s="174">
        <f>IF(OR(B21="",H21="",I21="",M21="",O21="",P21=""),0,IF(AND(EXACT(H21,'Data Base'!$H$41),EXACT(O21,'Data Base'!$J$41)),2,IF(AND(EXACT(H21,'Data Base'!$H$41),EXACT(O21,'Data Base'!$J$42)),1,IF(AND(EXACT(H21,'Data Base'!$H$41),EXACT(O21,'Data Base'!$J$43)),0.5,IF(AND(EXACT(H21,'Data Base'!$H$41),EXACT(O21,'Data Base'!$J$44)),0.25,IF(AND(EXACT(H21,'Data Base'!$H$42),EXACT(O21,'Data Base'!$J$41)),6,IF(AND(EXACT(H21,'Data Base'!$H$42),EXACT(O21,'Data Base'!$J$42)),3,IF(AND(EXACT(H21,'Data Base'!$H$42),EXACT(O21,'Data Base'!$J$43)),1.5,IF(AND(EXACT(H21,'Data Base'!$H$42),EXACT(O21,'Data Base'!$J$44)),0.75,0)))))))))</f>
        <v>0</v>
      </c>
      <c r="T21" s="34"/>
      <c r="U21" s="617"/>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58.5" customHeight="1">
      <c r="A22" s="224">
        <v>17</v>
      </c>
      <c r="B22" s="1709"/>
      <c r="C22" s="1709"/>
      <c r="D22" s="1709"/>
      <c r="E22" s="1709"/>
      <c r="F22" s="1709"/>
      <c r="G22" s="613"/>
      <c r="H22" s="594"/>
      <c r="I22" s="1710"/>
      <c r="J22" s="1710"/>
      <c r="K22" s="1711"/>
      <c r="L22" s="1711"/>
      <c r="M22" s="614"/>
      <c r="N22" s="615" t="s">
        <v>364</v>
      </c>
      <c r="O22" s="615"/>
      <c r="P22" s="1737"/>
      <c r="Q22" s="1737"/>
      <c r="R22" s="616"/>
      <c r="S22" s="174">
        <f>IF(OR(B22="",H22="",I22="",M22="",O22="",P22=""),0,IF(AND(EXACT(H22,'Data Base'!$H$41),EXACT(O22,'Data Base'!$J$41)),2,IF(AND(EXACT(H22,'Data Base'!$H$41),EXACT(O22,'Data Base'!$J$42)),1,IF(AND(EXACT(H22,'Data Base'!$H$41),EXACT(O22,'Data Base'!$J$43)),0.5,IF(AND(EXACT(H22,'Data Base'!$H$41),EXACT(O22,'Data Base'!$J$44)),0.25,IF(AND(EXACT(H22,'Data Base'!$H$42),EXACT(O22,'Data Base'!$J$41)),6,IF(AND(EXACT(H22,'Data Base'!$H$42),EXACT(O22,'Data Base'!$J$42)),3,IF(AND(EXACT(H22,'Data Base'!$H$42),EXACT(O22,'Data Base'!$J$43)),1.5,IF(AND(EXACT(H22,'Data Base'!$H$42),EXACT(O22,'Data Base'!$J$44)),0.75,0)))))))))</f>
        <v>0</v>
      </c>
      <c r="T22" s="34"/>
      <c r="U22" s="617"/>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58.5" customHeight="1">
      <c r="A23" s="224">
        <v>18</v>
      </c>
      <c r="B23" s="1709"/>
      <c r="C23" s="1709"/>
      <c r="D23" s="1709"/>
      <c r="E23" s="1709"/>
      <c r="F23" s="1709"/>
      <c r="G23" s="613"/>
      <c r="H23" s="594"/>
      <c r="I23" s="1710"/>
      <c r="J23" s="1710"/>
      <c r="K23" s="1711"/>
      <c r="L23" s="1711"/>
      <c r="M23" s="614"/>
      <c r="N23" s="615" t="s">
        <v>364</v>
      </c>
      <c r="O23" s="615"/>
      <c r="P23" s="1737"/>
      <c r="Q23" s="1737"/>
      <c r="R23" s="616"/>
      <c r="S23" s="174">
        <f>IF(OR(B23="",H23="",I23="",M23="",O23="",P23=""),0,IF(AND(EXACT(H23,'Data Base'!$H$41),EXACT(O23,'Data Base'!$J$41)),2,IF(AND(EXACT(H23,'Data Base'!$H$41),EXACT(O23,'Data Base'!$J$42)),1,IF(AND(EXACT(H23,'Data Base'!$H$41),EXACT(O23,'Data Base'!$J$43)),0.5,IF(AND(EXACT(H23,'Data Base'!$H$41),EXACT(O23,'Data Base'!$J$44)),0.25,IF(AND(EXACT(H23,'Data Base'!$H$42),EXACT(O23,'Data Base'!$J$41)),6,IF(AND(EXACT(H23,'Data Base'!$H$42),EXACT(O23,'Data Base'!$J$42)),3,IF(AND(EXACT(H23,'Data Base'!$H$42),EXACT(O23,'Data Base'!$J$43)),1.5,IF(AND(EXACT(H23,'Data Base'!$H$42),EXACT(O23,'Data Base'!$J$44)),0.75,0)))))))))</f>
        <v>0</v>
      </c>
      <c r="T23" s="34"/>
      <c r="U23" s="617"/>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58.5" customHeight="1">
      <c r="A24" s="224">
        <v>19</v>
      </c>
      <c r="B24" s="1709"/>
      <c r="C24" s="1709"/>
      <c r="D24" s="1709"/>
      <c r="E24" s="1709"/>
      <c r="F24" s="1709"/>
      <c r="G24" s="613"/>
      <c r="H24" s="594"/>
      <c r="I24" s="1710"/>
      <c r="J24" s="1710"/>
      <c r="K24" s="1711"/>
      <c r="L24" s="1711"/>
      <c r="M24" s="614"/>
      <c r="N24" s="615" t="s">
        <v>364</v>
      </c>
      <c r="O24" s="615"/>
      <c r="P24" s="1737"/>
      <c r="Q24" s="1737"/>
      <c r="R24" s="616"/>
      <c r="S24" s="174">
        <f>IF(OR(B24="",H24="",I24="",M24="",O24="",P24=""),0,IF(AND(EXACT(H24,'Data Base'!$H$41),EXACT(O24,'Data Base'!$J$41)),2,IF(AND(EXACT(H24,'Data Base'!$H$41),EXACT(O24,'Data Base'!$J$42)),1,IF(AND(EXACT(H24,'Data Base'!$H$41),EXACT(O24,'Data Base'!$J$43)),0.5,IF(AND(EXACT(H24,'Data Base'!$H$41),EXACT(O24,'Data Base'!$J$44)),0.25,IF(AND(EXACT(H24,'Data Base'!$H$42),EXACT(O24,'Data Base'!$J$41)),6,IF(AND(EXACT(H24,'Data Base'!$H$42),EXACT(O24,'Data Base'!$J$42)),3,IF(AND(EXACT(H24,'Data Base'!$H$42),EXACT(O24,'Data Base'!$J$43)),1.5,IF(AND(EXACT(H24,'Data Base'!$H$42),EXACT(O24,'Data Base'!$J$44)),0.75,0)))))))))</f>
        <v>0</v>
      </c>
      <c r="T24" s="34"/>
      <c r="U24" s="617"/>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58.5" customHeight="1">
      <c r="A25" s="224">
        <v>20</v>
      </c>
      <c r="B25" s="1709"/>
      <c r="C25" s="1709"/>
      <c r="D25" s="1709"/>
      <c r="E25" s="1709"/>
      <c r="F25" s="1709"/>
      <c r="G25" s="613"/>
      <c r="H25" s="594"/>
      <c r="I25" s="1710"/>
      <c r="J25" s="1710"/>
      <c r="K25" s="1711"/>
      <c r="L25" s="1711"/>
      <c r="M25" s="614"/>
      <c r="N25" s="615" t="s">
        <v>364</v>
      </c>
      <c r="O25" s="615"/>
      <c r="P25" s="1737"/>
      <c r="Q25" s="1737"/>
      <c r="R25" s="616"/>
      <c r="S25" s="174">
        <f>IF(OR(B25="",H25="",I25="",M25="",O25="",P25=""),0,IF(AND(EXACT(H25,'Data Base'!$H$41),EXACT(O25,'Data Base'!$J$41)),2,IF(AND(EXACT(H25,'Data Base'!$H$41),EXACT(O25,'Data Base'!$J$42)),1,IF(AND(EXACT(H25,'Data Base'!$H$41),EXACT(O25,'Data Base'!$J$43)),0.5,IF(AND(EXACT(H25,'Data Base'!$H$41),EXACT(O25,'Data Base'!$J$44)),0.25,IF(AND(EXACT(H25,'Data Base'!$H$42),EXACT(O25,'Data Base'!$J$41)),6,IF(AND(EXACT(H25,'Data Base'!$H$42),EXACT(O25,'Data Base'!$J$42)),3,IF(AND(EXACT(H25,'Data Base'!$H$42),EXACT(O25,'Data Base'!$J$43)),1.5,IF(AND(EXACT(H25,'Data Base'!$H$42),EXACT(O25,'Data Base'!$J$44)),0.75,0)))))))))</f>
        <v>0</v>
      </c>
      <c r="T25" s="34"/>
      <c r="U25" s="617"/>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58.5" customHeight="1">
      <c r="A26" s="224">
        <v>21</v>
      </c>
      <c r="B26" s="1709"/>
      <c r="C26" s="1709"/>
      <c r="D26" s="1709"/>
      <c r="E26" s="1709"/>
      <c r="F26" s="1709"/>
      <c r="G26" s="613"/>
      <c r="H26" s="594"/>
      <c r="I26" s="1710"/>
      <c r="J26" s="1710"/>
      <c r="K26" s="1711"/>
      <c r="L26" s="1711"/>
      <c r="M26" s="614"/>
      <c r="N26" s="615" t="s">
        <v>364</v>
      </c>
      <c r="O26" s="615"/>
      <c r="P26" s="1737"/>
      <c r="Q26" s="1737"/>
      <c r="R26" s="616"/>
      <c r="S26" s="174">
        <f>IF(OR(B26="",H26="",I26="",M26="",O26="",P26=""),0,IF(AND(EXACT(H26,'Data Base'!$H$41),EXACT(O26,'Data Base'!$J$41)),2,IF(AND(EXACT(H26,'Data Base'!$H$41),EXACT(O26,'Data Base'!$J$42)),1,IF(AND(EXACT(H26,'Data Base'!$H$41),EXACT(O26,'Data Base'!$J$43)),0.5,IF(AND(EXACT(H26,'Data Base'!$H$41),EXACT(O26,'Data Base'!$J$44)),0.25,IF(AND(EXACT(H26,'Data Base'!$H$42),EXACT(O26,'Data Base'!$J$41)),6,IF(AND(EXACT(H26,'Data Base'!$H$42),EXACT(O26,'Data Base'!$J$42)),3,IF(AND(EXACT(H26,'Data Base'!$H$42),EXACT(O26,'Data Base'!$J$43)),1.5,IF(AND(EXACT(H26,'Data Base'!$H$42),EXACT(O26,'Data Base'!$J$44)),0.75,0)))))))))</f>
        <v>0</v>
      </c>
      <c r="T26" s="34"/>
      <c r="U26" s="617"/>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58.5" customHeight="1">
      <c r="A27" s="224">
        <v>22</v>
      </c>
      <c r="B27" s="1709"/>
      <c r="C27" s="1709"/>
      <c r="D27" s="1709"/>
      <c r="E27" s="1709"/>
      <c r="F27" s="1709"/>
      <c r="G27" s="613"/>
      <c r="H27" s="594"/>
      <c r="I27" s="1710"/>
      <c r="J27" s="1710"/>
      <c r="K27" s="1711"/>
      <c r="L27" s="1711"/>
      <c r="M27" s="614"/>
      <c r="N27" s="615" t="s">
        <v>364</v>
      </c>
      <c r="O27" s="615"/>
      <c r="P27" s="1737"/>
      <c r="Q27" s="1737"/>
      <c r="R27" s="616"/>
      <c r="S27" s="174">
        <f>IF(OR(B27="",H27="",I27="",M27="",O27="",P27=""),0,IF(AND(EXACT(H27,'Data Base'!$H$41),EXACT(O27,'Data Base'!$J$41)),2,IF(AND(EXACT(H27,'Data Base'!$H$41),EXACT(O27,'Data Base'!$J$42)),1,IF(AND(EXACT(H27,'Data Base'!$H$41),EXACT(O27,'Data Base'!$J$43)),0.5,IF(AND(EXACT(H27,'Data Base'!$H$41),EXACT(O27,'Data Base'!$J$44)),0.25,IF(AND(EXACT(H27,'Data Base'!$H$42),EXACT(O27,'Data Base'!$J$41)),6,IF(AND(EXACT(H27,'Data Base'!$H$42),EXACT(O27,'Data Base'!$J$42)),3,IF(AND(EXACT(H27,'Data Base'!$H$42),EXACT(O27,'Data Base'!$J$43)),1.5,IF(AND(EXACT(H27,'Data Base'!$H$42),EXACT(O27,'Data Base'!$J$44)),0.75,0)))))))))</f>
        <v>0</v>
      </c>
      <c r="T27" s="34"/>
      <c r="U27" s="617"/>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58.5" customHeight="1">
      <c r="A28" s="224">
        <v>23</v>
      </c>
      <c r="B28" s="1709"/>
      <c r="C28" s="1709"/>
      <c r="D28" s="1709"/>
      <c r="E28" s="1709"/>
      <c r="F28" s="1709"/>
      <c r="G28" s="613"/>
      <c r="H28" s="594"/>
      <c r="I28" s="1710"/>
      <c r="J28" s="1710"/>
      <c r="K28" s="1711"/>
      <c r="L28" s="1711"/>
      <c r="M28" s="614"/>
      <c r="N28" s="615" t="s">
        <v>364</v>
      </c>
      <c r="O28" s="615"/>
      <c r="P28" s="1737"/>
      <c r="Q28" s="1737"/>
      <c r="R28" s="616"/>
      <c r="S28" s="174">
        <f>IF(OR(B28="",H28="",I28="",M28="",O28="",P28=""),0,IF(AND(EXACT(H28,'Data Base'!$H$41),EXACT(O28,'Data Base'!$J$41)),2,IF(AND(EXACT(H28,'Data Base'!$H$41),EXACT(O28,'Data Base'!$J$42)),1,IF(AND(EXACT(H28,'Data Base'!$H$41),EXACT(O28,'Data Base'!$J$43)),0.5,IF(AND(EXACT(H28,'Data Base'!$H$41),EXACT(O28,'Data Base'!$J$44)),0.25,IF(AND(EXACT(H28,'Data Base'!$H$42),EXACT(O28,'Data Base'!$J$41)),6,IF(AND(EXACT(H28,'Data Base'!$H$42),EXACT(O28,'Data Base'!$J$42)),3,IF(AND(EXACT(H28,'Data Base'!$H$42),EXACT(O28,'Data Base'!$J$43)),1.5,IF(AND(EXACT(H28,'Data Base'!$H$42),EXACT(O28,'Data Base'!$J$44)),0.75,0)))))))))</f>
        <v>0</v>
      </c>
      <c r="T28" s="34"/>
      <c r="U28" s="617"/>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58.5" customHeight="1">
      <c r="A29" s="224">
        <v>24</v>
      </c>
      <c r="B29" s="1709"/>
      <c r="C29" s="1709"/>
      <c r="D29" s="1709"/>
      <c r="E29" s="1709"/>
      <c r="F29" s="1709"/>
      <c r="G29" s="613"/>
      <c r="H29" s="594"/>
      <c r="I29" s="1710"/>
      <c r="J29" s="1710"/>
      <c r="K29" s="1711"/>
      <c r="L29" s="1711"/>
      <c r="M29" s="614"/>
      <c r="N29" s="615" t="s">
        <v>364</v>
      </c>
      <c r="O29" s="615"/>
      <c r="P29" s="1737"/>
      <c r="Q29" s="1737"/>
      <c r="R29" s="616"/>
      <c r="S29" s="174">
        <f>IF(OR(B29="",H29="",I29="",M29="",O29="",P29=""),0,IF(AND(EXACT(H29,'Data Base'!$H$41),EXACT(O29,'Data Base'!$J$41)),2,IF(AND(EXACT(H29,'Data Base'!$H$41),EXACT(O29,'Data Base'!$J$42)),1,IF(AND(EXACT(H29,'Data Base'!$H$41),EXACT(O29,'Data Base'!$J$43)),0.5,IF(AND(EXACT(H29,'Data Base'!$H$41),EXACT(O29,'Data Base'!$J$44)),0.25,IF(AND(EXACT(H29,'Data Base'!$H$42),EXACT(O29,'Data Base'!$J$41)),6,IF(AND(EXACT(H29,'Data Base'!$H$42),EXACT(O29,'Data Base'!$J$42)),3,IF(AND(EXACT(H29,'Data Base'!$H$42),EXACT(O29,'Data Base'!$J$43)),1.5,IF(AND(EXACT(H29,'Data Base'!$H$42),EXACT(O29,'Data Base'!$J$44)),0.75,0)))))))))</f>
        <v>0</v>
      </c>
      <c r="T29" s="34"/>
      <c r="U29" s="617"/>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58.5" customHeight="1">
      <c r="A30" s="224">
        <v>25</v>
      </c>
      <c r="B30" s="1709"/>
      <c r="C30" s="1709"/>
      <c r="D30" s="1709"/>
      <c r="E30" s="1709"/>
      <c r="F30" s="1709"/>
      <c r="G30" s="613"/>
      <c r="H30" s="594"/>
      <c r="I30" s="1710"/>
      <c r="J30" s="1710"/>
      <c r="K30" s="1711"/>
      <c r="L30" s="1711"/>
      <c r="M30" s="614"/>
      <c r="N30" s="615" t="s">
        <v>364</v>
      </c>
      <c r="O30" s="615"/>
      <c r="P30" s="1737"/>
      <c r="Q30" s="1737"/>
      <c r="R30" s="616"/>
      <c r="S30" s="174">
        <f>IF(OR(B30="",H30="",I30="",M30="",O30="",P30=""),0,IF(AND(EXACT(H30,'Data Base'!$H$41),EXACT(O30,'Data Base'!$J$41)),2,IF(AND(EXACT(H30,'Data Base'!$H$41),EXACT(O30,'Data Base'!$J$42)),1,IF(AND(EXACT(H30,'Data Base'!$H$41),EXACT(O30,'Data Base'!$J$43)),0.5,IF(AND(EXACT(H30,'Data Base'!$H$41),EXACT(O30,'Data Base'!$J$44)),0.25,IF(AND(EXACT(H30,'Data Base'!$H$42),EXACT(O30,'Data Base'!$J$41)),6,IF(AND(EXACT(H30,'Data Base'!$H$42),EXACT(O30,'Data Base'!$J$42)),3,IF(AND(EXACT(H30,'Data Base'!$H$42),EXACT(O30,'Data Base'!$J$43)),1.5,IF(AND(EXACT(H30,'Data Base'!$H$42),EXACT(O30,'Data Base'!$J$44)),0.75,0)))))))))</f>
        <v>0</v>
      </c>
      <c r="T30" s="34"/>
      <c r="U30" s="617"/>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58.5" customHeight="1">
      <c r="A31" s="224">
        <v>26</v>
      </c>
      <c r="B31" s="1709"/>
      <c r="C31" s="1709"/>
      <c r="D31" s="1709"/>
      <c r="E31" s="1709"/>
      <c r="F31" s="1709"/>
      <c r="G31" s="613"/>
      <c r="H31" s="594"/>
      <c r="I31" s="1710"/>
      <c r="J31" s="1710"/>
      <c r="K31" s="1711"/>
      <c r="L31" s="1711"/>
      <c r="M31" s="614"/>
      <c r="N31" s="615" t="s">
        <v>364</v>
      </c>
      <c r="O31" s="615"/>
      <c r="P31" s="1737"/>
      <c r="Q31" s="1737"/>
      <c r="R31" s="616"/>
      <c r="S31" s="174">
        <f>IF(OR(B31="",H31="",I31="",M31="",O31="",P31=""),0,IF(AND(EXACT(H31,'Data Base'!$H$41),EXACT(O31,'Data Base'!$J$41)),2,IF(AND(EXACT(H31,'Data Base'!$H$41),EXACT(O31,'Data Base'!$J$42)),1,IF(AND(EXACT(H31,'Data Base'!$H$41),EXACT(O31,'Data Base'!$J$43)),0.5,IF(AND(EXACT(H31,'Data Base'!$H$41),EXACT(O31,'Data Base'!$J$44)),0.25,IF(AND(EXACT(H31,'Data Base'!$H$42),EXACT(O31,'Data Base'!$J$41)),6,IF(AND(EXACT(H31,'Data Base'!$H$42),EXACT(O31,'Data Base'!$J$42)),3,IF(AND(EXACT(H31,'Data Base'!$H$42),EXACT(O31,'Data Base'!$J$43)),1.5,IF(AND(EXACT(H31,'Data Base'!$H$42),EXACT(O31,'Data Base'!$J$44)),0.75,0)))))))))</f>
        <v>0</v>
      </c>
      <c r="T31" s="34"/>
      <c r="U31" s="617"/>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58.5" customHeight="1">
      <c r="A32" s="224">
        <v>27</v>
      </c>
      <c r="B32" s="1709"/>
      <c r="C32" s="1709"/>
      <c r="D32" s="1709"/>
      <c r="E32" s="1709"/>
      <c r="F32" s="1709"/>
      <c r="G32" s="613"/>
      <c r="H32" s="594"/>
      <c r="I32" s="1710"/>
      <c r="J32" s="1710"/>
      <c r="K32" s="1711"/>
      <c r="L32" s="1711"/>
      <c r="M32" s="614"/>
      <c r="N32" s="615" t="s">
        <v>364</v>
      </c>
      <c r="O32" s="615"/>
      <c r="P32" s="1737"/>
      <c r="Q32" s="1737"/>
      <c r="R32" s="616"/>
      <c r="S32" s="174">
        <f>IF(OR(B32="",H32="",I32="",M32="",O32="",P32=""),0,IF(AND(EXACT(H32,'Data Base'!$H$41),EXACT(O32,'Data Base'!$J$41)),2,IF(AND(EXACT(H32,'Data Base'!$H$41),EXACT(O32,'Data Base'!$J$42)),1,IF(AND(EXACT(H32,'Data Base'!$H$41),EXACT(O32,'Data Base'!$J$43)),0.5,IF(AND(EXACT(H32,'Data Base'!$H$41),EXACT(O32,'Data Base'!$J$44)),0.25,IF(AND(EXACT(H32,'Data Base'!$H$42),EXACT(O32,'Data Base'!$J$41)),6,IF(AND(EXACT(H32,'Data Base'!$H$42),EXACT(O32,'Data Base'!$J$42)),3,IF(AND(EXACT(H32,'Data Base'!$H$42),EXACT(O32,'Data Base'!$J$43)),1.5,IF(AND(EXACT(H32,'Data Base'!$H$42),EXACT(O32,'Data Base'!$J$44)),0.75,0)))))))))</f>
        <v>0</v>
      </c>
      <c r="T32" s="34"/>
      <c r="U32" s="617"/>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1:80" ht="58.5" customHeight="1">
      <c r="A33" s="224">
        <v>28</v>
      </c>
      <c r="B33" s="1709"/>
      <c r="C33" s="1709"/>
      <c r="D33" s="1709"/>
      <c r="E33" s="1709"/>
      <c r="F33" s="1709"/>
      <c r="G33" s="613"/>
      <c r="H33" s="594"/>
      <c r="I33" s="1710"/>
      <c r="J33" s="1710"/>
      <c r="K33" s="1711"/>
      <c r="L33" s="1711"/>
      <c r="M33" s="614"/>
      <c r="N33" s="615" t="s">
        <v>364</v>
      </c>
      <c r="O33" s="615"/>
      <c r="P33" s="1737"/>
      <c r="Q33" s="1737"/>
      <c r="R33" s="616"/>
      <c r="S33" s="174">
        <f>IF(OR(B33="",H33="",I33="",M33="",O33="",P33=""),0,IF(AND(EXACT(H33,'Data Base'!$H$41),EXACT(O33,'Data Base'!$J$41)),2,IF(AND(EXACT(H33,'Data Base'!$H$41),EXACT(O33,'Data Base'!$J$42)),1,IF(AND(EXACT(H33,'Data Base'!$H$41),EXACT(O33,'Data Base'!$J$43)),0.5,IF(AND(EXACT(H33,'Data Base'!$H$41),EXACT(O33,'Data Base'!$J$44)),0.25,IF(AND(EXACT(H33,'Data Base'!$H$42),EXACT(O33,'Data Base'!$J$41)),6,IF(AND(EXACT(H33,'Data Base'!$H$42),EXACT(O33,'Data Base'!$J$42)),3,IF(AND(EXACT(H33,'Data Base'!$H$42),EXACT(O33,'Data Base'!$J$43)),1.5,IF(AND(EXACT(H33,'Data Base'!$H$42),EXACT(O33,'Data Base'!$J$44)),0.75,0)))))))))</f>
        <v>0</v>
      </c>
      <c r="T33" s="34"/>
      <c r="U33" s="617"/>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1:80" ht="58.5" customHeight="1">
      <c r="A34" s="224">
        <v>29</v>
      </c>
      <c r="B34" s="1709"/>
      <c r="C34" s="1709"/>
      <c r="D34" s="1709"/>
      <c r="E34" s="1709"/>
      <c r="F34" s="1709"/>
      <c r="G34" s="613"/>
      <c r="H34" s="594"/>
      <c r="I34" s="1710"/>
      <c r="J34" s="1710"/>
      <c r="K34" s="1711"/>
      <c r="L34" s="1711"/>
      <c r="M34" s="614"/>
      <c r="N34" s="615" t="s">
        <v>364</v>
      </c>
      <c r="O34" s="615"/>
      <c r="P34" s="1737"/>
      <c r="Q34" s="1737"/>
      <c r="R34" s="616"/>
      <c r="S34" s="174">
        <f>IF(OR(B34="",H34="",I34="",M34="",O34="",P34=""),0,IF(AND(EXACT(H34,'Data Base'!$H$41),EXACT(O34,'Data Base'!$J$41)),2,IF(AND(EXACT(H34,'Data Base'!$H$41),EXACT(O34,'Data Base'!$J$42)),1,IF(AND(EXACT(H34,'Data Base'!$H$41),EXACT(O34,'Data Base'!$J$43)),0.5,IF(AND(EXACT(H34,'Data Base'!$H$41),EXACT(O34,'Data Base'!$J$44)),0.25,IF(AND(EXACT(H34,'Data Base'!$H$42),EXACT(O34,'Data Base'!$J$41)),6,IF(AND(EXACT(H34,'Data Base'!$H$42),EXACT(O34,'Data Base'!$J$42)),3,IF(AND(EXACT(H34,'Data Base'!$H$42),EXACT(O34,'Data Base'!$J$43)),1.5,IF(AND(EXACT(H34,'Data Base'!$H$42),EXACT(O34,'Data Base'!$J$44)),0.75,0)))))))))</f>
        <v>0</v>
      </c>
      <c r="T34" s="34"/>
      <c r="U34" s="617"/>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1:80" ht="58.5" customHeight="1">
      <c r="A35" s="224">
        <v>30</v>
      </c>
      <c r="B35" s="1709"/>
      <c r="C35" s="1709"/>
      <c r="D35" s="1709"/>
      <c r="E35" s="1709"/>
      <c r="F35" s="1709"/>
      <c r="G35" s="613"/>
      <c r="H35" s="594"/>
      <c r="I35" s="1710"/>
      <c r="J35" s="1710"/>
      <c r="K35" s="1711"/>
      <c r="L35" s="1711"/>
      <c r="M35" s="614"/>
      <c r="N35" s="615" t="s">
        <v>364</v>
      </c>
      <c r="O35" s="615"/>
      <c r="P35" s="1737"/>
      <c r="Q35" s="1737"/>
      <c r="R35" s="616"/>
      <c r="S35" s="174">
        <f>IF(OR(B35="",H35="",I35="",M35="",O35="",P35=""),0,IF(AND(EXACT(H35,'Data Base'!$H$41),EXACT(O35,'Data Base'!$J$41)),2,IF(AND(EXACT(H35,'Data Base'!$H$41),EXACT(O35,'Data Base'!$J$42)),1,IF(AND(EXACT(H35,'Data Base'!$H$41),EXACT(O35,'Data Base'!$J$43)),0.5,IF(AND(EXACT(H35,'Data Base'!$H$41),EXACT(O35,'Data Base'!$J$44)),0.25,IF(AND(EXACT(H35,'Data Base'!$H$42),EXACT(O35,'Data Base'!$J$41)),6,IF(AND(EXACT(H35,'Data Base'!$H$42),EXACT(O35,'Data Base'!$J$42)),3,IF(AND(EXACT(H35,'Data Base'!$H$42),EXACT(O35,'Data Base'!$J$43)),1.5,IF(AND(EXACT(H35,'Data Base'!$H$42),EXACT(O35,'Data Base'!$J$44)),0.75,0)))))))))</f>
        <v>0</v>
      </c>
      <c r="T35" s="34"/>
      <c r="U35" s="617"/>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1:80" ht="58.5" customHeight="1">
      <c r="A36" s="224">
        <v>31</v>
      </c>
      <c r="B36" s="1709"/>
      <c r="C36" s="1709"/>
      <c r="D36" s="1709"/>
      <c r="E36" s="1709"/>
      <c r="F36" s="1709"/>
      <c r="G36" s="613"/>
      <c r="H36" s="594"/>
      <c r="I36" s="1710"/>
      <c r="J36" s="1710"/>
      <c r="K36" s="1711"/>
      <c r="L36" s="1711"/>
      <c r="M36" s="614"/>
      <c r="N36" s="615" t="s">
        <v>364</v>
      </c>
      <c r="O36" s="615"/>
      <c r="P36" s="1737"/>
      <c r="Q36" s="1737"/>
      <c r="R36" s="616"/>
      <c r="S36" s="174">
        <f>IF(OR(B36="",H36="",I36="",M36="",O36="",P36=""),0,IF(AND(EXACT(H36,'Data Base'!$H$41),EXACT(O36,'Data Base'!$J$41)),2,IF(AND(EXACT(H36,'Data Base'!$H$41),EXACT(O36,'Data Base'!$J$42)),1,IF(AND(EXACT(H36,'Data Base'!$H$41),EXACT(O36,'Data Base'!$J$43)),0.5,IF(AND(EXACT(H36,'Data Base'!$H$41),EXACT(O36,'Data Base'!$J$44)),0.25,IF(AND(EXACT(H36,'Data Base'!$H$42),EXACT(O36,'Data Base'!$J$41)),6,IF(AND(EXACT(H36,'Data Base'!$H$42),EXACT(O36,'Data Base'!$J$42)),3,IF(AND(EXACT(H36,'Data Base'!$H$42),EXACT(O36,'Data Base'!$J$43)),1.5,IF(AND(EXACT(H36,'Data Base'!$H$42),EXACT(O36,'Data Base'!$J$44)),0.75,0)))))))))</f>
        <v>0</v>
      </c>
      <c r="T36" s="34"/>
      <c r="U36" s="617"/>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1:80" ht="58.5" customHeight="1">
      <c r="A37" s="224">
        <v>32</v>
      </c>
      <c r="B37" s="1709"/>
      <c r="C37" s="1709"/>
      <c r="D37" s="1709"/>
      <c r="E37" s="1709"/>
      <c r="F37" s="1709"/>
      <c r="G37" s="613"/>
      <c r="H37" s="594"/>
      <c r="I37" s="1710"/>
      <c r="J37" s="1710"/>
      <c r="K37" s="1711"/>
      <c r="L37" s="1711"/>
      <c r="M37" s="614"/>
      <c r="N37" s="615" t="s">
        <v>364</v>
      </c>
      <c r="O37" s="615"/>
      <c r="P37" s="1737"/>
      <c r="Q37" s="1737"/>
      <c r="R37" s="616"/>
      <c r="S37" s="174">
        <f>IF(OR(B37="",H37="",I37="",M37="",O37="",P37=""),0,IF(AND(EXACT(H37,'Data Base'!$H$41),EXACT(O37,'Data Base'!$J$41)),2,IF(AND(EXACT(H37,'Data Base'!$H$41),EXACT(O37,'Data Base'!$J$42)),1,IF(AND(EXACT(H37,'Data Base'!$H$41),EXACT(O37,'Data Base'!$J$43)),0.5,IF(AND(EXACT(H37,'Data Base'!$H$41),EXACT(O37,'Data Base'!$J$44)),0.25,IF(AND(EXACT(H37,'Data Base'!$H$42),EXACT(O37,'Data Base'!$J$41)),6,IF(AND(EXACT(H37,'Data Base'!$H$42),EXACT(O37,'Data Base'!$J$42)),3,IF(AND(EXACT(H37,'Data Base'!$H$42),EXACT(O37,'Data Base'!$J$43)),1.5,IF(AND(EXACT(H37,'Data Base'!$H$42),EXACT(O37,'Data Base'!$J$44)),0.75,0)))))))))</f>
        <v>0</v>
      </c>
      <c r="T37" s="34"/>
      <c r="U37" s="617"/>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1:80" ht="58.5" customHeight="1">
      <c r="A38" s="224">
        <v>33</v>
      </c>
      <c r="B38" s="1709"/>
      <c r="C38" s="1709"/>
      <c r="D38" s="1709"/>
      <c r="E38" s="1709"/>
      <c r="F38" s="1709"/>
      <c r="G38" s="613"/>
      <c r="H38" s="594"/>
      <c r="I38" s="1710"/>
      <c r="J38" s="1710"/>
      <c r="K38" s="1711"/>
      <c r="L38" s="1711"/>
      <c r="M38" s="614"/>
      <c r="N38" s="615" t="s">
        <v>364</v>
      </c>
      <c r="O38" s="615"/>
      <c r="P38" s="1737"/>
      <c r="Q38" s="1737"/>
      <c r="R38" s="616"/>
      <c r="S38" s="174">
        <f>IF(OR(B38="",H38="",I38="",M38="",O38="",P38=""),0,IF(AND(EXACT(H38,'Data Base'!$H$41),EXACT(O38,'Data Base'!$J$41)),2,IF(AND(EXACT(H38,'Data Base'!$H$41),EXACT(O38,'Data Base'!$J$42)),1,IF(AND(EXACT(H38,'Data Base'!$H$41),EXACT(O38,'Data Base'!$J$43)),0.5,IF(AND(EXACT(H38,'Data Base'!$H$41),EXACT(O38,'Data Base'!$J$44)),0.25,IF(AND(EXACT(H38,'Data Base'!$H$42),EXACT(O38,'Data Base'!$J$41)),6,IF(AND(EXACT(H38,'Data Base'!$H$42),EXACT(O38,'Data Base'!$J$42)),3,IF(AND(EXACT(H38,'Data Base'!$H$42),EXACT(O38,'Data Base'!$J$43)),1.5,IF(AND(EXACT(H38,'Data Base'!$H$42),EXACT(O38,'Data Base'!$J$44)),0.75,0)))))))))</f>
        <v>0</v>
      </c>
      <c r="T38" s="34"/>
      <c r="U38" s="617"/>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1:80" ht="58.5" customHeight="1">
      <c r="A39" s="224">
        <v>34</v>
      </c>
      <c r="B39" s="1709"/>
      <c r="C39" s="1709"/>
      <c r="D39" s="1709"/>
      <c r="E39" s="1709"/>
      <c r="F39" s="1709"/>
      <c r="G39" s="613"/>
      <c r="H39" s="594"/>
      <c r="I39" s="1710"/>
      <c r="J39" s="1710"/>
      <c r="K39" s="1711"/>
      <c r="L39" s="1711"/>
      <c r="M39" s="614"/>
      <c r="N39" s="615" t="s">
        <v>364</v>
      </c>
      <c r="O39" s="615"/>
      <c r="P39" s="1737"/>
      <c r="Q39" s="1737"/>
      <c r="R39" s="616"/>
      <c r="S39" s="174">
        <f>IF(OR(B39="",H39="",I39="",M39="",O39="",P39=""),0,IF(AND(EXACT(H39,'Data Base'!$H$41),EXACT(O39,'Data Base'!$J$41)),2,IF(AND(EXACT(H39,'Data Base'!$H$41),EXACT(O39,'Data Base'!$J$42)),1,IF(AND(EXACT(H39,'Data Base'!$H$41),EXACT(O39,'Data Base'!$J$43)),0.5,IF(AND(EXACT(H39,'Data Base'!$H$41),EXACT(O39,'Data Base'!$J$44)),0.25,IF(AND(EXACT(H39,'Data Base'!$H$42),EXACT(O39,'Data Base'!$J$41)),6,IF(AND(EXACT(H39,'Data Base'!$H$42),EXACT(O39,'Data Base'!$J$42)),3,IF(AND(EXACT(H39,'Data Base'!$H$42),EXACT(O39,'Data Base'!$J$43)),1.5,IF(AND(EXACT(H39,'Data Base'!$H$42),EXACT(O39,'Data Base'!$J$44)),0.75,0)))))))))</f>
        <v>0</v>
      </c>
      <c r="T39" s="34"/>
      <c r="U39" s="617"/>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1:80" ht="58.5" customHeight="1">
      <c r="A40" s="224">
        <v>35</v>
      </c>
      <c r="B40" s="1709"/>
      <c r="C40" s="1709"/>
      <c r="D40" s="1709"/>
      <c r="E40" s="1709"/>
      <c r="F40" s="1709"/>
      <c r="G40" s="613"/>
      <c r="H40" s="594"/>
      <c r="I40" s="1710"/>
      <c r="J40" s="1710"/>
      <c r="K40" s="1711"/>
      <c r="L40" s="1711"/>
      <c r="M40" s="614"/>
      <c r="N40" s="615" t="s">
        <v>364</v>
      </c>
      <c r="O40" s="615"/>
      <c r="P40" s="1737"/>
      <c r="Q40" s="1737"/>
      <c r="R40" s="616"/>
      <c r="S40" s="174">
        <f>IF(OR(B40="",H40="",I40="",M40="",O40="",P40=""),0,IF(AND(EXACT(H40,'Data Base'!$H$41),EXACT(O40,'Data Base'!$J$41)),2,IF(AND(EXACT(H40,'Data Base'!$H$41),EXACT(O40,'Data Base'!$J$42)),1,IF(AND(EXACT(H40,'Data Base'!$H$41),EXACT(O40,'Data Base'!$J$43)),0.5,IF(AND(EXACT(H40,'Data Base'!$H$41),EXACT(O40,'Data Base'!$J$44)),0.25,IF(AND(EXACT(H40,'Data Base'!$H$42),EXACT(O40,'Data Base'!$J$41)),6,IF(AND(EXACT(H40,'Data Base'!$H$42),EXACT(O40,'Data Base'!$J$42)),3,IF(AND(EXACT(H40,'Data Base'!$H$42),EXACT(O40,'Data Base'!$J$43)),1.5,IF(AND(EXACT(H40,'Data Base'!$H$42),EXACT(O40,'Data Base'!$J$44)),0.75,0)))))))))</f>
        <v>0</v>
      </c>
      <c r="T40" s="34"/>
      <c r="U40" s="617"/>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1:80" ht="58.5" customHeight="1">
      <c r="A41" s="224">
        <v>36</v>
      </c>
      <c r="B41" s="1709"/>
      <c r="C41" s="1709"/>
      <c r="D41" s="1709"/>
      <c r="E41" s="1709"/>
      <c r="F41" s="1709"/>
      <c r="G41" s="613"/>
      <c r="H41" s="594"/>
      <c r="I41" s="1710"/>
      <c r="J41" s="1710"/>
      <c r="K41" s="1711"/>
      <c r="L41" s="1711"/>
      <c r="M41" s="614"/>
      <c r="N41" s="615" t="s">
        <v>364</v>
      </c>
      <c r="O41" s="615"/>
      <c r="P41" s="1737"/>
      <c r="Q41" s="1737"/>
      <c r="R41" s="616"/>
      <c r="S41" s="174">
        <f>IF(OR(B41="",H41="",I41="",M41="",O41="",P41=""),0,IF(AND(EXACT(H41,'Data Base'!$H$41),EXACT(O41,'Data Base'!$J$41)),2,IF(AND(EXACT(H41,'Data Base'!$H$41),EXACT(O41,'Data Base'!$J$42)),1,IF(AND(EXACT(H41,'Data Base'!$H$41),EXACT(O41,'Data Base'!$J$43)),0.5,IF(AND(EXACT(H41,'Data Base'!$H$41),EXACT(O41,'Data Base'!$J$44)),0.25,IF(AND(EXACT(H41,'Data Base'!$H$42),EXACT(O41,'Data Base'!$J$41)),6,IF(AND(EXACT(H41,'Data Base'!$H$42),EXACT(O41,'Data Base'!$J$42)),3,IF(AND(EXACT(H41,'Data Base'!$H$42),EXACT(O41,'Data Base'!$J$43)),1.5,IF(AND(EXACT(H41,'Data Base'!$H$42),EXACT(O41,'Data Base'!$J$44)),0.75,0)))))))))</f>
        <v>0</v>
      </c>
      <c r="T41" s="34"/>
      <c r="U41" s="617"/>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1:80" ht="58.5" customHeight="1">
      <c r="A42" s="224">
        <v>37</v>
      </c>
      <c r="B42" s="1709"/>
      <c r="C42" s="1709"/>
      <c r="D42" s="1709"/>
      <c r="E42" s="1709"/>
      <c r="F42" s="1709"/>
      <c r="G42" s="613"/>
      <c r="H42" s="594"/>
      <c r="I42" s="1710"/>
      <c r="J42" s="1710"/>
      <c r="K42" s="1711"/>
      <c r="L42" s="1711"/>
      <c r="M42" s="614"/>
      <c r="N42" s="615" t="s">
        <v>364</v>
      </c>
      <c r="O42" s="615"/>
      <c r="P42" s="1737"/>
      <c r="Q42" s="1737"/>
      <c r="R42" s="616"/>
      <c r="S42" s="174">
        <f>IF(OR(B42="",H42="",I42="",M42="",O42="",P42=""),0,IF(AND(EXACT(H42,'Data Base'!$H$41),EXACT(O42,'Data Base'!$J$41)),2,IF(AND(EXACT(H42,'Data Base'!$H$41),EXACT(O42,'Data Base'!$J$42)),1,IF(AND(EXACT(H42,'Data Base'!$H$41),EXACT(O42,'Data Base'!$J$43)),0.5,IF(AND(EXACT(H42,'Data Base'!$H$41),EXACT(O42,'Data Base'!$J$44)),0.25,IF(AND(EXACT(H42,'Data Base'!$H$42),EXACT(O42,'Data Base'!$J$41)),6,IF(AND(EXACT(H42,'Data Base'!$H$42),EXACT(O42,'Data Base'!$J$42)),3,IF(AND(EXACT(H42,'Data Base'!$H$42),EXACT(O42,'Data Base'!$J$43)),1.5,IF(AND(EXACT(H42,'Data Base'!$H$42),EXACT(O42,'Data Base'!$J$44)),0.75,0)))))))))</f>
        <v>0</v>
      </c>
      <c r="T42" s="34"/>
      <c r="U42" s="617"/>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1:80" ht="58.5" customHeight="1">
      <c r="A43" s="224">
        <v>38</v>
      </c>
      <c r="B43" s="1709"/>
      <c r="C43" s="1709"/>
      <c r="D43" s="1709"/>
      <c r="E43" s="1709"/>
      <c r="F43" s="1709"/>
      <c r="G43" s="613"/>
      <c r="H43" s="594"/>
      <c r="I43" s="1710"/>
      <c r="J43" s="1710"/>
      <c r="K43" s="1711"/>
      <c r="L43" s="1711"/>
      <c r="M43" s="614"/>
      <c r="N43" s="615" t="s">
        <v>364</v>
      </c>
      <c r="O43" s="615"/>
      <c r="P43" s="1737"/>
      <c r="Q43" s="1737"/>
      <c r="R43" s="616"/>
      <c r="S43" s="174">
        <f>IF(OR(B43="",H43="",I43="",M43="",O43="",P43=""),0,IF(AND(EXACT(H43,'Data Base'!$H$41),EXACT(O43,'Data Base'!$J$41)),2,IF(AND(EXACT(H43,'Data Base'!$H$41),EXACT(O43,'Data Base'!$J$42)),1,IF(AND(EXACT(H43,'Data Base'!$H$41),EXACT(O43,'Data Base'!$J$43)),0.5,IF(AND(EXACT(H43,'Data Base'!$H$41),EXACT(O43,'Data Base'!$J$44)),0.25,IF(AND(EXACT(H43,'Data Base'!$H$42),EXACT(O43,'Data Base'!$J$41)),6,IF(AND(EXACT(H43,'Data Base'!$H$42),EXACT(O43,'Data Base'!$J$42)),3,IF(AND(EXACT(H43,'Data Base'!$H$42),EXACT(O43,'Data Base'!$J$43)),1.5,IF(AND(EXACT(H43,'Data Base'!$H$42),EXACT(O43,'Data Base'!$J$44)),0.75,0)))))))))</f>
        <v>0</v>
      </c>
      <c r="T43" s="34"/>
      <c r="U43" s="617"/>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1:80" ht="58.5" customHeight="1">
      <c r="A44" s="224">
        <v>39</v>
      </c>
      <c r="B44" s="1709"/>
      <c r="C44" s="1709"/>
      <c r="D44" s="1709"/>
      <c r="E44" s="1709"/>
      <c r="F44" s="1709"/>
      <c r="G44" s="613"/>
      <c r="H44" s="594"/>
      <c r="I44" s="1710"/>
      <c r="J44" s="1710"/>
      <c r="K44" s="1711"/>
      <c r="L44" s="1711"/>
      <c r="M44" s="614"/>
      <c r="N44" s="615" t="s">
        <v>364</v>
      </c>
      <c r="O44" s="615"/>
      <c r="P44" s="1737"/>
      <c r="Q44" s="1737"/>
      <c r="R44" s="616"/>
      <c r="S44" s="174">
        <f>IF(OR(B44="",H44="",I44="",M44="",O44="",P44=""),0,IF(AND(EXACT(H44,'Data Base'!$H$41),EXACT(O44,'Data Base'!$J$41)),2,IF(AND(EXACT(H44,'Data Base'!$H$41),EXACT(O44,'Data Base'!$J$42)),1,IF(AND(EXACT(H44,'Data Base'!$H$41),EXACT(O44,'Data Base'!$J$43)),0.5,IF(AND(EXACT(H44,'Data Base'!$H$41),EXACT(O44,'Data Base'!$J$44)),0.25,IF(AND(EXACT(H44,'Data Base'!$H$42),EXACT(O44,'Data Base'!$J$41)),6,IF(AND(EXACT(H44,'Data Base'!$H$42),EXACT(O44,'Data Base'!$J$42)),3,IF(AND(EXACT(H44,'Data Base'!$H$42),EXACT(O44,'Data Base'!$J$43)),1.5,IF(AND(EXACT(H44,'Data Base'!$H$42),EXACT(O44,'Data Base'!$J$44)),0.75,0)))))))))</f>
        <v>0</v>
      </c>
      <c r="T44" s="34"/>
      <c r="U44" s="617"/>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1:80" ht="58.5" customHeight="1">
      <c r="A45" s="224">
        <v>40</v>
      </c>
      <c r="B45" s="1709"/>
      <c r="C45" s="1709"/>
      <c r="D45" s="1709"/>
      <c r="E45" s="1709"/>
      <c r="F45" s="1709"/>
      <c r="G45" s="613"/>
      <c r="H45" s="594"/>
      <c r="I45" s="1710"/>
      <c r="J45" s="1710"/>
      <c r="K45" s="1711"/>
      <c r="L45" s="1711"/>
      <c r="M45" s="614"/>
      <c r="N45" s="615" t="s">
        <v>364</v>
      </c>
      <c r="O45" s="615"/>
      <c r="P45" s="1737"/>
      <c r="Q45" s="1737"/>
      <c r="R45" s="616"/>
      <c r="S45" s="174">
        <f>IF(OR(B45="",H45="",I45="",M45="",O45="",P45=""),0,IF(AND(EXACT(H45,'Data Base'!$H$41),EXACT(O45,'Data Base'!$J$41)),2,IF(AND(EXACT(H45,'Data Base'!$H$41),EXACT(O45,'Data Base'!$J$42)),1,IF(AND(EXACT(H45,'Data Base'!$H$41),EXACT(O45,'Data Base'!$J$43)),0.5,IF(AND(EXACT(H45,'Data Base'!$H$41),EXACT(O45,'Data Base'!$J$44)),0.25,IF(AND(EXACT(H45,'Data Base'!$H$42),EXACT(O45,'Data Base'!$J$41)),6,IF(AND(EXACT(H45,'Data Base'!$H$42),EXACT(O45,'Data Base'!$J$42)),3,IF(AND(EXACT(H45,'Data Base'!$H$42),EXACT(O45,'Data Base'!$J$43)),1.5,IF(AND(EXACT(H45,'Data Base'!$H$42),EXACT(O45,'Data Base'!$J$44)),0.75,0)))))))))</f>
        <v>0</v>
      </c>
      <c r="T45" s="34"/>
      <c r="U45" s="617"/>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1:80" ht="58.5" customHeight="1">
      <c r="A46" s="224">
        <v>41</v>
      </c>
      <c r="B46" s="1709"/>
      <c r="C46" s="1709"/>
      <c r="D46" s="1709"/>
      <c r="E46" s="1709"/>
      <c r="F46" s="1709"/>
      <c r="G46" s="613"/>
      <c r="H46" s="594"/>
      <c r="I46" s="1710"/>
      <c r="J46" s="1710"/>
      <c r="K46" s="1711"/>
      <c r="L46" s="1711"/>
      <c r="M46" s="614"/>
      <c r="N46" s="615" t="s">
        <v>364</v>
      </c>
      <c r="O46" s="615"/>
      <c r="P46" s="1737"/>
      <c r="Q46" s="1737"/>
      <c r="R46" s="616"/>
      <c r="S46" s="174">
        <f>IF(OR(B46="",H46="",I46="",M46="",O46="",P46=""),0,IF(AND(EXACT(H46,'Data Base'!$H$41),EXACT(O46,'Data Base'!$J$41)),2,IF(AND(EXACT(H46,'Data Base'!$H$41),EXACT(O46,'Data Base'!$J$42)),1,IF(AND(EXACT(H46,'Data Base'!$H$41),EXACT(O46,'Data Base'!$J$43)),0.5,IF(AND(EXACT(H46,'Data Base'!$H$41),EXACT(O46,'Data Base'!$J$44)),0.25,IF(AND(EXACT(H46,'Data Base'!$H$42),EXACT(O46,'Data Base'!$J$41)),6,IF(AND(EXACT(H46,'Data Base'!$H$42),EXACT(O46,'Data Base'!$J$42)),3,IF(AND(EXACT(H46,'Data Base'!$H$42),EXACT(O46,'Data Base'!$J$43)),1.5,IF(AND(EXACT(H46,'Data Base'!$H$42),EXACT(O46,'Data Base'!$J$44)),0.75,0)))))))))</f>
        <v>0</v>
      </c>
      <c r="T46" s="34"/>
      <c r="U46" s="617"/>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1:80" ht="58.5" customHeight="1">
      <c r="A47" s="224">
        <v>42</v>
      </c>
      <c r="B47" s="1709"/>
      <c r="C47" s="1709"/>
      <c r="D47" s="1709"/>
      <c r="E47" s="1709"/>
      <c r="F47" s="1709"/>
      <c r="G47" s="613"/>
      <c r="H47" s="594"/>
      <c r="I47" s="1710"/>
      <c r="J47" s="1710"/>
      <c r="K47" s="1711"/>
      <c r="L47" s="1711"/>
      <c r="M47" s="614"/>
      <c r="N47" s="615" t="s">
        <v>364</v>
      </c>
      <c r="O47" s="615"/>
      <c r="P47" s="1737"/>
      <c r="Q47" s="1737"/>
      <c r="R47" s="616"/>
      <c r="S47" s="174">
        <f>IF(OR(B47="",H47="",I47="",M47="",O47="",P47=""),0,IF(AND(EXACT(H47,'Data Base'!$H$41),EXACT(O47,'Data Base'!$J$41)),2,IF(AND(EXACT(H47,'Data Base'!$H$41),EXACT(O47,'Data Base'!$J$42)),1,IF(AND(EXACT(H47,'Data Base'!$H$41),EXACT(O47,'Data Base'!$J$43)),0.5,IF(AND(EXACT(H47,'Data Base'!$H$41),EXACT(O47,'Data Base'!$J$44)),0.25,IF(AND(EXACT(H47,'Data Base'!$H$42),EXACT(O47,'Data Base'!$J$41)),6,IF(AND(EXACT(H47,'Data Base'!$H$42),EXACT(O47,'Data Base'!$J$42)),3,IF(AND(EXACT(H47,'Data Base'!$H$42),EXACT(O47,'Data Base'!$J$43)),1.5,IF(AND(EXACT(H47,'Data Base'!$H$42),EXACT(O47,'Data Base'!$J$44)),0.75,0)))))))))</f>
        <v>0</v>
      </c>
      <c r="T47" s="34"/>
      <c r="U47" s="617"/>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1:80" ht="58.5" customHeight="1">
      <c r="A48" s="224">
        <v>43</v>
      </c>
      <c r="B48" s="1709"/>
      <c r="C48" s="1709"/>
      <c r="D48" s="1709"/>
      <c r="E48" s="1709"/>
      <c r="F48" s="1709"/>
      <c r="G48" s="613"/>
      <c r="H48" s="594"/>
      <c r="I48" s="1710"/>
      <c r="J48" s="1710"/>
      <c r="K48" s="1711"/>
      <c r="L48" s="1711"/>
      <c r="M48" s="614"/>
      <c r="N48" s="615" t="s">
        <v>364</v>
      </c>
      <c r="O48" s="615"/>
      <c r="P48" s="1737"/>
      <c r="Q48" s="1737"/>
      <c r="R48" s="616"/>
      <c r="S48" s="174">
        <f>IF(OR(B48="",H48="",I48="",M48="",O48="",P48=""),0,IF(AND(EXACT(H48,'Data Base'!$H$41),EXACT(O48,'Data Base'!$J$41)),2,IF(AND(EXACT(H48,'Data Base'!$H$41),EXACT(O48,'Data Base'!$J$42)),1,IF(AND(EXACT(H48,'Data Base'!$H$41),EXACT(O48,'Data Base'!$J$43)),0.5,IF(AND(EXACT(H48,'Data Base'!$H$41),EXACT(O48,'Data Base'!$J$44)),0.25,IF(AND(EXACT(H48,'Data Base'!$H$42),EXACT(O48,'Data Base'!$J$41)),6,IF(AND(EXACT(H48,'Data Base'!$H$42),EXACT(O48,'Data Base'!$J$42)),3,IF(AND(EXACT(H48,'Data Base'!$H$42),EXACT(O48,'Data Base'!$J$43)),1.5,IF(AND(EXACT(H48,'Data Base'!$H$42),EXACT(O48,'Data Base'!$J$44)),0.75,0)))))))))</f>
        <v>0</v>
      </c>
      <c r="T48" s="34"/>
      <c r="U48" s="617"/>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1:80" ht="58.5" customHeight="1">
      <c r="A49" s="224">
        <v>44</v>
      </c>
      <c r="B49" s="1709"/>
      <c r="C49" s="1709"/>
      <c r="D49" s="1709"/>
      <c r="E49" s="1709"/>
      <c r="F49" s="1709"/>
      <c r="G49" s="613"/>
      <c r="H49" s="594"/>
      <c r="I49" s="1710"/>
      <c r="J49" s="1710"/>
      <c r="K49" s="1711"/>
      <c r="L49" s="1711"/>
      <c r="M49" s="614"/>
      <c r="N49" s="615" t="s">
        <v>364</v>
      </c>
      <c r="O49" s="615"/>
      <c r="P49" s="1737"/>
      <c r="Q49" s="1737"/>
      <c r="R49" s="616"/>
      <c r="S49" s="174">
        <f>IF(OR(B49="",H49="",I49="",M49="",O49="",P49=""),0,IF(AND(EXACT(H49,'Data Base'!$H$41),EXACT(O49,'Data Base'!$J$41)),2,IF(AND(EXACT(H49,'Data Base'!$H$41),EXACT(O49,'Data Base'!$J$42)),1,IF(AND(EXACT(H49,'Data Base'!$H$41),EXACT(O49,'Data Base'!$J$43)),0.5,IF(AND(EXACT(H49,'Data Base'!$H$41),EXACT(O49,'Data Base'!$J$44)),0.25,IF(AND(EXACT(H49,'Data Base'!$H$42),EXACT(O49,'Data Base'!$J$41)),6,IF(AND(EXACT(H49,'Data Base'!$H$42),EXACT(O49,'Data Base'!$J$42)),3,IF(AND(EXACT(H49,'Data Base'!$H$42),EXACT(O49,'Data Base'!$J$43)),1.5,IF(AND(EXACT(H49,'Data Base'!$H$42),EXACT(O49,'Data Base'!$J$44)),0.75,0)))))))))</f>
        <v>0</v>
      </c>
      <c r="T49" s="34"/>
      <c r="U49" s="617"/>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1:80" ht="58.5" customHeight="1">
      <c r="A50" s="224">
        <v>45</v>
      </c>
      <c r="B50" s="1709"/>
      <c r="C50" s="1709"/>
      <c r="D50" s="1709"/>
      <c r="E50" s="1709"/>
      <c r="F50" s="1709"/>
      <c r="G50" s="613"/>
      <c r="H50" s="594"/>
      <c r="I50" s="1710"/>
      <c r="J50" s="1710"/>
      <c r="K50" s="1711"/>
      <c r="L50" s="1711"/>
      <c r="M50" s="614"/>
      <c r="N50" s="615" t="s">
        <v>364</v>
      </c>
      <c r="O50" s="615"/>
      <c r="P50" s="1737"/>
      <c r="Q50" s="1737"/>
      <c r="R50" s="616"/>
      <c r="S50" s="174">
        <f>IF(OR(B50="",H50="",I50="",M50="",O50="",P50=""),0,IF(AND(EXACT(H50,'Data Base'!$H$41),EXACT(O50,'Data Base'!$J$41)),2,IF(AND(EXACT(H50,'Data Base'!$H$41),EXACT(O50,'Data Base'!$J$42)),1,IF(AND(EXACT(H50,'Data Base'!$H$41),EXACT(O50,'Data Base'!$J$43)),0.5,IF(AND(EXACT(H50,'Data Base'!$H$41),EXACT(O50,'Data Base'!$J$44)),0.25,IF(AND(EXACT(H50,'Data Base'!$H$42),EXACT(O50,'Data Base'!$J$41)),6,IF(AND(EXACT(H50,'Data Base'!$H$42),EXACT(O50,'Data Base'!$J$42)),3,IF(AND(EXACT(H50,'Data Base'!$H$42),EXACT(O50,'Data Base'!$J$43)),1.5,IF(AND(EXACT(H50,'Data Base'!$H$42),EXACT(O50,'Data Base'!$J$44)),0.75,0)))))))))</f>
        <v>0</v>
      </c>
      <c r="T50" s="34"/>
      <c r="U50" s="617"/>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1:80" ht="58.5" customHeight="1">
      <c r="A51" s="224">
        <v>46</v>
      </c>
      <c r="B51" s="1709"/>
      <c r="C51" s="1709"/>
      <c r="D51" s="1709"/>
      <c r="E51" s="1709"/>
      <c r="F51" s="1709"/>
      <c r="G51" s="613"/>
      <c r="H51" s="594"/>
      <c r="I51" s="1710"/>
      <c r="J51" s="1710"/>
      <c r="K51" s="1711"/>
      <c r="L51" s="1711"/>
      <c r="M51" s="614"/>
      <c r="N51" s="615" t="s">
        <v>364</v>
      </c>
      <c r="O51" s="615"/>
      <c r="P51" s="1737"/>
      <c r="Q51" s="1737"/>
      <c r="R51" s="616"/>
      <c r="S51" s="174">
        <f>IF(OR(B51="",H51="",I51="",M51="",O51="",P51=""),0,IF(AND(EXACT(H51,'Data Base'!$H$41),EXACT(O51,'Data Base'!$J$41)),2,IF(AND(EXACT(H51,'Data Base'!$H$41),EXACT(O51,'Data Base'!$J$42)),1,IF(AND(EXACT(H51,'Data Base'!$H$41),EXACT(O51,'Data Base'!$J$43)),0.5,IF(AND(EXACT(H51,'Data Base'!$H$41),EXACT(O51,'Data Base'!$J$44)),0.25,IF(AND(EXACT(H51,'Data Base'!$H$42),EXACT(O51,'Data Base'!$J$41)),6,IF(AND(EXACT(H51,'Data Base'!$H$42),EXACT(O51,'Data Base'!$J$42)),3,IF(AND(EXACT(H51,'Data Base'!$H$42),EXACT(O51,'Data Base'!$J$43)),1.5,IF(AND(EXACT(H51,'Data Base'!$H$42),EXACT(O51,'Data Base'!$J$44)),0.75,0)))))))))</f>
        <v>0</v>
      </c>
      <c r="T51" s="34"/>
      <c r="U51" s="617"/>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1:80" ht="58.5" customHeight="1">
      <c r="A52" s="224">
        <v>47</v>
      </c>
      <c r="B52" s="1709"/>
      <c r="C52" s="1709"/>
      <c r="D52" s="1709"/>
      <c r="E52" s="1709"/>
      <c r="F52" s="1709"/>
      <c r="G52" s="613"/>
      <c r="H52" s="594"/>
      <c r="I52" s="1710"/>
      <c r="J52" s="1710"/>
      <c r="K52" s="1711"/>
      <c r="L52" s="1711"/>
      <c r="M52" s="614"/>
      <c r="N52" s="615" t="s">
        <v>364</v>
      </c>
      <c r="O52" s="615"/>
      <c r="P52" s="1737"/>
      <c r="Q52" s="1737"/>
      <c r="R52" s="616"/>
      <c r="S52" s="174">
        <f>IF(OR(B52="",H52="",I52="",M52="",O52="",P52=""),0,IF(AND(EXACT(H52,'Data Base'!$H$41),EXACT(O52,'Data Base'!$J$41)),2,IF(AND(EXACT(H52,'Data Base'!$H$41),EXACT(O52,'Data Base'!$J$42)),1,IF(AND(EXACT(H52,'Data Base'!$H$41),EXACT(O52,'Data Base'!$J$43)),0.5,IF(AND(EXACT(H52,'Data Base'!$H$41),EXACT(O52,'Data Base'!$J$44)),0.25,IF(AND(EXACT(H52,'Data Base'!$H$42),EXACT(O52,'Data Base'!$J$41)),6,IF(AND(EXACT(H52,'Data Base'!$H$42),EXACT(O52,'Data Base'!$J$42)),3,IF(AND(EXACT(H52,'Data Base'!$H$42),EXACT(O52,'Data Base'!$J$43)),1.5,IF(AND(EXACT(H52,'Data Base'!$H$42),EXACT(O52,'Data Base'!$J$44)),0.75,0)))))))))</f>
        <v>0</v>
      </c>
      <c r="T52" s="34"/>
      <c r="U52" s="617"/>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1:80" ht="58.5" customHeight="1">
      <c r="A53" s="224">
        <v>48</v>
      </c>
      <c r="B53" s="1709"/>
      <c r="C53" s="1709"/>
      <c r="D53" s="1709"/>
      <c r="E53" s="1709"/>
      <c r="F53" s="1709"/>
      <c r="G53" s="613"/>
      <c r="H53" s="594"/>
      <c r="I53" s="1710"/>
      <c r="J53" s="1710"/>
      <c r="K53" s="1711"/>
      <c r="L53" s="1711"/>
      <c r="M53" s="614"/>
      <c r="N53" s="615" t="s">
        <v>364</v>
      </c>
      <c r="O53" s="615"/>
      <c r="P53" s="1737"/>
      <c r="Q53" s="1737"/>
      <c r="R53" s="616"/>
      <c r="S53" s="174">
        <f>IF(OR(B53="",H53="",I53="",M53="",O53="",P53=""),0,IF(AND(EXACT(H53,'Data Base'!$H$41),EXACT(O53,'Data Base'!$J$41)),2,IF(AND(EXACT(H53,'Data Base'!$H$41),EXACT(O53,'Data Base'!$J$42)),1,IF(AND(EXACT(H53,'Data Base'!$H$41),EXACT(O53,'Data Base'!$J$43)),0.5,IF(AND(EXACT(H53,'Data Base'!$H$41),EXACT(O53,'Data Base'!$J$44)),0.25,IF(AND(EXACT(H53,'Data Base'!$H$42),EXACT(O53,'Data Base'!$J$41)),6,IF(AND(EXACT(H53,'Data Base'!$H$42),EXACT(O53,'Data Base'!$J$42)),3,IF(AND(EXACT(H53,'Data Base'!$H$42),EXACT(O53,'Data Base'!$J$43)),1.5,IF(AND(EXACT(H53,'Data Base'!$H$42),EXACT(O53,'Data Base'!$J$44)),0.75,0)))))))))</f>
        <v>0</v>
      </c>
      <c r="T53" s="34"/>
      <c r="U53" s="617"/>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1:80" ht="58.5" customHeight="1">
      <c r="A54" s="224">
        <v>49</v>
      </c>
      <c r="B54" s="1709"/>
      <c r="C54" s="1709"/>
      <c r="D54" s="1709"/>
      <c r="E54" s="1709"/>
      <c r="F54" s="1709"/>
      <c r="G54" s="613"/>
      <c r="H54" s="594"/>
      <c r="I54" s="1710"/>
      <c r="J54" s="1710"/>
      <c r="K54" s="1711"/>
      <c r="L54" s="1711"/>
      <c r="M54" s="614"/>
      <c r="N54" s="615" t="s">
        <v>364</v>
      </c>
      <c r="O54" s="615"/>
      <c r="P54" s="1737"/>
      <c r="Q54" s="1737"/>
      <c r="R54" s="616"/>
      <c r="S54" s="174">
        <f>IF(OR(B54="",H54="",I54="",M54="",O54="",P54=""),0,IF(AND(EXACT(H54,'Data Base'!$H$41),EXACT(O54,'Data Base'!$J$41)),2,IF(AND(EXACT(H54,'Data Base'!$H$41),EXACT(O54,'Data Base'!$J$42)),1,IF(AND(EXACT(H54,'Data Base'!$H$41),EXACT(O54,'Data Base'!$J$43)),0.5,IF(AND(EXACT(H54,'Data Base'!$H$41),EXACT(O54,'Data Base'!$J$44)),0.25,IF(AND(EXACT(H54,'Data Base'!$H$42),EXACT(O54,'Data Base'!$J$41)),6,IF(AND(EXACT(H54,'Data Base'!$H$42),EXACT(O54,'Data Base'!$J$42)),3,IF(AND(EXACT(H54,'Data Base'!$H$42),EXACT(O54,'Data Base'!$J$43)),1.5,IF(AND(EXACT(H54,'Data Base'!$H$42),EXACT(O54,'Data Base'!$J$44)),0.75,0)))))))))</f>
        <v>0</v>
      </c>
      <c r="T54" s="34"/>
      <c r="U54" s="617"/>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1:80" ht="58.5" customHeight="1" thickBot="1">
      <c r="A55" s="225">
        <v>50</v>
      </c>
      <c r="B55" s="1712"/>
      <c r="C55" s="1712"/>
      <c r="D55" s="1712"/>
      <c r="E55" s="1712"/>
      <c r="F55" s="1712"/>
      <c r="G55" s="618"/>
      <c r="H55" s="600"/>
      <c r="I55" s="1713"/>
      <c r="J55" s="1713"/>
      <c r="K55" s="1714"/>
      <c r="L55" s="1714"/>
      <c r="M55" s="619"/>
      <c r="N55" s="620" t="s">
        <v>364</v>
      </c>
      <c r="O55" s="620"/>
      <c r="P55" s="1749"/>
      <c r="Q55" s="1749"/>
      <c r="R55" s="621"/>
      <c r="S55" s="622">
        <f>IF(OR(B55="",H55="",I55="",M55="",O55="",P55=""),0,IF(AND(EXACT(H55,'Data Base'!$H$41),EXACT(O55,'Data Base'!$J$41)),2,IF(AND(EXACT(H55,'Data Base'!$H$41),EXACT(O55,'Data Base'!$J$42)),1,IF(AND(EXACT(H55,'Data Base'!$H$41),EXACT(O55,'Data Base'!$J$43)),0.5,IF(AND(EXACT(H55,'Data Base'!$H$41),EXACT(O55,'Data Base'!$J$44)),0.25,IF(AND(EXACT(H55,'Data Base'!$H$42),EXACT(O55,'Data Base'!$J$41)),6,IF(AND(EXACT(H55,'Data Base'!$H$42),EXACT(O55,'Data Base'!$J$42)),3,IF(AND(EXACT(H55,'Data Base'!$H$42),EXACT(O55,'Data Base'!$J$43)),1.5,IF(AND(EXACT(H55,'Data Base'!$H$42),EXACT(O55,'Data Base'!$J$44)),0.75,0)))))))))</f>
        <v>0</v>
      </c>
      <c r="T55" s="176"/>
      <c r="U55" s="623"/>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1:80" s="269" customFormat="1" ht="18" customHeight="1">
      <c r="A56" s="1739"/>
      <c r="B56" s="1740"/>
      <c r="C56" s="1740"/>
      <c r="D56" s="1740" t="s">
        <v>730</v>
      </c>
      <c r="E56" s="1740"/>
      <c r="F56" s="1740"/>
      <c r="G56" s="1740"/>
      <c r="H56" s="1740"/>
      <c r="I56" s="1740"/>
      <c r="J56" s="1740"/>
      <c r="K56" s="268">
        <f>SUMIF((H6:H55),('Data Base'!H41),(S6:S55))</f>
        <v>0</v>
      </c>
      <c r="L56" s="1741" t="str">
        <f>IF(AND('فرم الف'!E10='Data Base'!O34,SUM(K56:K57)&lt;8),'Data Base'!K18,IF(AND('فرم الف'!E10='Data Base'!O35,SUM(K56:K57)&lt;18),'Data Base'!K18,'Data Base'!K19))</f>
        <v>و امـتـيـاز قـابـل قـبـول بـا رعــايـت سـقـف بـنـد</v>
      </c>
      <c r="M56" s="1741"/>
      <c r="N56" s="1741"/>
      <c r="O56" s="1741"/>
      <c r="P56" s="1741"/>
      <c r="Q56" s="1741"/>
      <c r="R56" s="1741"/>
      <c r="S56" s="1743">
        <f>IF(SUM(K56:K57)&gt;25,25,SUM(K56:K57))</f>
        <v>0</v>
      </c>
      <c r="T56" s="1745">
        <f>IF(SUM(T6:T55)&gt;25,25,SUM(T6:T55))</f>
        <v>0</v>
      </c>
      <c r="U56" s="1747"/>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row>
    <row r="57" spans="1:80" s="269" customFormat="1" ht="18" customHeight="1" thickBot="1">
      <c r="A57" s="1723"/>
      <c r="B57" s="1724"/>
      <c r="C57" s="1724"/>
      <c r="D57" s="1724" t="s">
        <v>729</v>
      </c>
      <c r="E57" s="1724"/>
      <c r="F57" s="1724"/>
      <c r="G57" s="1724"/>
      <c r="H57" s="1724"/>
      <c r="I57" s="1724"/>
      <c r="J57" s="1724"/>
      <c r="K57" s="271">
        <f>SUMIF((H6:H55),('Data Base'!H42),(S6:S55))</f>
        <v>0</v>
      </c>
      <c r="L57" s="1742"/>
      <c r="M57" s="1742"/>
      <c r="N57" s="1742"/>
      <c r="O57" s="1742"/>
      <c r="P57" s="1742"/>
      <c r="Q57" s="1742"/>
      <c r="R57" s="1742"/>
      <c r="S57" s="1744"/>
      <c r="T57" s="1746"/>
      <c r="U57" s="1748"/>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row>
    <row r="58" spans="1:80" ht="32.25" customHeight="1">
      <c r="A58" s="1507" t="s">
        <v>31</v>
      </c>
      <c r="B58" s="1508"/>
      <c r="C58" s="1508"/>
      <c r="D58" s="1508"/>
      <c r="E58" s="1508"/>
      <c r="F58" s="1508"/>
      <c r="G58" s="1508"/>
      <c r="H58" s="1430" t="s">
        <v>32</v>
      </c>
      <c r="I58" s="1430"/>
      <c r="J58" s="1430"/>
      <c r="K58" s="1431">
        <f>Q2</f>
        <v>0</v>
      </c>
      <c r="L58" s="1432"/>
      <c r="M58" s="1432"/>
      <c r="N58" s="1432"/>
      <c r="O58" s="1430" t="s">
        <v>33</v>
      </c>
      <c r="P58" s="1430"/>
      <c r="Q58" s="1430"/>
      <c r="R58" s="1432">
        <f>C2</f>
        <v>0</v>
      </c>
      <c r="S58" s="1432"/>
      <c r="T58" s="1432"/>
      <c r="U58" s="1506"/>
    </row>
    <row r="59" spans="1:80" ht="32.25" customHeight="1" thickBot="1">
      <c r="A59" s="1437">
        <f>'فرم الف'!A27</f>
        <v>0</v>
      </c>
      <c r="B59" s="1425"/>
      <c r="C59" s="1425"/>
      <c r="D59" s="1425"/>
      <c r="E59" s="1425"/>
      <c r="F59" s="1425"/>
      <c r="G59" s="1425"/>
      <c r="H59" s="1425">
        <f>'فرم الف'!E27</f>
        <v>0</v>
      </c>
      <c r="I59" s="1425"/>
      <c r="J59" s="1425"/>
      <c r="K59" s="1425"/>
      <c r="L59" s="1425"/>
      <c r="M59" s="1425"/>
      <c r="N59" s="1425"/>
      <c r="O59" s="1425" t="str">
        <f>'فرم الف'!J27</f>
        <v/>
      </c>
      <c r="P59" s="1425"/>
      <c r="Q59" s="1425"/>
      <c r="R59" s="1425"/>
      <c r="S59" s="1425"/>
      <c r="T59" s="1425"/>
      <c r="U59" s="1426"/>
    </row>
    <row r="60" spans="1:80" ht="95.25" customHeight="1">
      <c r="A60" s="1717" t="s">
        <v>967</v>
      </c>
      <c r="B60" s="1718"/>
      <c r="C60" s="1718"/>
      <c r="D60" s="1718"/>
      <c r="E60" s="1718"/>
      <c r="F60" s="1718"/>
      <c r="G60" s="1718"/>
      <c r="H60" s="1718"/>
      <c r="I60" s="1718"/>
      <c r="J60" s="1718"/>
      <c r="K60" s="1718"/>
      <c r="L60" s="1718"/>
      <c r="M60" s="1718"/>
      <c r="N60" s="1718"/>
      <c r="O60" s="1718"/>
      <c r="P60" s="1718"/>
      <c r="Q60" s="1718"/>
      <c r="R60" s="1718"/>
      <c r="S60" s="1718"/>
      <c r="T60" s="1718"/>
      <c r="U60" s="1718"/>
    </row>
  </sheetData>
  <sheetProtection algorithmName="SHA-512" hashValue="mE2WOPqTon0uuJjL7tWo6IE2pi7I/Tua5HijqRYM8HYqN6OZIrZCm1VKZuqi67Z0t8gTOHiH2q3GBPHa5DoWMw==" saltValue="qDcY5k5xR8Ts99zvHlX3Kw==" spinCount="100000" sheet="1" objects="1" scenarios="1" formatCells="0" formatRows="0" selectLockedCells="1"/>
  <mergeCells count="240">
    <mergeCell ref="A56:C56"/>
    <mergeCell ref="A57:C57"/>
    <mergeCell ref="L56:R57"/>
    <mergeCell ref="S56:S57"/>
    <mergeCell ref="T56:T57"/>
    <mergeCell ref="U56:U57"/>
    <mergeCell ref="P54:Q54"/>
    <mergeCell ref="I55:J55"/>
    <mergeCell ref="P55:Q55"/>
    <mergeCell ref="D56:J56"/>
    <mergeCell ref="D57:J57"/>
    <mergeCell ref="P51:Q51"/>
    <mergeCell ref="I52:J52"/>
    <mergeCell ref="P52:Q52"/>
    <mergeCell ref="I53:J53"/>
    <mergeCell ref="P53:Q53"/>
    <mergeCell ref="B55:F55"/>
    <mergeCell ref="K55:L55"/>
    <mergeCell ref="B53:F53"/>
    <mergeCell ref="K53:L53"/>
    <mergeCell ref="B54:F54"/>
    <mergeCell ref="K54:L54"/>
    <mergeCell ref="I54:J54"/>
    <mergeCell ref="B51:F51"/>
    <mergeCell ref="K51:L51"/>
    <mergeCell ref="B52:F52"/>
    <mergeCell ref="K52:L52"/>
    <mergeCell ref="I51:J51"/>
    <mergeCell ref="I50:J50"/>
    <mergeCell ref="P50:Q50"/>
    <mergeCell ref="P45:Q45"/>
    <mergeCell ref="I46:J46"/>
    <mergeCell ref="P46:Q46"/>
    <mergeCell ref="I47:J47"/>
    <mergeCell ref="P47:Q47"/>
    <mergeCell ref="K48:L48"/>
    <mergeCell ref="I48:J48"/>
    <mergeCell ref="P44:Q44"/>
    <mergeCell ref="P39:Q39"/>
    <mergeCell ref="I40:J40"/>
    <mergeCell ref="P40:Q40"/>
    <mergeCell ref="I41:J41"/>
    <mergeCell ref="P41:Q41"/>
    <mergeCell ref="P48:Q48"/>
    <mergeCell ref="I49:J49"/>
    <mergeCell ref="P49:Q49"/>
    <mergeCell ref="P38:Q38"/>
    <mergeCell ref="P33:Q33"/>
    <mergeCell ref="I34:J34"/>
    <mergeCell ref="P34:Q34"/>
    <mergeCell ref="I35:J35"/>
    <mergeCell ref="P35:Q35"/>
    <mergeCell ref="P42:Q42"/>
    <mergeCell ref="I43:J43"/>
    <mergeCell ref="P43:Q43"/>
    <mergeCell ref="P31:Q31"/>
    <mergeCell ref="I32:J32"/>
    <mergeCell ref="P32:Q32"/>
    <mergeCell ref="I28:J28"/>
    <mergeCell ref="P28:Q28"/>
    <mergeCell ref="I29:J29"/>
    <mergeCell ref="P29:Q29"/>
    <mergeCell ref="P36:Q36"/>
    <mergeCell ref="I37:J37"/>
    <mergeCell ref="P37:Q37"/>
    <mergeCell ref="I33:J33"/>
    <mergeCell ref="P26:Q26"/>
    <mergeCell ref="I27:J27"/>
    <mergeCell ref="P27:Q27"/>
    <mergeCell ref="P22:Q22"/>
    <mergeCell ref="I23:J23"/>
    <mergeCell ref="P23:Q23"/>
    <mergeCell ref="I24:J24"/>
    <mergeCell ref="P24:Q24"/>
    <mergeCell ref="P30:Q30"/>
    <mergeCell ref="P6:Q6"/>
    <mergeCell ref="N4:N5"/>
    <mergeCell ref="O4:O5"/>
    <mergeCell ref="P13:Q13"/>
    <mergeCell ref="I14:J14"/>
    <mergeCell ref="P14:Q14"/>
    <mergeCell ref="I15:J15"/>
    <mergeCell ref="P15:Q15"/>
    <mergeCell ref="P10:Q10"/>
    <mergeCell ref="I11:J11"/>
    <mergeCell ref="P11:Q11"/>
    <mergeCell ref="I12:J12"/>
    <mergeCell ref="P12:Q12"/>
    <mergeCell ref="B49:F49"/>
    <mergeCell ref="K49:L49"/>
    <mergeCell ref="B50:F50"/>
    <mergeCell ref="K50:L50"/>
    <mergeCell ref="B47:F47"/>
    <mergeCell ref="K47:L47"/>
    <mergeCell ref="B48:F48"/>
    <mergeCell ref="P7:Q7"/>
    <mergeCell ref="I8:J8"/>
    <mergeCell ref="P8:Q8"/>
    <mergeCell ref="I9:J9"/>
    <mergeCell ref="P9:Q9"/>
    <mergeCell ref="P19:Q19"/>
    <mergeCell ref="I20:J20"/>
    <mergeCell ref="P20:Q20"/>
    <mergeCell ref="I21:J21"/>
    <mergeCell ref="P21:Q21"/>
    <mergeCell ref="P16:Q16"/>
    <mergeCell ref="I17:J17"/>
    <mergeCell ref="P17:Q17"/>
    <mergeCell ref="I18:J18"/>
    <mergeCell ref="P18:Q18"/>
    <mergeCell ref="P25:Q25"/>
    <mergeCell ref="I26:J26"/>
    <mergeCell ref="B45:F45"/>
    <mergeCell ref="K45:L45"/>
    <mergeCell ref="B46:F46"/>
    <mergeCell ref="K46:L46"/>
    <mergeCell ref="I45:J45"/>
    <mergeCell ref="B43:F43"/>
    <mergeCell ref="K43:L43"/>
    <mergeCell ref="B44:F44"/>
    <mergeCell ref="K44:L44"/>
    <mergeCell ref="I44:J44"/>
    <mergeCell ref="B41:F41"/>
    <mergeCell ref="K41:L41"/>
    <mergeCell ref="B42:F42"/>
    <mergeCell ref="K42:L42"/>
    <mergeCell ref="I42:J42"/>
    <mergeCell ref="B39:F39"/>
    <mergeCell ref="K39:L39"/>
    <mergeCell ref="B40:F40"/>
    <mergeCell ref="K40:L40"/>
    <mergeCell ref="I39:J39"/>
    <mergeCell ref="B31:F31"/>
    <mergeCell ref="K31:L31"/>
    <mergeCell ref="B32:F32"/>
    <mergeCell ref="K32:L32"/>
    <mergeCell ref="B37:F37"/>
    <mergeCell ref="K37:L37"/>
    <mergeCell ref="B38:F38"/>
    <mergeCell ref="K38:L38"/>
    <mergeCell ref="B35:F35"/>
    <mergeCell ref="K35:L35"/>
    <mergeCell ref="B36:F36"/>
    <mergeCell ref="K36:L36"/>
    <mergeCell ref="I36:J36"/>
    <mergeCell ref="I31:J31"/>
    <mergeCell ref="I38:J38"/>
    <mergeCell ref="B29:F29"/>
    <mergeCell ref="K29:L29"/>
    <mergeCell ref="B30:F30"/>
    <mergeCell ref="K30:L30"/>
    <mergeCell ref="I30:J30"/>
    <mergeCell ref="A60:U60"/>
    <mergeCell ref="B26:F26"/>
    <mergeCell ref="K26:L26"/>
    <mergeCell ref="B27:F27"/>
    <mergeCell ref="K27:L27"/>
    <mergeCell ref="B28:F28"/>
    <mergeCell ref="K28:L28"/>
    <mergeCell ref="A58:G58"/>
    <mergeCell ref="H58:J58"/>
    <mergeCell ref="K58:N58"/>
    <mergeCell ref="O58:Q58"/>
    <mergeCell ref="R58:U58"/>
    <mergeCell ref="A59:G59"/>
    <mergeCell ref="H59:N59"/>
    <mergeCell ref="O59:U59"/>
    <mergeCell ref="B33:F33"/>
    <mergeCell ref="K33:L33"/>
    <mergeCell ref="B34:F34"/>
    <mergeCell ref="K34:L34"/>
    <mergeCell ref="B24:F24"/>
    <mergeCell ref="K24:L24"/>
    <mergeCell ref="B25:F25"/>
    <mergeCell ref="K25:L25"/>
    <mergeCell ref="I25:J25"/>
    <mergeCell ref="B22:F22"/>
    <mergeCell ref="K22:L22"/>
    <mergeCell ref="B23:F23"/>
    <mergeCell ref="K23:L23"/>
    <mergeCell ref="I22:J22"/>
    <mergeCell ref="B20:F20"/>
    <mergeCell ref="K20:L20"/>
    <mergeCell ref="B21:F21"/>
    <mergeCell ref="K21:L21"/>
    <mergeCell ref="B18:F18"/>
    <mergeCell ref="K18:L18"/>
    <mergeCell ref="B19:F19"/>
    <mergeCell ref="K19:L19"/>
    <mergeCell ref="I19:J19"/>
    <mergeCell ref="B16:F16"/>
    <mergeCell ref="K16:L16"/>
    <mergeCell ref="B17:F17"/>
    <mergeCell ref="K17:L17"/>
    <mergeCell ref="I16:J16"/>
    <mergeCell ref="B14:F14"/>
    <mergeCell ref="K14:L14"/>
    <mergeCell ref="B15:F15"/>
    <mergeCell ref="K15:L15"/>
    <mergeCell ref="B7:F7"/>
    <mergeCell ref="K7:L7"/>
    <mergeCell ref="I7:J7"/>
    <mergeCell ref="I6:J6"/>
    <mergeCell ref="B12:F12"/>
    <mergeCell ref="K12:L12"/>
    <mergeCell ref="B13:F13"/>
    <mergeCell ref="K13:L13"/>
    <mergeCell ref="I13:J13"/>
    <mergeCell ref="B10:F10"/>
    <mergeCell ref="K10:L10"/>
    <mergeCell ref="B11:F11"/>
    <mergeCell ref="K11:L11"/>
    <mergeCell ref="I10:J10"/>
    <mergeCell ref="B8:F8"/>
    <mergeCell ref="K8:L8"/>
    <mergeCell ref="B9:F9"/>
    <mergeCell ref="K9:L9"/>
    <mergeCell ref="B6:F6"/>
    <mergeCell ref="K6:L6"/>
    <mergeCell ref="A1:B2"/>
    <mergeCell ref="C1:G1"/>
    <mergeCell ref="Q1:U1"/>
    <mergeCell ref="C2:G2"/>
    <mergeCell ref="Q2:U2"/>
    <mergeCell ref="M1:P1"/>
    <mergeCell ref="H1:L1"/>
    <mergeCell ref="H2:L2"/>
    <mergeCell ref="M2:P2"/>
    <mergeCell ref="A3:R3"/>
    <mergeCell ref="S3:U3"/>
    <mergeCell ref="A4:A5"/>
    <mergeCell ref="S4:U4"/>
    <mergeCell ref="R4:R5"/>
    <mergeCell ref="P4:Q5"/>
    <mergeCell ref="G4:G5"/>
    <mergeCell ref="B4:F5"/>
    <mergeCell ref="H4:H5"/>
    <mergeCell ref="M4:M5"/>
    <mergeCell ref="K4:L5"/>
    <mergeCell ref="I4:J5"/>
  </mergeCells>
  <conditionalFormatting sqref="B6:R6 N7:N55">
    <cfRule type="containsBlanks" dxfId="90" priority="9">
      <formula>LEN(TRIM(B6))=0</formula>
    </cfRule>
  </conditionalFormatting>
  <conditionalFormatting sqref="B7:M55 O7:R55">
    <cfRule type="containsBlanks" dxfId="89" priority="2">
      <formula>LEN(TRIM(B7))=0</formula>
    </cfRule>
  </conditionalFormatting>
  <dataValidations count="2">
    <dataValidation type="whole" operator="greaterThan" allowBlank="1" showInputMessage="1" showErrorMessage="1" errorTitle="خطا در ورود اطلاعات" error="لطفا عدد وارد نماييد" sqref="G6:G55">
      <formula1>0</formula1>
    </dataValidation>
    <dataValidation type="decimal" operator="greaterThanOrEqual" allowBlank="1" showInputMessage="1" showErrorMessage="1" errorTitle="خطا در ورود امتياز" error="لطفا يك عدد وارد نماييد" sqref="T6:T5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1" operator="containsText" id="{F62F0C08-1753-4DC0-825C-F1F856DC97C0}">
            <xm:f>NOT(ISERROR(SEARCH('Data Base'!$K$18,L56)))</xm:f>
            <xm:f>'Data Base'!$K$18</xm:f>
            <x14:dxf>
              <font>
                <color rgb="FF9C0006"/>
              </font>
              <fill>
                <patternFill>
                  <bgColor rgb="FFFFC7CE"/>
                </patternFill>
              </fill>
            </x14:dxf>
          </x14:cfRule>
          <xm:sqref>L56:R57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'Data Base'!$H$41:$H$42</xm:f>
          </x14:formula1>
          <xm:sqref>H6:H55</xm:sqref>
        </x14:dataValidation>
        <x14:dataValidation type="list" allowBlank="1" showInputMessage="1" showErrorMessage="1" errorTitle="خطا در ورود اطلاعات" error="لطفا از موارد ليست شده انتخاب نماييد">
          <x14:formula1>
            <xm:f>'Data Base'!$J$41:$J$44</xm:f>
          </x14:formula1>
          <xm:sqref>O6:O55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6.28515625" style="19" customWidth="1"/>
    <col min="7" max="7" width="5.42578125" style="19" customWidth="1"/>
    <col min="8" max="8" width="6.140625" style="19" customWidth="1"/>
    <col min="9" max="9" width="12" style="19" customWidth="1"/>
    <col min="10" max="11" width="6.140625" style="19" customWidth="1"/>
    <col min="12" max="12" width="7.140625" style="19" customWidth="1"/>
    <col min="13" max="13" width="6.140625" style="19" customWidth="1"/>
    <col min="14" max="15" width="6.5703125" style="19" customWidth="1"/>
    <col min="16" max="19" width="5.42578125" style="19" customWidth="1"/>
    <col min="20" max="20" width="8.85546875" style="19" customWidth="1"/>
    <col min="21" max="16384" width="9.140625" style="19"/>
  </cols>
  <sheetData>
    <row r="1" spans="1:79" ht="15" customHeight="1">
      <c r="A1" s="1466" t="s">
        <v>34</v>
      </c>
      <c r="B1" s="1467"/>
      <c r="C1" s="1494" t="s">
        <v>0</v>
      </c>
      <c r="D1" s="1486"/>
      <c r="E1" s="1486"/>
      <c r="F1" s="1486"/>
      <c r="G1" s="1486"/>
      <c r="H1" s="1486" t="s">
        <v>1</v>
      </c>
      <c r="I1" s="1486"/>
      <c r="J1" s="1486"/>
      <c r="K1" s="1486"/>
      <c r="L1" s="1491" t="s">
        <v>2</v>
      </c>
      <c r="M1" s="1491"/>
      <c r="N1" s="1491"/>
      <c r="O1" s="1491"/>
      <c r="P1" s="1486" t="s">
        <v>3</v>
      </c>
      <c r="Q1" s="1486"/>
      <c r="R1" s="1486"/>
      <c r="S1" s="1486"/>
      <c r="T1" s="1487"/>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row>
    <row r="2" spans="1:79"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88">
        <f>'فرم الف'!D9</f>
        <v>0</v>
      </c>
      <c r="Q2" s="1489"/>
      <c r="R2" s="1489"/>
      <c r="S2" s="1489"/>
      <c r="T2" s="1490"/>
      <c r="Y2" s="198"/>
      <c r="Z2" s="198"/>
      <c r="AA2" s="198"/>
      <c r="AB2" s="198"/>
      <c r="AC2" s="178"/>
      <c r="AD2" s="198"/>
      <c r="AE2" s="198"/>
      <c r="AF2" s="198"/>
      <c r="AG2" s="198"/>
      <c r="AH2" s="198"/>
      <c r="AI2" s="198"/>
      <c r="AJ2" s="198"/>
      <c r="AK2" s="198"/>
      <c r="AL2" s="198"/>
      <c r="AM2" s="198"/>
      <c r="AN2" s="198"/>
      <c r="AO2" s="198"/>
      <c r="AP2" s="198"/>
      <c r="AQ2" s="179"/>
      <c r="AR2" s="180"/>
      <c r="AS2" s="180"/>
      <c r="AT2" s="179"/>
      <c r="AU2" s="180"/>
      <c r="AV2" s="180"/>
      <c r="AW2" s="179"/>
      <c r="AX2" s="180"/>
      <c r="AY2" s="180"/>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row>
    <row r="3" spans="1:79" ht="21.75" thickBot="1">
      <c r="A3" s="1528" t="s">
        <v>377</v>
      </c>
      <c r="B3" s="1528"/>
      <c r="C3" s="1529"/>
      <c r="D3" s="1529"/>
      <c r="E3" s="1529"/>
      <c r="F3" s="1529"/>
      <c r="G3" s="1529"/>
      <c r="H3" s="1529"/>
      <c r="I3" s="1529"/>
      <c r="J3" s="1529"/>
      <c r="K3" s="1529"/>
      <c r="L3" s="1529"/>
      <c r="M3" s="1529"/>
      <c r="N3" s="1529"/>
      <c r="O3" s="1529"/>
      <c r="P3" s="1529"/>
      <c r="Q3" s="1529"/>
      <c r="R3" s="1527" t="s">
        <v>365</v>
      </c>
      <c r="S3" s="1527"/>
      <c r="T3" s="1527"/>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9"/>
      <c r="BD3" s="199"/>
      <c r="BE3" s="199"/>
      <c r="BF3" s="198"/>
      <c r="BG3" s="198"/>
      <c r="BH3" s="198"/>
      <c r="BI3" s="198"/>
      <c r="BJ3" s="198"/>
      <c r="BK3" s="198"/>
      <c r="BL3" s="198"/>
      <c r="BM3" s="198"/>
      <c r="BN3" s="198"/>
      <c r="BO3" s="198"/>
      <c r="BP3" s="198"/>
      <c r="BQ3" s="198"/>
      <c r="BR3" s="198"/>
      <c r="BS3" s="198"/>
      <c r="BT3" s="198"/>
      <c r="BU3" s="198"/>
      <c r="BV3" s="198"/>
      <c r="BW3" s="198"/>
      <c r="BX3" s="198"/>
      <c r="BY3" s="198"/>
      <c r="BZ3" s="198"/>
      <c r="CA3" s="198"/>
    </row>
    <row r="4" spans="1:79" ht="15.75" customHeight="1">
      <c r="A4" s="1479" t="s">
        <v>9</v>
      </c>
      <c r="B4" s="1644" t="s">
        <v>240</v>
      </c>
      <c r="C4" s="1645"/>
      <c r="D4" s="1645"/>
      <c r="E4" s="1645"/>
      <c r="F4" s="1646"/>
      <c r="G4" s="1453" t="s">
        <v>367</v>
      </c>
      <c r="H4" s="1650"/>
      <c r="I4" s="1454"/>
      <c r="J4" s="1453" t="s">
        <v>368</v>
      </c>
      <c r="K4" s="1650"/>
      <c r="L4" s="1454"/>
      <c r="M4" s="1650" t="s">
        <v>366</v>
      </c>
      <c r="N4" s="1650"/>
      <c r="O4" s="1650"/>
      <c r="P4" s="1454"/>
      <c r="Q4" s="1470" t="s">
        <v>13</v>
      </c>
      <c r="R4" s="1470"/>
      <c r="S4" s="1470"/>
      <c r="T4" s="1524" t="s">
        <v>14</v>
      </c>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row>
    <row r="5" spans="1:79" ht="56.25" customHeight="1" thickBot="1">
      <c r="A5" s="1480"/>
      <c r="B5" s="1647"/>
      <c r="C5" s="1648"/>
      <c r="D5" s="1648"/>
      <c r="E5" s="1648"/>
      <c r="F5" s="1649"/>
      <c r="G5" s="1455"/>
      <c r="H5" s="1651"/>
      <c r="I5" s="1456"/>
      <c r="J5" s="1455"/>
      <c r="K5" s="1651"/>
      <c r="L5" s="1456"/>
      <c r="M5" s="1651"/>
      <c r="N5" s="1651"/>
      <c r="O5" s="1651"/>
      <c r="P5" s="1456"/>
      <c r="Q5" s="188" t="s">
        <v>17</v>
      </c>
      <c r="R5" s="188" t="s">
        <v>349</v>
      </c>
      <c r="S5" s="188" t="s">
        <v>18</v>
      </c>
      <c r="T5" s="1525"/>
      <c r="V5" s="189"/>
      <c r="Y5" s="198"/>
      <c r="Z5" s="200"/>
      <c r="AA5" s="200"/>
      <c r="AB5" s="200"/>
      <c r="AC5" s="191"/>
      <c r="AD5" s="191"/>
      <c r="AE5" s="191"/>
      <c r="AF5" s="191"/>
      <c r="AG5" s="200"/>
      <c r="AH5" s="191"/>
      <c r="AI5" s="200"/>
      <c r="AJ5" s="200"/>
      <c r="AK5" s="200"/>
      <c r="AL5" s="200"/>
      <c r="AM5" s="200"/>
      <c r="AN5" s="200"/>
      <c r="AO5" s="200"/>
      <c r="AP5" s="200"/>
      <c r="AQ5" s="201"/>
      <c r="AR5" s="200"/>
      <c r="AS5" s="200"/>
      <c r="AT5" s="201"/>
      <c r="AU5" s="200"/>
      <c r="AV5" s="200"/>
      <c r="AW5" s="201"/>
      <c r="AX5" s="200"/>
      <c r="AY5" s="200"/>
      <c r="AZ5" s="201"/>
      <c r="BA5" s="200"/>
      <c r="BB5" s="200"/>
      <c r="BC5" s="201"/>
      <c r="BD5" s="191"/>
      <c r="BE5" s="201"/>
      <c r="BF5" s="201"/>
      <c r="BG5" s="191"/>
      <c r="BH5" s="201"/>
      <c r="BI5" s="202"/>
      <c r="BJ5" s="194"/>
      <c r="BK5" s="202"/>
      <c r="BL5" s="202"/>
      <c r="BM5" s="194"/>
      <c r="BN5" s="202"/>
      <c r="BO5" s="202"/>
      <c r="BP5" s="202"/>
      <c r="BQ5" s="202"/>
      <c r="BR5" s="202"/>
      <c r="BS5" s="202"/>
      <c r="BT5" s="202"/>
      <c r="BU5" s="201"/>
      <c r="BV5" s="191"/>
      <c r="BW5" s="200"/>
      <c r="BX5" s="201"/>
      <c r="BY5" s="191"/>
      <c r="BZ5" s="200"/>
      <c r="CA5" s="198"/>
    </row>
    <row r="6" spans="1:79" ht="20.25">
      <c r="A6" s="223">
        <v>1</v>
      </c>
      <c r="B6" s="1404"/>
      <c r="C6" s="1404"/>
      <c r="D6" s="1404"/>
      <c r="E6" s="1404"/>
      <c r="F6" s="1404"/>
      <c r="G6" s="1404"/>
      <c r="H6" s="1404"/>
      <c r="I6" s="1404"/>
      <c r="J6" s="1643"/>
      <c r="K6" s="1643"/>
      <c r="L6" s="1643"/>
      <c r="M6" s="1365"/>
      <c r="N6" s="1365"/>
      <c r="O6" s="1365"/>
      <c r="P6" s="1365"/>
      <c r="Q6" s="563"/>
      <c r="R6" s="175"/>
      <c r="S6" s="13"/>
      <c r="T6" s="143"/>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row>
    <row r="7" spans="1:79" ht="17.25" customHeight="1">
      <c r="A7" s="224">
        <v>2</v>
      </c>
      <c r="B7" s="1157"/>
      <c r="C7" s="1157"/>
      <c r="D7" s="1157"/>
      <c r="E7" s="1157"/>
      <c r="F7" s="1157"/>
      <c r="G7" s="1157"/>
      <c r="H7" s="1157"/>
      <c r="I7" s="1157"/>
      <c r="J7" s="1534"/>
      <c r="K7" s="1534"/>
      <c r="L7" s="1534"/>
      <c r="M7" s="1750"/>
      <c r="N7" s="1750"/>
      <c r="O7" s="1750"/>
      <c r="P7" s="1750"/>
      <c r="Q7" s="550"/>
      <c r="R7" s="34"/>
      <c r="S7" s="145"/>
      <c r="T7" s="144"/>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row>
    <row r="8" spans="1:79" ht="17.25" customHeight="1">
      <c r="A8" s="224">
        <v>3</v>
      </c>
      <c r="B8" s="1157"/>
      <c r="C8" s="1157"/>
      <c r="D8" s="1157"/>
      <c r="E8" s="1157"/>
      <c r="F8" s="1157"/>
      <c r="G8" s="1157"/>
      <c r="H8" s="1157"/>
      <c r="I8" s="1157"/>
      <c r="J8" s="1534"/>
      <c r="K8" s="1534"/>
      <c r="L8" s="1534"/>
      <c r="M8" s="1750"/>
      <c r="N8" s="1750"/>
      <c r="O8" s="1750"/>
      <c r="P8" s="1750"/>
      <c r="Q8" s="550"/>
      <c r="R8" s="34"/>
      <c r="S8" s="145"/>
      <c r="T8" s="144"/>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row>
    <row r="9" spans="1:79" ht="17.25" customHeight="1">
      <c r="A9" s="224">
        <v>4</v>
      </c>
      <c r="B9" s="1157"/>
      <c r="C9" s="1157"/>
      <c r="D9" s="1157"/>
      <c r="E9" s="1157"/>
      <c r="F9" s="1157"/>
      <c r="G9" s="1157"/>
      <c r="H9" s="1157"/>
      <c r="I9" s="1157"/>
      <c r="J9" s="1534"/>
      <c r="K9" s="1534"/>
      <c r="L9" s="1534"/>
      <c r="M9" s="1750"/>
      <c r="N9" s="1750"/>
      <c r="O9" s="1750"/>
      <c r="P9" s="1750"/>
      <c r="Q9" s="550"/>
      <c r="R9" s="34"/>
      <c r="S9" s="145"/>
      <c r="T9" s="144"/>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row>
    <row r="10" spans="1:79" ht="17.25" customHeight="1">
      <c r="A10" s="224">
        <v>5</v>
      </c>
      <c r="B10" s="1157"/>
      <c r="C10" s="1157"/>
      <c r="D10" s="1157"/>
      <c r="E10" s="1157"/>
      <c r="F10" s="1157"/>
      <c r="G10" s="1157"/>
      <c r="H10" s="1157"/>
      <c r="I10" s="1157"/>
      <c r="J10" s="1534"/>
      <c r="K10" s="1534"/>
      <c r="L10" s="1534"/>
      <c r="M10" s="1750"/>
      <c r="N10" s="1750"/>
      <c r="O10" s="1750"/>
      <c r="P10" s="1750"/>
      <c r="Q10" s="550"/>
      <c r="R10" s="34"/>
      <c r="S10" s="145"/>
      <c r="T10" s="144"/>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row>
    <row r="11" spans="1:79" ht="17.25" customHeight="1">
      <c r="A11" s="224">
        <v>6</v>
      </c>
      <c r="B11" s="1157"/>
      <c r="C11" s="1157"/>
      <c r="D11" s="1157"/>
      <c r="E11" s="1157"/>
      <c r="F11" s="1157"/>
      <c r="G11" s="1157"/>
      <c r="H11" s="1157"/>
      <c r="I11" s="1157"/>
      <c r="J11" s="1534"/>
      <c r="K11" s="1534"/>
      <c r="L11" s="1534"/>
      <c r="M11" s="1750"/>
      <c r="N11" s="1750"/>
      <c r="O11" s="1750"/>
      <c r="P11" s="1750"/>
      <c r="Q11" s="550"/>
      <c r="R11" s="34"/>
      <c r="S11" s="145"/>
      <c r="T11" s="144"/>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row>
    <row r="12" spans="1:79" ht="17.25" customHeight="1">
      <c r="A12" s="224">
        <v>7</v>
      </c>
      <c r="B12" s="1157"/>
      <c r="C12" s="1157"/>
      <c r="D12" s="1157"/>
      <c r="E12" s="1157"/>
      <c r="F12" s="1157"/>
      <c r="G12" s="1157"/>
      <c r="H12" s="1157"/>
      <c r="I12" s="1157"/>
      <c r="J12" s="1534"/>
      <c r="K12" s="1534"/>
      <c r="L12" s="1534"/>
      <c r="M12" s="1750"/>
      <c r="N12" s="1750"/>
      <c r="O12" s="1750"/>
      <c r="P12" s="1750"/>
      <c r="Q12" s="550"/>
      <c r="R12" s="34"/>
      <c r="S12" s="145"/>
      <c r="T12" s="144"/>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row>
    <row r="13" spans="1:79" ht="17.25" customHeight="1">
      <c r="A13" s="224">
        <v>8</v>
      </c>
      <c r="B13" s="1157"/>
      <c r="C13" s="1157"/>
      <c r="D13" s="1157"/>
      <c r="E13" s="1157"/>
      <c r="F13" s="1157"/>
      <c r="G13" s="1157"/>
      <c r="H13" s="1157"/>
      <c r="I13" s="1157"/>
      <c r="J13" s="1534"/>
      <c r="K13" s="1534"/>
      <c r="L13" s="1534"/>
      <c r="M13" s="1750"/>
      <c r="N13" s="1750"/>
      <c r="O13" s="1750"/>
      <c r="P13" s="1750"/>
      <c r="Q13" s="550"/>
      <c r="R13" s="34"/>
      <c r="S13" s="145"/>
      <c r="T13" s="144"/>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row>
    <row r="14" spans="1:79" ht="17.25" customHeight="1">
      <c r="A14" s="224">
        <v>9</v>
      </c>
      <c r="B14" s="1157"/>
      <c r="C14" s="1157"/>
      <c r="D14" s="1157"/>
      <c r="E14" s="1157"/>
      <c r="F14" s="1157"/>
      <c r="G14" s="1157"/>
      <c r="H14" s="1157"/>
      <c r="I14" s="1157"/>
      <c r="J14" s="1534"/>
      <c r="K14" s="1534"/>
      <c r="L14" s="1534"/>
      <c r="M14" s="1750"/>
      <c r="N14" s="1750"/>
      <c r="O14" s="1750"/>
      <c r="P14" s="1750"/>
      <c r="Q14" s="550"/>
      <c r="R14" s="34"/>
      <c r="S14" s="145"/>
      <c r="T14" s="144"/>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row>
    <row r="15" spans="1:79" ht="17.25" customHeight="1" thickBot="1">
      <c r="A15" s="225">
        <v>10</v>
      </c>
      <c r="B15" s="1182"/>
      <c r="C15" s="1182"/>
      <c r="D15" s="1182"/>
      <c r="E15" s="1182"/>
      <c r="F15" s="1182"/>
      <c r="G15" s="1182"/>
      <c r="H15" s="1182"/>
      <c r="I15" s="1182"/>
      <c r="J15" s="1424"/>
      <c r="K15" s="1424"/>
      <c r="L15" s="1424"/>
      <c r="M15" s="1751"/>
      <c r="N15" s="1751"/>
      <c r="O15" s="1751"/>
      <c r="P15" s="1751"/>
      <c r="Q15" s="552"/>
      <c r="R15" s="176"/>
      <c r="S15" s="147"/>
      <c r="T15" s="146"/>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row>
    <row r="16" spans="1:79" ht="27" customHeight="1" thickBot="1">
      <c r="A16" s="1143" t="s">
        <v>378</v>
      </c>
      <c r="B16" s="1144"/>
      <c r="C16" s="1144"/>
      <c r="D16" s="1144"/>
      <c r="E16" s="1144"/>
      <c r="F16" s="1144"/>
      <c r="G16" s="1144"/>
      <c r="H16" s="1144"/>
      <c r="I16" s="1144"/>
      <c r="J16" s="1144"/>
      <c r="K16" s="1144"/>
      <c r="L16" s="1144"/>
      <c r="M16" s="1144"/>
      <c r="N16" s="1144"/>
      <c r="O16" s="1144"/>
      <c r="P16" s="1145"/>
      <c r="Q16" s="216">
        <f>SUM(Q6:Q15)</f>
        <v>0</v>
      </c>
      <c r="R16" s="238">
        <f>SUM(R6:R15)</f>
        <v>0</v>
      </c>
      <c r="S16" s="48"/>
      <c r="T16" s="177"/>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row>
    <row r="17" spans="1:79" ht="33" customHeight="1">
      <c r="A17" s="1507" t="s">
        <v>31</v>
      </c>
      <c r="B17" s="1508"/>
      <c r="C17" s="1508"/>
      <c r="D17" s="1508"/>
      <c r="E17" s="1508"/>
      <c r="F17" s="1508"/>
      <c r="G17" s="1508"/>
      <c r="H17" s="1430" t="s">
        <v>32</v>
      </c>
      <c r="I17" s="1430"/>
      <c r="J17" s="1431">
        <f>P2</f>
        <v>0</v>
      </c>
      <c r="K17" s="1432"/>
      <c r="L17" s="1432"/>
      <c r="M17" s="1432"/>
      <c r="N17" s="1430" t="s">
        <v>33</v>
      </c>
      <c r="O17" s="1430"/>
      <c r="P17" s="1430"/>
      <c r="Q17" s="1432">
        <f>C2</f>
        <v>0</v>
      </c>
      <c r="R17" s="1432"/>
      <c r="S17" s="1432"/>
      <c r="T17" s="1506"/>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row>
    <row r="18" spans="1:79" ht="33" customHeight="1" thickBot="1">
      <c r="A18" s="1437">
        <f>'فرم الف'!A27</f>
        <v>0</v>
      </c>
      <c r="B18" s="1425"/>
      <c r="C18" s="1425"/>
      <c r="D18" s="1425"/>
      <c r="E18" s="1425"/>
      <c r="F18" s="1425"/>
      <c r="G18" s="1425"/>
      <c r="H18" s="1425">
        <f>'فرم الف'!E27</f>
        <v>0</v>
      </c>
      <c r="I18" s="1425"/>
      <c r="J18" s="1425"/>
      <c r="K18" s="1425"/>
      <c r="L18" s="1425"/>
      <c r="M18" s="1425"/>
      <c r="N18" s="1425" t="str">
        <f>'فرم الف'!J27</f>
        <v/>
      </c>
      <c r="O18" s="1425"/>
      <c r="P18" s="1425"/>
      <c r="Q18" s="1425"/>
      <c r="R18" s="1425"/>
      <c r="S18" s="1425"/>
      <c r="T18" s="1426"/>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row>
    <row r="19" spans="1:79" ht="20.25" customHeight="1">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row>
    <row r="20" spans="1:79">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row>
    <row r="21" spans="1:79" ht="17.25" customHeight="1">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row>
    <row r="22" spans="1:79" ht="20.25" customHeight="1">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row>
    <row r="23" spans="1:79">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row>
    <row r="24" spans="1:79" ht="17.25" customHeight="1">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row>
    <row r="25" spans="1:79" ht="20.25" customHeight="1">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row>
    <row r="26" spans="1:79">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row>
    <row r="27" spans="1:79" ht="17.25" customHeight="1">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row>
    <row r="28" spans="1:79" ht="20.25" customHeight="1">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row>
    <row r="29" spans="1:79">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row>
    <row r="30" spans="1:79" ht="17.25" customHeight="1">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row>
    <row r="31" spans="1:79" ht="20.25" customHeight="1">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row>
    <row r="32" spans="1:79">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row>
    <row r="33" spans="25:79" ht="17.25" customHeight="1">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row>
    <row r="34" spans="25:79" ht="20.25" customHeight="1">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row>
    <row r="35" spans="25:79">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row>
    <row r="36" spans="25:79" ht="17.25" customHeight="1">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row>
    <row r="37" spans="25:79" ht="20.25" customHeight="1">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row>
    <row r="38" spans="25:79">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row>
    <row r="39" spans="25:79" ht="17.25" customHeight="1">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row>
    <row r="40" spans="25:79" ht="20.25" customHeight="1">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row>
    <row r="41" spans="25:79">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row>
    <row r="42" spans="25:79" ht="17.25" customHeight="1">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row>
    <row r="43" spans="25:79" ht="20.25" customHeight="1">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row>
    <row r="44" spans="25:79">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row>
    <row r="45" spans="25:79" ht="17.25" customHeight="1">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row>
    <row r="46" spans="25:79" ht="20.25" customHeight="1">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row>
    <row r="47" spans="25:79">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row>
    <row r="48" spans="25:79" ht="17.25" customHeight="1">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row>
    <row r="49" spans="25:79" ht="20.25" customHeight="1">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row>
    <row r="50" spans="25:79">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row>
    <row r="51" spans="25:79" ht="17.25" customHeight="1">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row>
    <row r="52" spans="25:79" ht="20.25" customHeight="1">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row>
    <row r="53" spans="25:79">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row>
    <row r="54" spans="25:79" ht="17.25" customHeight="1">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row>
    <row r="55" spans="25:79" ht="20.25" customHeight="1">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row>
    <row r="56" spans="25:79">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row>
    <row r="57" spans="25:79" ht="17.25" customHeight="1">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row>
    <row r="58" spans="25:79" ht="20.25" customHeight="1">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row>
    <row r="59" spans="25:79">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row>
    <row r="60" spans="25:79">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row>
    <row r="61" spans="25:79">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row>
    <row r="62" spans="25:79" ht="26.25" customHeight="1">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row>
    <row r="63" spans="25:79" ht="26.25" customHeight="1">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row>
  </sheetData>
  <sheetProtection algorithmName="SHA-512" hashValue="sXRrrqeMI27TKCN4qyHWvW5AV94uFglu66U/iNyfl5lAMGCQVUIbPNazwvbtsnJs+sOa5tOABk1t4PqIZ0+2Bw==" saltValue="iKE+pcdP23xLaFnrUba0rw==" spinCount="100000" sheet="1" objects="1" scenarios="1" formatCells="0" formatRows="0" selectLockedCells="1"/>
  <mergeCells count="67">
    <mergeCell ref="A1:B2"/>
    <mergeCell ref="C1:G1"/>
    <mergeCell ref="H1:K1"/>
    <mergeCell ref="L1:O1"/>
    <mergeCell ref="P1:T1"/>
    <mergeCell ref="C2:G2"/>
    <mergeCell ref="H2:K2"/>
    <mergeCell ref="L2:O2"/>
    <mergeCell ref="P2:T2"/>
    <mergeCell ref="A3:Q3"/>
    <mergeCell ref="R3:T3"/>
    <mergeCell ref="A4:A5"/>
    <mergeCell ref="B4:F5"/>
    <mergeCell ref="G4:I5"/>
    <mergeCell ref="Q4:S4"/>
    <mergeCell ref="T4:T5"/>
    <mergeCell ref="B8:F8"/>
    <mergeCell ref="G8:I8"/>
    <mergeCell ref="B9:F9"/>
    <mergeCell ref="G9:I9"/>
    <mergeCell ref="B6:F6"/>
    <mergeCell ref="G6:I6"/>
    <mergeCell ref="B7:F7"/>
    <mergeCell ref="G7:I7"/>
    <mergeCell ref="B12:F12"/>
    <mergeCell ref="G12:I12"/>
    <mergeCell ref="B13:F13"/>
    <mergeCell ref="G13:I13"/>
    <mergeCell ref="B10:F10"/>
    <mergeCell ref="G10:I10"/>
    <mergeCell ref="B11:F11"/>
    <mergeCell ref="G11:I11"/>
    <mergeCell ref="Q17:T17"/>
    <mergeCell ref="A18:G18"/>
    <mergeCell ref="H18:M18"/>
    <mergeCell ref="N18:T18"/>
    <mergeCell ref="M6:P6"/>
    <mergeCell ref="J9:L9"/>
    <mergeCell ref="M9:P9"/>
    <mergeCell ref="J10:L10"/>
    <mergeCell ref="A17:G17"/>
    <mergeCell ref="H17:I17"/>
    <mergeCell ref="J17:M17"/>
    <mergeCell ref="N17:P17"/>
    <mergeCell ref="B14:F14"/>
    <mergeCell ref="G14:I14"/>
    <mergeCell ref="B15:F15"/>
    <mergeCell ref="G15:I15"/>
    <mergeCell ref="J13:L13"/>
    <mergeCell ref="M13:P13"/>
    <mergeCell ref="M4:P5"/>
    <mergeCell ref="J4:L5"/>
    <mergeCell ref="J6:L6"/>
    <mergeCell ref="J7:L7"/>
    <mergeCell ref="M7:P7"/>
    <mergeCell ref="J8:L8"/>
    <mergeCell ref="M8:P8"/>
    <mergeCell ref="M10:P10"/>
    <mergeCell ref="J11:L11"/>
    <mergeCell ref="M11:P11"/>
    <mergeCell ref="J12:L12"/>
    <mergeCell ref="M12:P12"/>
    <mergeCell ref="J14:L14"/>
    <mergeCell ref="M14:P14"/>
    <mergeCell ref="J15:L15"/>
    <mergeCell ref="M15:P15"/>
    <mergeCell ref="A16:P16"/>
  </mergeCells>
  <conditionalFormatting sqref="B6:J6 M6">
    <cfRule type="containsBlanks" dxfId="87" priority="2">
      <formula>LEN(TRIM(B6))=0</formula>
    </cfRule>
  </conditionalFormatting>
  <conditionalFormatting sqref="B7:J15 M7:M15">
    <cfRule type="containsBlanks" dxfId="86" priority="1">
      <formula>LEN(TRIM(B7))=0</formula>
    </cfRule>
  </conditionalFormatting>
  <dataValidations count="1">
    <dataValidation type="decimal" operator="greaterThanOrEqual" allowBlank="1" showInputMessage="1" showErrorMessage="1" errorTitle="خطا در ورود امتياز" error="لطفت يك عدد وارد نماييد" sqref="Q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Base'!$K$46:$K$50</xm:f>
          </x14:formula1>
          <xm:sqref>G6:I15</xm:sqref>
        </x14:dataValidation>
        <x14:dataValidation type="list" allowBlank="1" showInputMessage="1" showErrorMessage="1" errorTitle="خطا در ورود اطلاعات" error="لطفا از موارد ليست شده انتخاب نماييد">
          <x14:formula1>
            <xm:f>'Data Base'!$I$46:$I$48</xm:f>
          </x14:formula1>
          <xm:sqref>M6:P15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8" width="5.42578125" style="19" customWidth="1"/>
    <col min="9" max="9" width="15.5703125" style="19" customWidth="1"/>
    <col min="10" max="10" width="8" style="19" customWidth="1"/>
    <col min="11" max="11" width="5.5703125" style="19" customWidth="1"/>
    <col min="12" max="12" width="10.28515625" style="19" customWidth="1"/>
    <col min="13" max="13" width="8.140625" style="19" customWidth="1"/>
    <col min="14" max="15" width="6" style="19" customWidth="1"/>
    <col min="16" max="16" width="8.85546875" style="19" customWidth="1"/>
    <col min="17" max="19" width="5.42578125" style="19" customWidth="1"/>
    <col min="20" max="20" width="9.28515625" style="19" hidden="1" customWidth="1"/>
    <col min="21" max="16384" width="9.140625" style="19"/>
  </cols>
  <sheetData>
    <row r="1" spans="1:78" ht="15" customHeight="1">
      <c r="A1" s="1466" t="s">
        <v>34</v>
      </c>
      <c r="B1" s="1467"/>
      <c r="C1" s="1494" t="s">
        <v>0</v>
      </c>
      <c r="D1" s="1486"/>
      <c r="E1" s="1486"/>
      <c r="F1" s="1486"/>
      <c r="G1" s="1486"/>
      <c r="H1" s="1486" t="s">
        <v>1</v>
      </c>
      <c r="I1" s="1486"/>
      <c r="J1" s="1486"/>
      <c r="K1" s="1486"/>
      <c r="L1" s="1491" t="s">
        <v>2</v>
      </c>
      <c r="M1" s="1491"/>
      <c r="N1" s="1491"/>
      <c r="O1" s="1491"/>
      <c r="P1" s="1486" t="s">
        <v>3</v>
      </c>
      <c r="Q1" s="1486"/>
      <c r="R1" s="1486"/>
      <c r="S1" s="1487"/>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row>
    <row r="2" spans="1:78"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88">
        <f>'فرم الف'!D9</f>
        <v>0</v>
      </c>
      <c r="Q2" s="1489"/>
      <c r="R2" s="1489"/>
      <c r="S2" s="1490"/>
      <c r="X2" s="198"/>
      <c r="Y2" s="198"/>
      <c r="Z2" s="198"/>
      <c r="AA2" s="198"/>
      <c r="AB2" s="178"/>
      <c r="AC2" s="198"/>
      <c r="AD2" s="198"/>
      <c r="AE2" s="198"/>
      <c r="AF2" s="198"/>
      <c r="AG2" s="198"/>
      <c r="AH2" s="198"/>
      <c r="AI2" s="198"/>
      <c r="AJ2" s="198"/>
      <c r="AK2" s="198"/>
      <c r="AL2" s="198"/>
      <c r="AM2" s="198"/>
      <c r="AN2" s="198"/>
      <c r="AO2" s="198"/>
      <c r="AP2" s="179"/>
      <c r="AQ2" s="180"/>
      <c r="AR2" s="180"/>
      <c r="AS2" s="179"/>
      <c r="AT2" s="180"/>
      <c r="AU2" s="180"/>
      <c r="AV2" s="179"/>
      <c r="AW2" s="180"/>
      <c r="AX2" s="180"/>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row>
    <row r="3" spans="1:78" ht="21.75" thickBot="1">
      <c r="A3" s="1496" t="s">
        <v>379</v>
      </c>
      <c r="B3" s="1496"/>
      <c r="C3" s="1497"/>
      <c r="D3" s="1497"/>
      <c r="E3" s="1497"/>
      <c r="F3" s="1497"/>
      <c r="G3" s="1497"/>
      <c r="H3" s="1497"/>
      <c r="I3" s="1497"/>
      <c r="J3" s="1497"/>
      <c r="K3" s="1497"/>
      <c r="L3" s="1497"/>
      <c r="M3" s="1497"/>
      <c r="N3" s="1497"/>
      <c r="O3" s="1497"/>
      <c r="P3" s="1497"/>
      <c r="Q3" s="1758" t="s">
        <v>380</v>
      </c>
      <c r="R3" s="1758"/>
      <c r="S3" s="175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9"/>
      <c r="BC3" s="199"/>
      <c r="BD3" s="199"/>
      <c r="BE3" s="198"/>
      <c r="BF3" s="198"/>
      <c r="BG3" s="198"/>
      <c r="BH3" s="198"/>
      <c r="BI3" s="198"/>
      <c r="BJ3" s="198"/>
      <c r="BK3" s="198"/>
      <c r="BL3" s="198"/>
      <c r="BM3" s="198"/>
      <c r="BN3" s="198"/>
      <c r="BO3" s="198"/>
      <c r="BP3" s="198"/>
      <c r="BQ3" s="198"/>
      <c r="BR3" s="198"/>
      <c r="BS3" s="198"/>
      <c r="BT3" s="198"/>
      <c r="BU3" s="198"/>
      <c r="BV3" s="198"/>
      <c r="BW3" s="198"/>
      <c r="BX3" s="198"/>
      <c r="BY3" s="198"/>
      <c r="BZ3" s="198"/>
    </row>
    <row r="4" spans="1:78" ht="18.75" customHeight="1">
      <c r="A4" s="1479" t="s">
        <v>9</v>
      </c>
      <c r="B4" s="1453" t="s">
        <v>381</v>
      </c>
      <c r="C4" s="1650"/>
      <c r="D4" s="1650"/>
      <c r="E4" s="1650"/>
      <c r="F4" s="1454"/>
      <c r="G4" s="1453" t="s">
        <v>388</v>
      </c>
      <c r="H4" s="1454"/>
      <c r="I4" s="1453" t="s">
        <v>387</v>
      </c>
      <c r="J4" s="1454"/>
      <c r="K4" s="1453" t="s">
        <v>386</v>
      </c>
      <c r="L4" s="1454"/>
      <c r="M4" s="1454" t="s">
        <v>385</v>
      </c>
      <c r="N4" s="1650" t="s">
        <v>384</v>
      </c>
      <c r="O4" s="1650"/>
      <c r="P4" s="1454"/>
      <c r="Q4" s="1470" t="s">
        <v>13</v>
      </c>
      <c r="R4" s="1470"/>
      <c r="S4" s="1560"/>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row>
    <row r="5" spans="1:78" ht="60" customHeight="1" thickBot="1">
      <c r="A5" s="1480"/>
      <c r="B5" s="1455"/>
      <c r="C5" s="1651"/>
      <c r="D5" s="1651"/>
      <c r="E5" s="1651"/>
      <c r="F5" s="1456"/>
      <c r="G5" s="1455"/>
      <c r="H5" s="1456"/>
      <c r="I5" s="1455"/>
      <c r="J5" s="1456"/>
      <c r="K5" s="1455"/>
      <c r="L5" s="1456"/>
      <c r="M5" s="1456"/>
      <c r="N5" s="1651"/>
      <c r="O5" s="1651"/>
      <c r="P5" s="1456"/>
      <c r="Q5" s="188" t="s">
        <v>17</v>
      </c>
      <c r="R5" s="188" t="s">
        <v>349</v>
      </c>
      <c r="S5" s="243" t="s">
        <v>18</v>
      </c>
      <c r="U5" s="189"/>
      <c r="X5" s="198"/>
      <c r="Y5" s="200"/>
      <c r="Z5" s="200"/>
      <c r="AA5" s="200"/>
      <c r="AB5" s="191"/>
      <c r="AC5" s="191"/>
      <c r="AD5" s="191"/>
      <c r="AE5" s="191"/>
      <c r="AF5" s="200"/>
      <c r="AG5" s="191"/>
      <c r="AH5" s="200"/>
      <c r="AI5" s="200"/>
      <c r="AJ5" s="200"/>
      <c r="AK5" s="200"/>
      <c r="AL5" s="200"/>
      <c r="AM5" s="200"/>
      <c r="AN5" s="200"/>
      <c r="AO5" s="200"/>
      <c r="AP5" s="201"/>
      <c r="AQ5" s="200"/>
      <c r="AR5" s="200"/>
      <c r="AS5" s="201"/>
      <c r="AT5" s="200"/>
      <c r="AU5" s="200"/>
      <c r="AV5" s="201"/>
      <c r="AW5" s="200"/>
      <c r="AX5" s="200"/>
      <c r="AY5" s="201"/>
      <c r="AZ5" s="200"/>
      <c r="BA5" s="200"/>
      <c r="BB5" s="201"/>
      <c r="BC5" s="191"/>
      <c r="BD5" s="201"/>
      <c r="BE5" s="201"/>
      <c r="BF5" s="191"/>
      <c r="BG5" s="201"/>
      <c r="BH5" s="202"/>
      <c r="BI5" s="194"/>
      <c r="BJ5" s="202"/>
      <c r="BK5" s="202"/>
      <c r="BL5" s="194"/>
      <c r="BM5" s="202"/>
      <c r="BN5" s="202"/>
      <c r="BO5" s="202"/>
      <c r="BP5" s="202"/>
      <c r="BQ5" s="202"/>
      <c r="BR5" s="202"/>
      <c r="BS5" s="202"/>
      <c r="BT5" s="201"/>
      <c r="BU5" s="191"/>
      <c r="BV5" s="200"/>
      <c r="BW5" s="201"/>
      <c r="BX5" s="191"/>
      <c r="BY5" s="200"/>
      <c r="BZ5" s="198"/>
    </row>
    <row r="6" spans="1:78" ht="20.25">
      <c r="A6" s="223">
        <v>1</v>
      </c>
      <c r="B6" s="1404"/>
      <c r="C6" s="1404"/>
      <c r="D6" s="1404"/>
      <c r="E6" s="1404"/>
      <c r="F6" s="1404"/>
      <c r="G6" s="1160"/>
      <c r="H6" s="1161"/>
      <c r="I6" s="1160"/>
      <c r="J6" s="1161"/>
      <c r="K6" s="1405"/>
      <c r="L6" s="1407"/>
      <c r="M6" s="624"/>
      <c r="N6" s="1755"/>
      <c r="O6" s="1756"/>
      <c r="P6" s="1757"/>
      <c r="Q6" s="563"/>
      <c r="R6" s="175"/>
      <c r="S6" s="612"/>
      <c r="T6" s="19">
        <f>IF(AND(B6&lt;&gt;"",R6&lt;&gt;0),1,0)</f>
        <v>0</v>
      </c>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row>
    <row r="7" spans="1:78" ht="17.25" customHeight="1">
      <c r="A7" s="224">
        <v>2</v>
      </c>
      <c r="B7" s="1157"/>
      <c r="C7" s="1157"/>
      <c r="D7" s="1157"/>
      <c r="E7" s="1157"/>
      <c r="F7" s="1157"/>
      <c r="G7" s="1202"/>
      <c r="H7" s="1204"/>
      <c r="I7" s="1202"/>
      <c r="J7" s="1204"/>
      <c r="K7" s="1384"/>
      <c r="L7" s="1386"/>
      <c r="M7" s="625"/>
      <c r="N7" s="1752"/>
      <c r="O7" s="1753"/>
      <c r="P7" s="1754"/>
      <c r="Q7" s="550"/>
      <c r="R7" s="34"/>
      <c r="S7" s="617"/>
      <c r="T7" s="19">
        <f t="shared" ref="T7:T15" si="0">IF(AND(B7&lt;&gt;"",R7&lt;&gt;0),1,0)</f>
        <v>0</v>
      </c>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row>
    <row r="8" spans="1:78" ht="17.25" customHeight="1">
      <c r="A8" s="224">
        <v>3</v>
      </c>
      <c r="B8" s="1157"/>
      <c r="C8" s="1157"/>
      <c r="D8" s="1157"/>
      <c r="E8" s="1157"/>
      <c r="F8" s="1157"/>
      <c r="G8" s="1202"/>
      <c r="H8" s="1204"/>
      <c r="I8" s="1202"/>
      <c r="J8" s="1204"/>
      <c r="K8" s="1384"/>
      <c r="L8" s="1386"/>
      <c r="M8" s="625"/>
      <c r="N8" s="1752"/>
      <c r="O8" s="1753"/>
      <c r="P8" s="1754"/>
      <c r="Q8" s="550"/>
      <c r="R8" s="34"/>
      <c r="S8" s="617"/>
      <c r="T8" s="19">
        <f t="shared" si="0"/>
        <v>0</v>
      </c>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row>
    <row r="9" spans="1:78" ht="17.25" customHeight="1">
      <c r="A9" s="224">
        <v>4</v>
      </c>
      <c r="B9" s="1157"/>
      <c r="C9" s="1157"/>
      <c r="D9" s="1157"/>
      <c r="E9" s="1157"/>
      <c r="F9" s="1157"/>
      <c r="G9" s="1202"/>
      <c r="H9" s="1204"/>
      <c r="I9" s="1202"/>
      <c r="J9" s="1204"/>
      <c r="K9" s="1384"/>
      <c r="L9" s="1386"/>
      <c r="M9" s="625"/>
      <c r="N9" s="1752"/>
      <c r="O9" s="1753"/>
      <c r="P9" s="1754"/>
      <c r="Q9" s="550"/>
      <c r="R9" s="34"/>
      <c r="S9" s="617"/>
      <c r="T9" s="19">
        <f t="shared" si="0"/>
        <v>0</v>
      </c>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row>
    <row r="10" spans="1:78" ht="17.25" customHeight="1">
      <c r="A10" s="224">
        <v>5</v>
      </c>
      <c r="B10" s="1157"/>
      <c r="C10" s="1157"/>
      <c r="D10" s="1157"/>
      <c r="E10" s="1157"/>
      <c r="F10" s="1157"/>
      <c r="G10" s="1202"/>
      <c r="H10" s="1204"/>
      <c r="I10" s="1202"/>
      <c r="J10" s="1204"/>
      <c r="K10" s="1384"/>
      <c r="L10" s="1386"/>
      <c r="M10" s="625"/>
      <c r="N10" s="1752"/>
      <c r="O10" s="1753"/>
      <c r="P10" s="1754"/>
      <c r="Q10" s="550"/>
      <c r="R10" s="34"/>
      <c r="S10" s="617"/>
      <c r="T10" s="19">
        <f t="shared" si="0"/>
        <v>0</v>
      </c>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row>
    <row r="11" spans="1:78" ht="17.25" customHeight="1">
      <c r="A11" s="224">
        <v>6</v>
      </c>
      <c r="B11" s="1157"/>
      <c r="C11" s="1157"/>
      <c r="D11" s="1157"/>
      <c r="E11" s="1157"/>
      <c r="F11" s="1157"/>
      <c r="G11" s="1202"/>
      <c r="H11" s="1204"/>
      <c r="I11" s="1202"/>
      <c r="J11" s="1204"/>
      <c r="K11" s="1384"/>
      <c r="L11" s="1386"/>
      <c r="M11" s="625"/>
      <c r="N11" s="1752"/>
      <c r="O11" s="1753"/>
      <c r="P11" s="1754"/>
      <c r="Q11" s="550"/>
      <c r="R11" s="34"/>
      <c r="S11" s="617"/>
      <c r="T11" s="19">
        <f t="shared" si="0"/>
        <v>0</v>
      </c>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row>
    <row r="12" spans="1:78" ht="17.25" customHeight="1">
      <c r="A12" s="224">
        <v>7</v>
      </c>
      <c r="B12" s="1157"/>
      <c r="C12" s="1157"/>
      <c r="D12" s="1157"/>
      <c r="E12" s="1157"/>
      <c r="F12" s="1157"/>
      <c r="G12" s="1202"/>
      <c r="H12" s="1204"/>
      <c r="I12" s="1202"/>
      <c r="J12" s="1204"/>
      <c r="K12" s="1384"/>
      <c r="L12" s="1386"/>
      <c r="M12" s="625"/>
      <c r="N12" s="1752"/>
      <c r="O12" s="1753"/>
      <c r="P12" s="1754"/>
      <c r="Q12" s="550"/>
      <c r="R12" s="34"/>
      <c r="S12" s="617"/>
      <c r="T12" s="19">
        <f t="shared" si="0"/>
        <v>0</v>
      </c>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row>
    <row r="13" spans="1:78" ht="17.25" customHeight="1">
      <c r="A13" s="224">
        <v>8</v>
      </c>
      <c r="B13" s="1157"/>
      <c r="C13" s="1157"/>
      <c r="D13" s="1157"/>
      <c r="E13" s="1157"/>
      <c r="F13" s="1157"/>
      <c r="G13" s="1202"/>
      <c r="H13" s="1204"/>
      <c r="I13" s="1202"/>
      <c r="J13" s="1204"/>
      <c r="K13" s="1384"/>
      <c r="L13" s="1386"/>
      <c r="M13" s="625"/>
      <c r="N13" s="1752"/>
      <c r="O13" s="1753"/>
      <c r="P13" s="1754"/>
      <c r="Q13" s="550"/>
      <c r="R13" s="34"/>
      <c r="S13" s="617"/>
      <c r="T13" s="19">
        <f t="shared" si="0"/>
        <v>0</v>
      </c>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row>
    <row r="14" spans="1:78" ht="17.25" customHeight="1">
      <c r="A14" s="224">
        <v>9</v>
      </c>
      <c r="B14" s="1157"/>
      <c r="C14" s="1157"/>
      <c r="D14" s="1157"/>
      <c r="E14" s="1157"/>
      <c r="F14" s="1157"/>
      <c r="G14" s="1202"/>
      <c r="H14" s="1204"/>
      <c r="I14" s="1202"/>
      <c r="J14" s="1204"/>
      <c r="K14" s="1384"/>
      <c r="L14" s="1386"/>
      <c r="M14" s="625"/>
      <c r="N14" s="1752"/>
      <c r="O14" s="1753"/>
      <c r="P14" s="1754"/>
      <c r="Q14" s="550"/>
      <c r="R14" s="34"/>
      <c r="S14" s="617"/>
      <c r="T14" s="19">
        <f t="shared" si="0"/>
        <v>0</v>
      </c>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row>
    <row r="15" spans="1:78" ht="17.25" customHeight="1" thickBot="1">
      <c r="A15" s="225">
        <v>10</v>
      </c>
      <c r="B15" s="1157"/>
      <c r="C15" s="1157"/>
      <c r="D15" s="1157"/>
      <c r="E15" s="1157"/>
      <c r="F15" s="1157"/>
      <c r="G15" s="1202"/>
      <c r="H15" s="1204"/>
      <c r="I15" s="1202"/>
      <c r="J15" s="1204"/>
      <c r="K15" s="1384"/>
      <c r="L15" s="1386"/>
      <c r="M15" s="625"/>
      <c r="N15" s="1752"/>
      <c r="O15" s="1753"/>
      <c r="P15" s="1754"/>
      <c r="Q15" s="552"/>
      <c r="R15" s="176"/>
      <c r="S15" s="623"/>
      <c r="T15" s="19">
        <f t="shared" si="0"/>
        <v>0</v>
      </c>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row>
    <row r="16" spans="1:78" ht="27" customHeight="1" thickBot="1">
      <c r="A16" s="1143" t="s">
        <v>270</v>
      </c>
      <c r="B16" s="1144"/>
      <c r="C16" s="1144"/>
      <c r="D16" s="1144"/>
      <c r="E16" s="1144"/>
      <c r="F16" s="1144"/>
      <c r="G16" s="1144"/>
      <c r="H16" s="1144"/>
      <c r="I16" s="1144"/>
      <c r="J16" s="1144"/>
      <c r="K16" s="1144"/>
      <c r="L16" s="215">
        <f>SUM(Q6:Q15)</f>
        <v>0</v>
      </c>
      <c r="M16" s="1188" t="s">
        <v>325</v>
      </c>
      <c r="N16" s="1188"/>
      <c r="O16" s="1188"/>
      <c r="P16" s="1189"/>
      <c r="Q16" s="216">
        <f>IF(L16&gt;10,10,L16)</f>
        <v>0</v>
      </c>
      <c r="R16" s="238">
        <f>IF(SUM(R6:R15)&gt;10,10,SUM(R6:R15))</f>
        <v>0</v>
      </c>
      <c r="S16" s="626"/>
      <c r="T16" s="19">
        <f>SUM(T6:T15)</f>
        <v>0</v>
      </c>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row>
    <row r="17" spans="1:78" ht="33" customHeight="1">
      <c r="A17" s="1507" t="s">
        <v>31</v>
      </c>
      <c r="B17" s="1508"/>
      <c r="C17" s="1508"/>
      <c r="D17" s="1508"/>
      <c r="E17" s="1508"/>
      <c r="F17" s="1508"/>
      <c r="G17" s="1508"/>
      <c r="H17" s="1430" t="s">
        <v>32</v>
      </c>
      <c r="I17" s="1430"/>
      <c r="J17" s="1431">
        <f>P2</f>
        <v>0</v>
      </c>
      <c r="K17" s="1432"/>
      <c r="L17" s="1432"/>
      <c r="M17" s="1432"/>
      <c r="N17" s="1430" t="s">
        <v>33</v>
      </c>
      <c r="O17" s="1430"/>
      <c r="P17" s="1430"/>
      <c r="Q17" s="1432">
        <f>C2</f>
        <v>0</v>
      </c>
      <c r="R17" s="1432"/>
      <c r="S17" s="1506"/>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row>
    <row r="18" spans="1:78" ht="33" customHeight="1" thickBot="1">
      <c r="A18" s="1437">
        <f>'فرم الف'!A27</f>
        <v>0</v>
      </c>
      <c r="B18" s="1425"/>
      <c r="C18" s="1425"/>
      <c r="D18" s="1425"/>
      <c r="E18" s="1425"/>
      <c r="F18" s="1425"/>
      <c r="G18" s="1425"/>
      <c r="H18" s="1425">
        <f>'فرم الف'!E27</f>
        <v>0</v>
      </c>
      <c r="I18" s="1425"/>
      <c r="J18" s="1425"/>
      <c r="K18" s="1425"/>
      <c r="L18" s="1425"/>
      <c r="M18" s="1425"/>
      <c r="N18" s="1425" t="str">
        <f>'فرم الف'!J27</f>
        <v/>
      </c>
      <c r="O18" s="1425"/>
      <c r="P18" s="1425"/>
      <c r="Q18" s="1425"/>
      <c r="R18" s="1425"/>
      <c r="S18" s="1426"/>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row>
    <row r="19" spans="1:78" ht="20.25" customHeight="1">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row>
    <row r="20" spans="1:7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row>
    <row r="21" spans="1:78" ht="17.25" customHeight="1">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row>
    <row r="22" spans="1:78" ht="20.25" customHeight="1">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row>
    <row r="23" spans="1:7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row>
    <row r="24" spans="1:78" ht="17.25" customHeight="1">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row>
    <row r="25" spans="1:78" ht="20.25" customHeight="1">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row>
    <row r="26" spans="1:7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row>
    <row r="27" spans="1:78" ht="17.25" customHeight="1">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row>
    <row r="28" spans="1:78" ht="20.25" customHeight="1">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row>
    <row r="29" spans="1:7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row>
    <row r="30" spans="1:78" ht="17.25" customHeight="1">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row>
    <row r="31" spans="1:78" ht="20.25" customHeight="1">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row>
    <row r="32" spans="1:7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row>
    <row r="33" spans="24:78" ht="17.25" customHeight="1">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row>
    <row r="34" spans="24:78" ht="20.25" customHeight="1">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row>
    <row r="35" spans="24:7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row>
    <row r="36" spans="24:78" ht="17.25" customHeight="1">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row>
    <row r="37" spans="24:78" ht="20.25" customHeight="1">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row>
    <row r="38" spans="24:7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row>
    <row r="39" spans="24:78" ht="17.25" customHeight="1">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row>
    <row r="40" spans="24:78" ht="20.25" customHeight="1">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row>
    <row r="41" spans="24:7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row>
    <row r="42" spans="24:78" ht="17.25" customHeight="1">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row>
    <row r="43" spans="24:78" ht="20.25" customHeight="1">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row>
    <row r="44" spans="24:7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row>
    <row r="45" spans="24:78" ht="17.25" customHeight="1">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row>
    <row r="46" spans="24:78" ht="20.25" customHeight="1">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row>
    <row r="47" spans="24:7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row>
    <row r="48" spans="24:78" ht="17.25" customHeight="1">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row>
    <row r="49" spans="24:78" ht="20.25" customHeight="1">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row>
    <row r="50" spans="24:7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row>
    <row r="51" spans="24:78" ht="17.25" customHeight="1">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row>
    <row r="52" spans="24:78" ht="20.25" customHeight="1">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row>
    <row r="53" spans="24:7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row>
    <row r="54" spans="24:78" ht="17.25" customHeight="1">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row>
    <row r="55" spans="24:78" ht="20.25" customHeight="1">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row>
    <row r="56" spans="24:7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row>
    <row r="57" spans="24:78" ht="17.25" customHeight="1">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row>
    <row r="58" spans="24:78" ht="20.25" customHeight="1">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row>
    <row r="59" spans="24:7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row>
    <row r="60" spans="24:7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row>
    <row r="61" spans="24:7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row>
    <row r="62" spans="24:78" ht="26.25" customHeight="1">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row>
    <row r="63" spans="24:78" ht="26.25" customHeight="1">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row>
  </sheetData>
  <sheetProtection algorithmName="SHA-512" hashValue="gWgjyJDpKh/JpWTouDs0tX8X7zviYHwTq0/jTTPts8p/ZFL5V5NZ+mU4dqCo4r3gedly0RMwd0WuxC8QJfZNfA==" saltValue="qLdy0kgDKfs4DociTkqYVA==" spinCount="100000" sheet="1" objects="1" scenarios="1" formatCells="0" formatRows="0" selectLockedCells="1"/>
  <mergeCells count="79">
    <mergeCell ref="A4:A5"/>
    <mergeCell ref="B4:F5"/>
    <mergeCell ref="Q4:S4"/>
    <mergeCell ref="Q3:S3"/>
    <mergeCell ref="A1:B2"/>
    <mergeCell ref="C1:G1"/>
    <mergeCell ref="H1:K1"/>
    <mergeCell ref="L1:O1"/>
    <mergeCell ref="P1:S1"/>
    <mergeCell ref="C2:G2"/>
    <mergeCell ref="H2:K2"/>
    <mergeCell ref="L2:O2"/>
    <mergeCell ref="P2:S2"/>
    <mergeCell ref="A3:P3"/>
    <mergeCell ref="B8:F8"/>
    <mergeCell ref="B9:F9"/>
    <mergeCell ref="G8:H8"/>
    <mergeCell ref="I8:J8"/>
    <mergeCell ref="B6:F6"/>
    <mergeCell ref="B7:F7"/>
    <mergeCell ref="G6:H6"/>
    <mergeCell ref="I6:J6"/>
    <mergeCell ref="B12:F12"/>
    <mergeCell ref="B13:F13"/>
    <mergeCell ref="G12:H12"/>
    <mergeCell ref="I12:J12"/>
    <mergeCell ref="B10:F10"/>
    <mergeCell ref="B11:F11"/>
    <mergeCell ref="G10:H10"/>
    <mergeCell ref="I10:J10"/>
    <mergeCell ref="A18:G18"/>
    <mergeCell ref="H18:M18"/>
    <mergeCell ref="N18:S18"/>
    <mergeCell ref="N4:P5"/>
    <mergeCell ref="M4:M5"/>
    <mergeCell ref="K4:L5"/>
    <mergeCell ref="I4:J5"/>
    <mergeCell ref="G4:H5"/>
    <mergeCell ref="A17:G17"/>
    <mergeCell ref="H17:I17"/>
    <mergeCell ref="J17:M17"/>
    <mergeCell ref="N17:P17"/>
    <mergeCell ref="Q17:S17"/>
    <mergeCell ref="B14:F14"/>
    <mergeCell ref="B15:F15"/>
    <mergeCell ref="G14:H14"/>
    <mergeCell ref="K6:L6"/>
    <mergeCell ref="N6:P6"/>
    <mergeCell ref="G7:H7"/>
    <mergeCell ref="I7:J7"/>
    <mergeCell ref="K7:L7"/>
    <mergeCell ref="N7:P7"/>
    <mergeCell ref="K8:L8"/>
    <mergeCell ref="N8:P8"/>
    <mergeCell ref="G9:H9"/>
    <mergeCell ref="I9:J9"/>
    <mergeCell ref="K9:L9"/>
    <mergeCell ref="N9:P9"/>
    <mergeCell ref="N10:P10"/>
    <mergeCell ref="G11:H11"/>
    <mergeCell ref="I11:J11"/>
    <mergeCell ref="K11:L11"/>
    <mergeCell ref="N11:P11"/>
    <mergeCell ref="K10:L10"/>
    <mergeCell ref="M16:P16"/>
    <mergeCell ref="A16:K16"/>
    <mergeCell ref="K14:L14"/>
    <mergeCell ref="N14:P14"/>
    <mergeCell ref="G15:H15"/>
    <mergeCell ref="I15:J15"/>
    <mergeCell ref="K15:L15"/>
    <mergeCell ref="N15:P15"/>
    <mergeCell ref="I14:J14"/>
    <mergeCell ref="K12:L12"/>
    <mergeCell ref="N12:P12"/>
    <mergeCell ref="G13:H13"/>
    <mergeCell ref="I13:J13"/>
    <mergeCell ref="K13:L13"/>
    <mergeCell ref="N13:P13"/>
  </mergeCells>
  <conditionalFormatting sqref="B6:P6">
    <cfRule type="containsBlanks" dxfId="85" priority="3">
      <formula>LEN(TRIM(B6))=0</formula>
    </cfRule>
  </conditionalFormatting>
  <conditionalFormatting sqref="B7:P15">
    <cfRule type="containsBlanks" dxfId="84" priority="1">
      <formula>LEN(TRIM(B7))=0</formula>
    </cfRule>
  </conditionalFormatting>
  <dataValidations count="2">
    <dataValidation type="decimal" allowBlank="1" showInputMessage="1" showErrorMessage="1" errorTitle="خطا در ورود امتياز" error="لطفا يك عدد بين صفر و 6 وارد نماييد" sqref="S6:S15">
      <formula1>0</formula1>
      <formula2>6</formula2>
    </dataValidation>
    <dataValidation type="decimal" allowBlank="1" showInputMessage="1" showErrorMessage="1" errorTitle="خطا در ورود امتياز" error="لطفا يك عدد بين صفر و 6 وارد نماييد" promptTitle="توجه:" prompt="حداکثر تا 6 امتیاز در واحد کار" sqref="Q6:R15">
      <formula1>0</formula1>
      <formula2>6</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Base'!$G$47:$G$50</xm:f>
          </x14:formula1>
          <xm:sqref>G6:H15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1:CB51"/>
  <sheetViews>
    <sheetView showGridLines="0" rightToLeft="1" view="pageBreakPreview" zoomScaleNormal="100" zoomScaleSheetLayoutView="100" workbookViewId="0">
      <pane ySplit="5" topLeftCell="A6" activePane="bottomLeft" state="frozen"/>
      <selection pane="bottomLeft" activeCell="M10" sqref="M10"/>
    </sheetView>
  </sheetViews>
  <sheetFormatPr defaultColWidth="9.140625" defaultRowHeight="15"/>
  <cols>
    <col min="1" max="1" width="2.85546875" style="11" customWidth="1"/>
    <col min="2" max="2" width="3.7109375" style="11" customWidth="1"/>
    <col min="3" max="7" width="4.140625" style="11" customWidth="1"/>
    <col min="8" max="8" width="6.5703125" style="11" customWidth="1"/>
    <col min="9" max="11" width="12.85546875" style="11" customWidth="1"/>
    <col min="12" max="12" width="8.85546875" style="11" customWidth="1"/>
    <col min="13" max="13" width="5.7109375" style="11" customWidth="1"/>
    <col min="14" max="14" width="6.85546875" style="11" customWidth="1"/>
    <col min="15" max="17" width="5.85546875" style="11" customWidth="1"/>
    <col min="18" max="18" width="6.85546875" style="11" customWidth="1"/>
    <col min="19" max="19" width="7.140625" style="11" customWidth="1"/>
    <col min="20" max="21" width="3.28515625" style="11" customWidth="1"/>
    <col min="22" max="16384" width="9.140625" style="11"/>
  </cols>
  <sheetData>
    <row r="1" spans="1:80" ht="15" customHeight="1">
      <c r="A1" s="1109" t="s">
        <v>550</v>
      </c>
      <c r="B1" s="1110"/>
      <c r="C1" s="1093" t="s">
        <v>0</v>
      </c>
      <c r="D1" s="1091"/>
      <c r="E1" s="1091"/>
      <c r="F1" s="1091"/>
      <c r="G1" s="1091"/>
      <c r="H1" s="1091"/>
      <c r="I1" s="1091"/>
      <c r="J1" s="1091" t="s">
        <v>1</v>
      </c>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5"/>
      <c r="I2" s="1095"/>
      <c r="J2" s="1092">
        <f>'فرم الف'!A9</f>
        <v>0</v>
      </c>
      <c r="K2" s="1092"/>
      <c r="L2" s="1092"/>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118" t="s">
        <v>551</v>
      </c>
      <c r="B3" s="1118"/>
      <c r="C3" s="1118"/>
      <c r="D3" s="1118"/>
      <c r="E3" s="1118"/>
      <c r="F3" s="1118"/>
      <c r="G3" s="1118"/>
      <c r="H3" s="1118"/>
      <c r="I3" s="1118"/>
      <c r="J3" s="1118"/>
      <c r="K3" s="1118"/>
      <c r="L3" s="1118"/>
      <c r="M3" s="1118"/>
      <c r="N3" s="1118"/>
      <c r="O3" s="1118"/>
      <c r="P3" s="1118"/>
      <c r="Q3" s="1118"/>
      <c r="R3" s="1118"/>
      <c r="S3" s="1119" t="s">
        <v>552</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1274</v>
      </c>
      <c r="C4" s="1123"/>
      <c r="D4" s="1123"/>
      <c r="E4" s="1123"/>
      <c r="F4" s="1123"/>
      <c r="G4" s="1124"/>
      <c r="H4" s="1128" t="s">
        <v>1275</v>
      </c>
      <c r="I4" s="1130" t="s">
        <v>553</v>
      </c>
      <c r="J4" s="1130"/>
      <c r="K4" s="1136"/>
      <c r="L4" s="1128" t="s">
        <v>1271</v>
      </c>
      <c r="M4" s="1138" t="s">
        <v>761</v>
      </c>
      <c r="N4" s="1136" t="s">
        <v>1270</v>
      </c>
      <c r="O4" s="1122" t="s">
        <v>1272</v>
      </c>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c r="A5" s="1121"/>
      <c r="B5" s="1125"/>
      <c r="C5" s="1126"/>
      <c r="D5" s="1126"/>
      <c r="E5" s="1126"/>
      <c r="F5" s="1126"/>
      <c r="G5" s="1127"/>
      <c r="H5" s="1129"/>
      <c r="I5" s="1132"/>
      <c r="J5" s="1132"/>
      <c r="K5" s="1137"/>
      <c r="L5" s="1129"/>
      <c r="M5" s="1139"/>
      <c r="N5" s="1137"/>
      <c r="O5" s="1131"/>
      <c r="P5" s="1132"/>
      <c r="Q5" s="847" t="s">
        <v>1268</v>
      </c>
      <c r="R5" s="826" t="s">
        <v>1163</v>
      </c>
      <c r="S5" s="826"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28.5" customHeight="1">
      <c r="A6" s="151">
        <v>1</v>
      </c>
      <c r="B6" s="1106"/>
      <c r="C6" s="1107"/>
      <c r="D6" s="1107"/>
      <c r="E6" s="1107"/>
      <c r="F6" s="1107"/>
      <c r="G6" s="1108"/>
      <c r="H6" s="834"/>
      <c r="I6" s="1140"/>
      <c r="J6" s="1141"/>
      <c r="K6" s="1142"/>
      <c r="L6" s="831"/>
      <c r="M6" s="830"/>
      <c r="N6" s="832"/>
      <c r="O6" s="1089"/>
      <c r="P6" s="1090"/>
      <c r="Q6" s="808">
        <f ca="1">IF(OR(EXACT(M6,""),EXACT(N6,"")),0,IF(R6='Data Base'!$Q$79,0,IF(I6='Data Base'!$Q$46,'Data Base'!$R$46*(IF(EXACT(M6,'Data Base'!$E$18),INDIRECT(CONCATENATE("'Data Base'!$C",N6)),INDIRECT(CONCATENATE("'Data Base'!$D",N6)))),IF(I6='Data Base'!$Q$47,(IF(H6/'Data Base'!$R$61*'Data Base'!$R$47*(IF(EXACT(M6,'Data Base'!$E$18),INDIRECT(CONCATENATE("'Data Base'!$C",N6)),INDIRECT(CONCATENATE("'Data Base'!$D",N6))))&gt;4,4,H6/'Data Base'!$R$61*'Data Base'!$R$47*(IF(EXACT(M6,'Data Base'!$E$18),INDIRECT(CONCATENATE("'Data Base'!$C",N6)),INDIRECT(CONCATENATE("'Data Base'!$D",N6)))))),IF(I6='Data Base'!$Q$48,(IF(H6/'Data Base'!$R$61*'Data Base'!$R$48*(IF(EXACT(M6,'Data Base'!$E$18),INDIRECT(CONCATENATE("'Data Base'!$C",N6)),INDIRECT(CONCATENATE("'Data Base'!$D",N6))))&gt;2,2,H6/'Data Base'!$R$61*'Data Base'!$R$48*(IF(EXACT(M6,'Data Base'!$E$18),INDIRECT(CONCATENATE("'Data Base'!$C",N6)),INDIRECT(CONCATENATE("'Data Base'!$D",N6)))))),IF(I6='Data Base'!$Q$49,'Data Base'!$R$49*(IF(EXACT(M6,'Data Base'!$E$18),INDIRECT(CONCATENATE("'Data Base'!$C",N6)),INDIRECT(CONCATENATE("'Data Base'!$D",N6)))),IF(I6='Data Base'!$Q$50,'Data Base'!$R$50*(IF(EXACT(M6,'Data Base'!$E$18),INDIRECT(CONCATENATE("'Data Base'!$C",N6)),INDIRECT(CONCATENATE("'Data Base'!$D",N6)))),IF(I6='Data Base'!$Q$51,'Data Base'!$R$51*(IF(EXACT(M6,'Data Base'!$E$18),INDIRECT(CONCATENATE("'Data Base'!$C",N6)),INDIRECT(CONCATENATE("'Data Base'!$D",N6)))),IF(I6='Data Base'!$Q$52,'Data Base'!$R$52*(IF(EXACT(M6,'Data Base'!$E$18),INDIRECT(CONCATENATE("'Data Base'!$C",N6)),INDIRECT(CONCATENATE("'Data Base'!$D",N6)))),IF(I6='Data Base'!$Q$53,'Data Base'!$R$53*(IF(EXACT(M6,'Data Base'!$E$18),INDIRECT(CONCATENATE("'Data Base'!$C",N6)),INDIRECT(CONCATENATE("'Data Base'!$D",N6)))),IF(I6='Data Base'!$Q$54,'Data Base'!$R$54*(IF(EXACT(M6,'Data Base'!$E$18),INDIRECT(CONCATENATE("'Data Base'!$C",N6)),INDIRECT(CONCATENATE("'Data Base'!$D",N6)))),)))))))))))</f>
        <v>0</v>
      </c>
      <c r="R6" s="844"/>
      <c r="S6" s="765"/>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8.5" customHeight="1">
      <c r="A7" s="152">
        <v>2</v>
      </c>
      <c r="B7" s="1106"/>
      <c r="C7" s="1107"/>
      <c r="D7" s="1107"/>
      <c r="E7" s="1107"/>
      <c r="F7" s="1107"/>
      <c r="G7" s="1108"/>
      <c r="H7" s="834"/>
      <c r="I7" s="1088"/>
      <c r="J7" s="1088"/>
      <c r="K7" s="1088"/>
      <c r="L7" s="829"/>
      <c r="M7" s="42"/>
      <c r="N7" s="833"/>
      <c r="O7" s="1087"/>
      <c r="P7" s="1087"/>
      <c r="Q7" s="809">
        <f ca="1">IF(OR(EXACT(M7,""),EXACT(N7,"")),0,IF(R7='Data Base'!$Q$79,0,IF(I7='Data Base'!$Q$46,'Data Base'!$R$46*(IF(EXACT(M7,'Data Base'!$E$18),INDIRECT(CONCATENATE("'Data Base'!$C",N7)),INDIRECT(CONCATENATE("'Data Base'!$D",N7)))),IF(I7='Data Base'!$Q$47,(IF(H7/'Data Base'!$R$61*'Data Base'!$R$47*(IF(EXACT(M7,'Data Base'!$E$18),INDIRECT(CONCATENATE("'Data Base'!$C",N7)),INDIRECT(CONCATENATE("'Data Base'!$D",N7))))&gt;4,4,H7/'Data Base'!$R$61*'Data Base'!$R$47*(IF(EXACT(M7,'Data Base'!$E$18),INDIRECT(CONCATENATE("'Data Base'!$C",N7)),INDIRECT(CONCATENATE("'Data Base'!$D",N7)))))),IF(I7='Data Base'!$Q$48,(IF(H7/'Data Base'!$R$61*'Data Base'!$R$48*(IF(EXACT(M7,'Data Base'!$E$18),INDIRECT(CONCATENATE("'Data Base'!$C",N7)),INDIRECT(CONCATENATE("'Data Base'!$D",N7))))&gt;2,2,H7/'Data Base'!$R$61*'Data Base'!$R$48*(IF(EXACT(M7,'Data Base'!$E$18),INDIRECT(CONCATENATE("'Data Base'!$C",N7)),INDIRECT(CONCATENATE("'Data Base'!$D",N7)))))),IF(I7='Data Base'!$Q$49,'Data Base'!$R$49*(IF(EXACT(M7,'Data Base'!$E$18),INDIRECT(CONCATENATE("'Data Base'!$C",N7)),INDIRECT(CONCATENATE("'Data Base'!$D",N7)))),IF(I7='Data Base'!$Q$50,'Data Base'!$R$50*(IF(EXACT(M7,'Data Base'!$E$18),INDIRECT(CONCATENATE("'Data Base'!$C",N7)),INDIRECT(CONCATENATE("'Data Base'!$D",N7)))),IF(I7='Data Base'!$Q$51,'Data Base'!$R$51*(IF(EXACT(M7,'Data Base'!$E$18),INDIRECT(CONCATENATE("'Data Base'!$C",N7)),INDIRECT(CONCATENATE("'Data Base'!$D",N7)))),IF(I7='Data Base'!$Q$52,'Data Base'!$R$52*(IF(EXACT(M7,'Data Base'!$E$18),INDIRECT(CONCATENATE("'Data Base'!$C",N7)),INDIRECT(CONCATENATE("'Data Base'!$D",N7)))),IF(I7='Data Base'!$Q$53,'Data Base'!$R$53*(IF(EXACT(M7,'Data Base'!$E$18),INDIRECT(CONCATENATE("'Data Base'!$C",N7)),INDIRECT(CONCATENATE("'Data Base'!$D",N7)))),IF(I7='Data Base'!$Q$54,'Data Base'!$R$54*(IF(EXACT(M7,'Data Base'!$E$18),INDIRECT(CONCATENATE("'Data Base'!$C",N7)),INDIRECT(CONCATENATE("'Data Base'!$D",N7)))),)))))))))))</f>
        <v>0</v>
      </c>
      <c r="R7" s="845"/>
      <c r="S7" s="767"/>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8.5" customHeight="1">
      <c r="A8" s="152">
        <v>3</v>
      </c>
      <c r="B8" s="1106"/>
      <c r="C8" s="1107"/>
      <c r="D8" s="1107"/>
      <c r="E8" s="1107"/>
      <c r="F8" s="1107"/>
      <c r="G8" s="1108"/>
      <c r="H8" s="834"/>
      <c r="I8" s="1088"/>
      <c r="J8" s="1088"/>
      <c r="K8" s="1088"/>
      <c r="L8" s="829"/>
      <c r="M8" s="42"/>
      <c r="N8" s="833"/>
      <c r="O8" s="1087"/>
      <c r="P8" s="1087"/>
      <c r="Q8" s="809">
        <f ca="1">IF(OR(EXACT(M8,""),EXACT(N8,"")),0,IF(R8='Data Base'!$Q$79,0,IF(I8='Data Base'!$Q$46,'Data Base'!$R$46*(IF(EXACT(M8,'Data Base'!$E$18),INDIRECT(CONCATENATE("'Data Base'!$C",N8)),INDIRECT(CONCATENATE("'Data Base'!$D",N8)))),IF(I8='Data Base'!$Q$47,(IF(H8/'Data Base'!$R$61*'Data Base'!$R$47*(IF(EXACT(M8,'Data Base'!$E$18),INDIRECT(CONCATENATE("'Data Base'!$C",N8)),INDIRECT(CONCATENATE("'Data Base'!$D",N8))))&gt;4,4,H8/'Data Base'!$R$61*'Data Base'!$R$47*(IF(EXACT(M8,'Data Base'!$E$18),INDIRECT(CONCATENATE("'Data Base'!$C",N8)),INDIRECT(CONCATENATE("'Data Base'!$D",N8)))))),IF(I8='Data Base'!$Q$48,(IF(H8/'Data Base'!$R$61*'Data Base'!$R$48*(IF(EXACT(M8,'Data Base'!$E$18),INDIRECT(CONCATENATE("'Data Base'!$C",N8)),INDIRECT(CONCATENATE("'Data Base'!$D",N8))))&gt;2,2,H8/'Data Base'!$R$61*'Data Base'!$R$48*(IF(EXACT(M8,'Data Base'!$E$18),INDIRECT(CONCATENATE("'Data Base'!$C",N8)),INDIRECT(CONCATENATE("'Data Base'!$D",N8)))))),IF(I8='Data Base'!$Q$49,'Data Base'!$R$49*(IF(EXACT(M8,'Data Base'!$E$18),INDIRECT(CONCATENATE("'Data Base'!$C",N8)),INDIRECT(CONCATENATE("'Data Base'!$D",N8)))),IF(I8='Data Base'!$Q$50,'Data Base'!$R$50*(IF(EXACT(M8,'Data Base'!$E$18),INDIRECT(CONCATENATE("'Data Base'!$C",N8)),INDIRECT(CONCATENATE("'Data Base'!$D",N8)))),IF(I8='Data Base'!$Q$51,'Data Base'!$R$51*(IF(EXACT(M8,'Data Base'!$E$18),INDIRECT(CONCATENATE("'Data Base'!$C",N8)),INDIRECT(CONCATENATE("'Data Base'!$D",N8)))),IF(I8='Data Base'!$Q$52,'Data Base'!$R$52*(IF(EXACT(M8,'Data Base'!$E$18),INDIRECT(CONCATENATE("'Data Base'!$C",N8)),INDIRECT(CONCATENATE("'Data Base'!$D",N8)))),IF(I8='Data Base'!$Q$53,'Data Base'!$R$53*(IF(EXACT(M8,'Data Base'!$E$18),INDIRECT(CONCATENATE("'Data Base'!$C",N8)),INDIRECT(CONCATENATE("'Data Base'!$D",N8)))),IF(I8='Data Base'!$Q$54,'Data Base'!$R$54*(IF(EXACT(M8,'Data Base'!$E$18),INDIRECT(CONCATENATE("'Data Base'!$C",N8)),INDIRECT(CONCATENATE("'Data Base'!$D",N8)))),)))))))))))</f>
        <v>0</v>
      </c>
      <c r="R8" s="845"/>
      <c r="S8" s="767"/>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28.5" customHeight="1">
      <c r="A9" s="152">
        <v>4</v>
      </c>
      <c r="B9" s="1106"/>
      <c r="C9" s="1107"/>
      <c r="D9" s="1107"/>
      <c r="E9" s="1107"/>
      <c r="F9" s="1107"/>
      <c r="G9" s="1108"/>
      <c r="H9" s="834"/>
      <c r="I9" s="1088"/>
      <c r="J9" s="1088"/>
      <c r="K9" s="1088"/>
      <c r="L9" s="829"/>
      <c r="M9" s="42"/>
      <c r="N9" s="833"/>
      <c r="O9" s="1087"/>
      <c r="P9" s="1087"/>
      <c r="Q9" s="809">
        <f ca="1">IF(OR(EXACT(M9,""),EXACT(N9,"")),0,IF(R9='Data Base'!$Q$79,0,IF(I9='Data Base'!$Q$46,'Data Base'!$R$46*(IF(EXACT(M9,'Data Base'!$E$18),INDIRECT(CONCATENATE("'Data Base'!$C",N9)),INDIRECT(CONCATENATE("'Data Base'!$D",N9)))),IF(I9='Data Base'!$Q$47,(IF(H9/'Data Base'!$R$61*'Data Base'!$R$47*(IF(EXACT(M9,'Data Base'!$E$18),INDIRECT(CONCATENATE("'Data Base'!$C",N9)),INDIRECT(CONCATENATE("'Data Base'!$D",N9))))&gt;4,4,H9/'Data Base'!$R$61*'Data Base'!$R$47*(IF(EXACT(M9,'Data Base'!$E$18),INDIRECT(CONCATENATE("'Data Base'!$C",N9)),INDIRECT(CONCATENATE("'Data Base'!$D",N9)))))),IF(I9='Data Base'!$Q$48,(IF(H9/'Data Base'!$R$61*'Data Base'!$R$48*(IF(EXACT(M9,'Data Base'!$E$18),INDIRECT(CONCATENATE("'Data Base'!$C",N9)),INDIRECT(CONCATENATE("'Data Base'!$D",N9))))&gt;2,2,H9/'Data Base'!$R$61*'Data Base'!$R$48*(IF(EXACT(M9,'Data Base'!$E$18),INDIRECT(CONCATENATE("'Data Base'!$C",N9)),INDIRECT(CONCATENATE("'Data Base'!$D",N9)))))),IF(I9='Data Base'!$Q$49,'Data Base'!$R$49*(IF(EXACT(M9,'Data Base'!$E$18),INDIRECT(CONCATENATE("'Data Base'!$C",N9)),INDIRECT(CONCATENATE("'Data Base'!$D",N9)))),IF(I9='Data Base'!$Q$50,'Data Base'!$R$50*(IF(EXACT(M9,'Data Base'!$E$18),INDIRECT(CONCATENATE("'Data Base'!$C",N9)),INDIRECT(CONCATENATE("'Data Base'!$D",N9)))),IF(I9='Data Base'!$Q$51,'Data Base'!$R$51*(IF(EXACT(M9,'Data Base'!$E$18),INDIRECT(CONCATENATE("'Data Base'!$C",N9)),INDIRECT(CONCATENATE("'Data Base'!$D",N9)))),IF(I9='Data Base'!$Q$52,'Data Base'!$R$52*(IF(EXACT(M9,'Data Base'!$E$18),INDIRECT(CONCATENATE("'Data Base'!$C",N9)),INDIRECT(CONCATENATE("'Data Base'!$D",N9)))),IF(I9='Data Base'!$Q$53,'Data Base'!$R$53*(IF(EXACT(M9,'Data Base'!$E$18),INDIRECT(CONCATENATE("'Data Base'!$C",N9)),INDIRECT(CONCATENATE("'Data Base'!$D",N9)))),IF(I9='Data Base'!$Q$54,'Data Base'!$R$54*(IF(EXACT(M9,'Data Base'!$E$18),INDIRECT(CONCATENATE("'Data Base'!$C",N9)),INDIRECT(CONCATENATE("'Data Base'!$D",N9)))),)))))))))))</f>
        <v>0</v>
      </c>
      <c r="R9" s="845"/>
      <c r="S9" s="767"/>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8.5" customHeight="1">
      <c r="A10" s="152">
        <v>5</v>
      </c>
      <c r="B10" s="1106"/>
      <c r="C10" s="1107"/>
      <c r="D10" s="1107"/>
      <c r="E10" s="1107"/>
      <c r="F10" s="1107"/>
      <c r="G10" s="1108"/>
      <c r="H10" s="834"/>
      <c r="I10" s="1088"/>
      <c r="J10" s="1088"/>
      <c r="K10" s="1088"/>
      <c r="L10" s="829"/>
      <c r="M10" s="42"/>
      <c r="N10" s="833"/>
      <c r="O10" s="1087"/>
      <c r="P10" s="1087"/>
      <c r="Q10" s="809">
        <f ca="1">IF(OR(EXACT(M10,""),EXACT(N10,"")),0,IF(R10='Data Base'!$Q$79,0,IF(I10='Data Base'!$Q$46,'Data Base'!$R$46*(IF(EXACT(M10,'Data Base'!$E$18),INDIRECT(CONCATENATE("'Data Base'!$C",N10)),INDIRECT(CONCATENATE("'Data Base'!$D",N10)))),IF(I10='Data Base'!$Q$47,(IF(H10/'Data Base'!$R$61*'Data Base'!$R$47*(IF(EXACT(M10,'Data Base'!$E$18),INDIRECT(CONCATENATE("'Data Base'!$C",N10)),INDIRECT(CONCATENATE("'Data Base'!$D",N10))))&gt;4,4,H10/'Data Base'!$R$61*'Data Base'!$R$47*(IF(EXACT(M10,'Data Base'!$E$18),INDIRECT(CONCATENATE("'Data Base'!$C",N10)),INDIRECT(CONCATENATE("'Data Base'!$D",N10)))))),IF(I10='Data Base'!$Q$48,(IF(H10/'Data Base'!$R$61*'Data Base'!$R$48*(IF(EXACT(M10,'Data Base'!$E$18),INDIRECT(CONCATENATE("'Data Base'!$C",N10)),INDIRECT(CONCATENATE("'Data Base'!$D",N10))))&gt;2,2,H10/'Data Base'!$R$61*'Data Base'!$R$48*(IF(EXACT(M10,'Data Base'!$E$18),INDIRECT(CONCATENATE("'Data Base'!$C",N10)),INDIRECT(CONCATENATE("'Data Base'!$D",N10)))))),IF(I10='Data Base'!$Q$49,'Data Base'!$R$49*(IF(EXACT(M10,'Data Base'!$E$18),INDIRECT(CONCATENATE("'Data Base'!$C",N10)),INDIRECT(CONCATENATE("'Data Base'!$D",N10)))),IF(I10='Data Base'!$Q$50,'Data Base'!$R$50*(IF(EXACT(M10,'Data Base'!$E$18),INDIRECT(CONCATENATE("'Data Base'!$C",N10)),INDIRECT(CONCATENATE("'Data Base'!$D",N10)))),IF(I10='Data Base'!$Q$51,'Data Base'!$R$51*(IF(EXACT(M10,'Data Base'!$E$18),INDIRECT(CONCATENATE("'Data Base'!$C",N10)),INDIRECT(CONCATENATE("'Data Base'!$D",N10)))),IF(I10='Data Base'!$Q$52,'Data Base'!$R$52*(IF(EXACT(M10,'Data Base'!$E$18),INDIRECT(CONCATENATE("'Data Base'!$C",N10)),INDIRECT(CONCATENATE("'Data Base'!$D",N10)))),IF(I10='Data Base'!$Q$53,'Data Base'!$R$53*(IF(EXACT(M10,'Data Base'!$E$18),INDIRECT(CONCATENATE("'Data Base'!$C",N10)),INDIRECT(CONCATENATE("'Data Base'!$D",N10)))),IF(I10='Data Base'!$Q$54,'Data Base'!$R$54*(IF(EXACT(M10,'Data Base'!$E$18),INDIRECT(CONCATENATE("'Data Base'!$C",N10)),INDIRECT(CONCATENATE("'Data Base'!$D",N10)))),)))))))))))</f>
        <v>0</v>
      </c>
      <c r="R10" s="845"/>
      <c r="S10" s="767"/>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8.5" customHeight="1">
      <c r="A11" s="152">
        <v>6</v>
      </c>
      <c r="B11" s="1106"/>
      <c r="C11" s="1107"/>
      <c r="D11" s="1107"/>
      <c r="E11" s="1107"/>
      <c r="F11" s="1107"/>
      <c r="G11" s="1108"/>
      <c r="H11" s="834"/>
      <c r="I11" s="1088"/>
      <c r="J11" s="1088"/>
      <c r="K11" s="1088"/>
      <c r="L11" s="829"/>
      <c r="M11" s="42"/>
      <c r="N11" s="833"/>
      <c r="O11" s="1087"/>
      <c r="P11" s="1087"/>
      <c r="Q11" s="809">
        <f ca="1">IF(OR(EXACT(M11,""),EXACT(N11,"")),0,IF(R11='Data Base'!$Q$79,0,IF(I11='Data Base'!$Q$46,'Data Base'!$R$46*(IF(EXACT(M11,'Data Base'!$E$18),INDIRECT(CONCATENATE("'Data Base'!$C",N11)),INDIRECT(CONCATENATE("'Data Base'!$D",N11)))),IF(I11='Data Base'!$Q$47,(IF(H11/'Data Base'!$R$61*'Data Base'!$R$47*(IF(EXACT(M11,'Data Base'!$E$18),INDIRECT(CONCATENATE("'Data Base'!$C",N11)),INDIRECT(CONCATENATE("'Data Base'!$D",N11))))&gt;4,4,H11/'Data Base'!$R$61*'Data Base'!$R$47*(IF(EXACT(M11,'Data Base'!$E$18),INDIRECT(CONCATENATE("'Data Base'!$C",N11)),INDIRECT(CONCATENATE("'Data Base'!$D",N11)))))),IF(I11='Data Base'!$Q$48,(IF(H11/'Data Base'!$R$61*'Data Base'!$R$48*(IF(EXACT(M11,'Data Base'!$E$18),INDIRECT(CONCATENATE("'Data Base'!$C",N11)),INDIRECT(CONCATENATE("'Data Base'!$D",N11))))&gt;2,2,H11/'Data Base'!$R$61*'Data Base'!$R$48*(IF(EXACT(M11,'Data Base'!$E$18),INDIRECT(CONCATENATE("'Data Base'!$C",N11)),INDIRECT(CONCATENATE("'Data Base'!$D",N11)))))),IF(I11='Data Base'!$Q$49,'Data Base'!$R$49*(IF(EXACT(M11,'Data Base'!$E$18),INDIRECT(CONCATENATE("'Data Base'!$C",N11)),INDIRECT(CONCATENATE("'Data Base'!$D",N11)))),IF(I11='Data Base'!$Q$50,'Data Base'!$R$50*(IF(EXACT(M11,'Data Base'!$E$18),INDIRECT(CONCATENATE("'Data Base'!$C",N11)),INDIRECT(CONCATENATE("'Data Base'!$D",N11)))),IF(I11='Data Base'!$Q$51,'Data Base'!$R$51*(IF(EXACT(M11,'Data Base'!$E$18),INDIRECT(CONCATENATE("'Data Base'!$C",N11)),INDIRECT(CONCATENATE("'Data Base'!$D",N11)))),IF(I11='Data Base'!$Q$52,'Data Base'!$R$52*(IF(EXACT(M11,'Data Base'!$E$18),INDIRECT(CONCATENATE("'Data Base'!$C",N11)),INDIRECT(CONCATENATE("'Data Base'!$D",N11)))),IF(I11='Data Base'!$Q$53,'Data Base'!$R$53*(IF(EXACT(M11,'Data Base'!$E$18),INDIRECT(CONCATENATE("'Data Base'!$C",N11)),INDIRECT(CONCATENATE("'Data Base'!$D",N11)))),IF(I11='Data Base'!$Q$54,'Data Base'!$R$54*(IF(EXACT(M11,'Data Base'!$E$18),INDIRECT(CONCATENATE("'Data Base'!$C",N11)),INDIRECT(CONCATENATE("'Data Base'!$D",N11)))),)))))))))))</f>
        <v>0</v>
      </c>
      <c r="R11" s="845"/>
      <c r="S11" s="767"/>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8.5" customHeight="1">
      <c r="A12" s="152">
        <v>7</v>
      </c>
      <c r="B12" s="1106"/>
      <c r="C12" s="1107"/>
      <c r="D12" s="1107"/>
      <c r="E12" s="1107"/>
      <c r="F12" s="1107"/>
      <c r="G12" s="1108"/>
      <c r="H12" s="834"/>
      <c r="I12" s="1088"/>
      <c r="J12" s="1088"/>
      <c r="K12" s="1088"/>
      <c r="L12" s="829"/>
      <c r="M12" s="42"/>
      <c r="N12" s="833"/>
      <c r="O12" s="1087"/>
      <c r="P12" s="1087"/>
      <c r="Q12" s="809">
        <f ca="1">IF(OR(EXACT(M12,""),EXACT(N12,"")),0,IF(R12='Data Base'!$Q$79,0,IF(I12='Data Base'!$Q$46,'Data Base'!$R$46*(IF(EXACT(M12,'Data Base'!$E$18),INDIRECT(CONCATENATE("'Data Base'!$C",N12)),INDIRECT(CONCATENATE("'Data Base'!$D",N12)))),IF(I12='Data Base'!$Q$47,(IF(H12/'Data Base'!$R$61*'Data Base'!$R$47*(IF(EXACT(M12,'Data Base'!$E$18),INDIRECT(CONCATENATE("'Data Base'!$C",N12)),INDIRECT(CONCATENATE("'Data Base'!$D",N12))))&gt;4,4,H12/'Data Base'!$R$61*'Data Base'!$R$47*(IF(EXACT(M12,'Data Base'!$E$18),INDIRECT(CONCATENATE("'Data Base'!$C",N12)),INDIRECT(CONCATENATE("'Data Base'!$D",N12)))))),IF(I12='Data Base'!$Q$48,(IF(H12/'Data Base'!$R$61*'Data Base'!$R$48*(IF(EXACT(M12,'Data Base'!$E$18),INDIRECT(CONCATENATE("'Data Base'!$C",N12)),INDIRECT(CONCATENATE("'Data Base'!$D",N12))))&gt;2,2,H12/'Data Base'!$R$61*'Data Base'!$R$48*(IF(EXACT(M12,'Data Base'!$E$18),INDIRECT(CONCATENATE("'Data Base'!$C",N12)),INDIRECT(CONCATENATE("'Data Base'!$D",N12)))))),IF(I12='Data Base'!$Q$49,'Data Base'!$R$49*(IF(EXACT(M12,'Data Base'!$E$18),INDIRECT(CONCATENATE("'Data Base'!$C",N12)),INDIRECT(CONCATENATE("'Data Base'!$D",N12)))),IF(I12='Data Base'!$Q$50,'Data Base'!$R$50*(IF(EXACT(M12,'Data Base'!$E$18),INDIRECT(CONCATENATE("'Data Base'!$C",N12)),INDIRECT(CONCATENATE("'Data Base'!$D",N12)))),IF(I12='Data Base'!$Q$51,'Data Base'!$R$51*(IF(EXACT(M12,'Data Base'!$E$18),INDIRECT(CONCATENATE("'Data Base'!$C",N12)),INDIRECT(CONCATENATE("'Data Base'!$D",N12)))),IF(I12='Data Base'!$Q$52,'Data Base'!$R$52*(IF(EXACT(M12,'Data Base'!$E$18),INDIRECT(CONCATENATE("'Data Base'!$C",N12)),INDIRECT(CONCATENATE("'Data Base'!$D",N12)))),IF(I12='Data Base'!$Q$53,'Data Base'!$R$53*(IF(EXACT(M12,'Data Base'!$E$18),INDIRECT(CONCATENATE("'Data Base'!$C",N12)),INDIRECT(CONCATENATE("'Data Base'!$D",N12)))),IF(I12='Data Base'!$Q$54,'Data Base'!$R$54*(IF(EXACT(M12,'Data Base'!$E$18),INDIRECT(CONCATENATE("'Data Base'!$C",N12)),INDIRECT(CONCATENATE("'Data Base'!$D",N12)))),)))))))))))</f>
        <v>0</v>
      </c>
      <c r="R12" s="845"/>
      <c r="S12" s="767"/>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customHeight="1">
      <c r="A13" s="152">
        <v>8</v>
      </c>
      <c r="B13" s="1106"/>
      <c r="C13" s="1107"/>
      <c r="D13" s="1107"/>
      <c r="E13" s="1107"/>
      <c r="F13" s="1107"/>
      <c r="G13" s="1108"/>
      <c r="H13" s="834"/>
      <c r="I13" s="1088"/>
      <c r="J13" s="1088"/>
      <c r="K13" s="1088"/>
      <c r="L13" s="829"/>
      <c r="M13" s="42"/>
      <c r="N13" s="833"/>
      <c r="O13" s="1087"/>
      <c r="P13" s="1087"/>
      <c r="Q13" s="809">
        <f ca="1">IF(OR(EXACT(M13,""),EXACT(N13,"")),0,IF(R13='Data Base'!$Q$79,0,IF(I13='Data Base'!$Q$46,'Data Base'!$R$46*(IF(EXACT(M13,'Data Base'!$E$18),INDIRECT(CONCATENATE("'Data Base'!$C",N13)),INDIRECT(CONCATENATE("'Data Base'!$D",N13)))),IF(I13='Data Base'!$Q$47,(IF(H13/'Data Base'!$R$61*'Data Base'!$R$47*(IF(EXACT(M13,'Data Base'!$E$18),INDIRECT(CONCATENATE("'Data Base'!$C",N13)),INDIRECT(CONCATENATE("'Data Base'!$D",N13))))&gt;4,4,H13/'Data Base'!$R$61*'Data Base'!$R$47*(IF(EXACT(M13,'Data Base'!$E$18),INDIRECT(CONCATENATE("'Data Base'!$C",N13)),INDIRECT(CONCATENATE("'Data Base'!$D",N13)))))),IF(I13='Data Base'!$Q$48,(IF(H13/'Data Base'!$R$61*'Data Base'!$R$48*(IF(EXACT(M13,'Data Base'!$E$18),INDIRECT(CONCATENATE("'Data Base'!$C",N13)),INDIRECT(CONCATENATE("'Data Base'!$D",N13))))&gt;2,2,H13/'Data Base'!$R$61*'Data Base'!$R$48*(IF(EXACT(M13,'Data Base'!$E$18),INDIRECT(CONCATENATE("'Data Base'!$C",N13)),INDIRECT(CONCATENATE("'Data Base'!$D",N13)))))),IF(I13='Data Base'!$Q$49,'Data Base'!$R$49*(IF(EXACT(M13,'Data Base'!$E$18),INDIRECT(CONCATENATE("'Data Base'!$C",N13)),INDIRECT(CONCATENATE("'Data Base'!$D",N13)))),IF(I13='Data Base'!$Q$50,'Data Base'!$R$50*(IF(EXACT(M13,'Data Base'!$E$18),INDIRECT(CONCATENATE("'Data Base'!$C",N13)),INDIRECT(CONCATENATE("'Data Base'!$D",N13)))),IF(I13='Data Base'!$Q$51,'Data Base'!$R$51*(IF(EXACT(M13,'Data Base'!$E$18),INDIRECT(CONCATENATE("'Data Base'!$C",N13)),INDIRECT(CONCATENATE("'Data Base'!$D",N13)))),IF(I13='Data Base'!$Q$52,'Data Base'!$R$52*(IF(EXACT(M13,'Data Base'!$E$18),INDIRECT(CONCATENATE("'Data Base'!$C",N13)),INDIRECT(CONCATENATE("'Data Base'!$D",N13)))),IF(I13='Data Base'!$Q$53,'Data Base'!$R$53*(IF(EXACT(M13,'Data Base'!$E$18),INDIRECT(CONCATENATE("'Data Base'!$C",N13)),INDIRECT(CONCATENATE("'Data Base'!$D",N13)))),IF(I13='Data Base'!$Q$54,'Data Base'!$R$54*(IF(EXACT(M13,'Data Base'!$E$18),INDIRECT(CONCATENATE("'Data Base'!$C",N13)),INDIRECT(CONCATENATE("'Data Base'!$D",N13)))),)))))))))))</f>
        <v>0</v>
      </c>
      <c r="R13" s="845"/>
      <c r="S13" s="767"/>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8.5" customHeight="1">
      <c r="A14" s="152">
        <v>9</v>
      </c>
      <c r="B14" s="1106"/>
      <c r="C14" s="1107"/>
      <c r="D14" s="1107"/>
      <c r="E14" s="1107"/>
      <c r="F14" s="1107"/>
      <c r="G14" s="1108"/>
      <c r="H14" s="834"/>
      <c r="I14" s="1088"/>
      <c r="J14" s="1088"/>
      <c r="K14" s="1088"/>
      <c r="L14" s="829"/>
      <c r="M14" s="42"/>
      <c r="N14" s="833"/>
      <c r="O14" s="1087"/>
      <c r="P14" s="1087"/>
      <c r="Q14" s="809">
        <f ca="1">IF(OR(EXACT(M14,""),EXACT(N14,"")),0,IF(R14='Data Base'!$Q$79,0,IF(I14='Data Base'!$Q$46,'Data Base'!$R$46*(IF(EXACT(M14,'Data Base'!$E$18),INDIRECT(CONCATENATE("'Data Base'!$C",N14)),INDIRECT(CONCATENATE("'Data Base'!$D",N14)))),IF(I14='Data Base'!$Q$47,(IF(H14/'Data Base'!$R$61*'Data Base'!$R$47*(IF(EXACT(M14,'Data Base'!$E$18),INDIRECT(CONCATENATE("'Data Base'!$C",N14)),INDIRECT(CONCATENATE("'Data Base'!$D",N14))))&gt;4,4,H14/'Data Base'!$R$61*'Data Base'!$R$47*(IF(EXACT(M14,'Data Base'!$E$18),INDIRECT(CONCATENATE("'Data Base'!$C",N14)),INDIRECT(CONCATENATE("'Data Base'!$D",N14)))))),IF(I14='Data Base'!$Q$48,(IF(H14/'Data Base'!$R$61*'Data Base'!$R$48*(IF(EXACT(M14,'Data Base'!$E$18),INDIRECT(CONCATENATE("'Data Base'!$C",N14)),INDIRECT(CONCATENATE("'Data Base'!$D",N14))))&gt;2,2,H14/'Data Base'!$R$61*'Data Base'!$R$48*(IF(EXACT(M14,'Data Base'!$E$18),INDIRECT(CONCATENATE("'Data Base'!$C",N14)),INDIRECT(CONCATENATE("'Data Base'!$D",N14)))))),IF(I14='Data Base'!$Q$49,'Data Base'!$R$49*(IF(EXACT(M14,'Data Base'!$E$18),INDIRECT(CONCATENATE("'Data Base'!$C",N14)),INDIRECT(CONCATENATE("'Data Base'!$D",N14)))),IF(I14='Data Base'!$Q$50,'Data Base'!$R$50*(IF(EXACT(M14,'Data Base'!$E$18),INDIRECT(CONCATENATE("'Data Base'!$C",N14)),INDIRECT(CONCATENATE("'Data Base'!$D",N14)))),IF(I14='Data Base'!$Q$51,'Data Base'!$R$51*(IF(EXACT(M14,'Data Base'!$E$18),INDIRECT(CONCATENATE("'Data Base'!$C",N14)),INDIRECT(CONCATENATE("'Data Base'!$D",N14)))),IF(I14='Data Base'!$Q$52,'Data Base'!$R$52*(IF(EXACT(M14,'Data Base'!$E$18),INDIRECT(CONCATENATE("'Data Base'!$C",N14)),INDIRECT(CONCATENATE("'Data Base'!$D",N14)))),IF(I14='Data Base'!$Q$53,'Data Base'!$R$53*(IF(EXACT(M14,'Data Base'!$E$18),INDIRECT(CONCATENATE("'Data Base'!$C",N14)),INDIRECT(CONCATENATE("'Data Base'!$D",N14)))),IF(I14='Data Base'!$Q$54,'Data Base'!$R$54*(IF(EXACT(M14,'Data Base'!$E$18),INDIRECT(CONCATENATE("'Data Base'!$C",N14)),INDIRECT(CONCATENATE("'Data Base'!$D",N14)))),)))))))))))</f>
        <v>0</v>
      </c>
      <c r="R14" s="845"/>
      <c r="S14" s="767"/>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8.5" customHeight="1">
      <c r="A15" s="152">
        <v>10</v>
      </c>
      <c r="B15" s="1106"/>
      <c r="C15" s="1107"/>
      <c r="D15" s="1107"/>
      <c r="E15" s="1107"/>
      <c r="F15" s="1107"/>
      <c r="G15" s="1108"/>
      <c r="H15" s="834"/>
      <c r="I15" s="1088"/>
      <c r="J15" s="1088"/>
      <c r="K15" s="1088"/>
      <c r="L15" s="829"/>
      <c r="M15" s="42"/>
      <c r="N15" s="833"/>
      <c r="O15" s="1087"/>
      <c r="P15" s="1087"/>
      <c r="Q15" s="809">
        <f ca="1">IF(OR(EXACT(M15,""),EXACT(N15,"")),0,IF(R15='Data Base'!$Q$79,0,IF(I15='Data Base'!$Q$46,'Data Base'!$R$46*(IF(EXACT(M15,'Data Base'!$E$18),INDIRECT(CONCATENATE("'Data Base'!$C",N15)),INDIRECT(CONCATENATE("'Data Base'!$D",N15)))),IF(I15='Data Base'!$Q$47,(IF(H15/'Data Base'!$R$61*'Data Base'!$R$47*(IF(EXACT(M15,'Data Base'!$E$18),INDIRECT(CONCATENATE("'Data Base'!$C",N15)),INDIRECT(CONCATENATE("'Data Base'!$D",N15))))&gt;4,4,H15/'Data Base'!$R$61*'Data Base'!$R$47*(IF(EXACT(M15,'Data Base'!$E$18),INDIRECT(CONCATENATE("'Data Base'!$C",N15)),INDIRECT(CONCATENATE("'Data Base'!$D",N15)))))),IF(I15='Data Base'!$Q$48,(IF(H15/'Data Base'!$R$61*'Data Base'!$R$48*(IF(EXACT(M15,'Data Base'!$E$18),INDIRECT(CONCATENATE("'Data Base'!$C",N15)),INDIRECT(CONCATENATE("'Data Base'!$D",N15))))&gt;2,2,H15/'Data Base'!$R$61*'Data Base'!$R$48*(IF(EXACT(M15,'Data Base'!$E$18),INDIRECT(CONCATENATE("'Data Base'!$C",N15)),INDIRECT(CONCATENATE("'Data Base'!$D",N15)))))),IF(I15='Data Base'!$Q$49,'Data Base'!$R$49*(IF(EXACT(M15,'Data Base'!$E$18),INDIRECT(CONCATENATE("'Data Base'!$C",N15)),INDIRECT(CONCATENATE("'Data Base'!$D",N15)))),IF(I15='Data Base'!$Q$50,'Data Base'!$R$50*(IF(EXACT(M15,'Data Base'!$E$18),INDIRECT(CONCATENATE("'Data Base'!$C",N15)),INDIRECT(CONCATENATE("'Data Base'!$D",N15)))),IF(I15='Data Base'!$Q$51,'Data Base'!$R$51*(IF(EXACT(M15,'Data Base'!$E$18),INDIRECT(CONCATENATE("'Data Base'!$C",N15)),INDIRECT(CONCATENATE("'Data Base'!$D",N15)))),IF(I15='Data Base'!$Q$52,'Data Base'!$R$52*(IF(EXACT(M15,'Data Base'!$E$18),INDIRECT(CONCATENATE("'Data Base'!$C",N15)),INDIRECT(CONCATENATE("'Data Base'!$D",N15)))),IF(I15='Data Base'!$Q$53,'Data Base'!$R$53*(IF(EXACT(M15,'Data Base'!$E$18),INDIRECT(CONCATENATE("'Data Base'!$C",N15)),INDIRECT(CONCATENATE("'Data Base'!$D",N15)))),IF(I15='Data Base'!$Q$54,'Data Base'!$R$54*(IF(EXACT(M15,'Data Base'!$E$18),INDIRECT(CONCATENATE("'Data Base'!$C",N15)),INDIRECT(CONCATENATE("'Data Base'!$D",N15)))),)))))))))))</f>
        <v>0</v>
      </c>
      <c r="R15" s="845"/>
      <c r="S15" s="767"/>
      <c r="T15" s="1104"/>
      <c r="U15" s="1105"/>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8.5" customHeight="1">
      <c r="A16" s="152">
        <v>11</v>
      </c>
      <c r="B16" s="1106"/>
      <c r="C16" s="1107"/>
      <c r="D16" s="1107"/>
      <c r="E16" s="1107"/>
      <c r="F16" s="1107"/>
      <c r="G16" s="1108"/>
      <c r="H16" s="834"/>
      <c r="I16" s="1088"/>
      <c r="J16" s="1088"/>
      <c r="K16" s="1088"/>
      <c r="L16" s="829"/>
      <c r="M16" s="42"/>
      <c r="N16" s="833"/>
      <c r="O16" s="1087"/>
      <c r="P16" s="1087"/>
      <c r="Q16" s="809">
        <f ca="1">IF(OR(EXACT(M16,""),EXACT(N16,"")),0,IF(R16='Data Base'!$Q$79,0,IF(I16='Data Base'!$Q$46,'Data Base'!$R$46*(IF(EXACT(M16,'Data Base'!$E$18),INDIRECT(CONCATENATE("'Data Base'!$C",N16)),INDIRECT(CONCATENATE("'Data Base'!$D",N16)))),IF(I16='Data Base'!$Q$47,(IF(H16/'Data Base'!$R$61*'Data Base'!$R$47*(IF(EXACT(M16,'Data Base'!$E$18),INDIRECT(CONCATENATE("'Data Base'!$C",N16)),INDIRECT(CONCATENATE("'Data Base'!$D",N16))))&gt;4,4,H16/'Data Base'!$R$61*'Data Base'!$R$47*(IF(EXACT(M16,'Data Base'!$E$18),INDIRECT(CONCATENATE("'Data Base'!$C",N16)),INDIRECT(CONCATENATE("'Data Base'!$D",N16)))))),IF(I16='Data Base'!$Q$48,(IF(H16/'Data Base'!$R$61*'Data Base'!$R$48*(IF(EXACT(M16,'Data Base'!$E$18),INDIRECT(CONCATENATE("'Data Base'!$C",N16)),INDIRECT(CONCATENATE("'Data Base'!$D",N16))))&gt;2,2,H16/'Data Base'!$R$61*'Data Base'!$R$48*(IF(EXACT(M16,'Data Base'!$E$18),INDIRECT(CONCATENATE("'Data Base'!$C",N16)),INDIRECT(CONCATENATE("'Data Base'!$D",N16)))))),IF(I16='Data Base'!$Q$49,'Data Base'!$R$49*(IF(EXACT(M16,'Data Base'!$E$18),INDIRECT(CONCATENATE("'Data Base'!$C",N16)),INDIRECT(CONCATENATE("'Data Base'!$D",N16)))),IF(I16='Data Base'!$Q$50,'Data Base'!$R$50*(IF(EXACT(M16,'Data Base'!$E$18),INDIRECT(CONCATENATE("'Data Base'!$C",N16)),INDIRECT(CONCATENATE("'Data Base'!$D",N16)))),IF(I16='Data Base'!$Q$51,'Data Base'!$R$51*(IF(EXACT(M16,'Data Base'!$E$18),INDIRECT(CONCATENATE("'Data Base'!$C",N16)),INDIRECT(CONCATENATE("'Data Base'!$D",N16)))),IF(I16='Data Base'!$Q$52,'Data Base'!$R$52*(IF(EXACT(M16,'Data Base'!$E$18),INDIRECT(CONCATENATE("'Data Base'!$C",N16)),INDIRECT(CONCATENATE("'Data Base'!$D",N16)))),IF(I16='Data Base'!$Q$53,'Data Base'!$R$53*(IF(EXACT(M16,'Data Base'!$E$18),INDIRECT(CONCATENATE("'Data Base'!$C",N16)),INDIRECT(CONCATENATE("'Data Base'!$D",N16)))),IF(I16='Data Base'!$Q$54,'Data Base'!$R$54*(IF(EXACT(M16,'Data Base'!$E$18),INDIRECT(CONCATENATE("'Data Base'!$C",N16)),INDIRECT(CONCATENATE("'Data Base'!$D",N16)))),)))))))))))</f>
        <v>0</v>
      </c>
      <c r="R16" s="845"/>
      <c r="S16" s="767"/>
      <c r="T16" s="1104"/>
      <c r="U16" s="1105"/>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28.5" customHeight="1">
      <c r="A17" s="152">
        <v>12</v>
      </c>
      <c r="B17" s="1106"/>
      <c r="C17" s="1107"/>
      <c r="D17" s="1107"/>
      <c r="E17" s="1107"/>
      <c r="F17" s="1107"/>
      <c r="G17" s="1108"/>
      <c r="H17" s="834"/>
      <c r="I17" s="1088"/>
      <c r="J17" s="1088"/>
      <c r="K17" s="1088"/>
      <c r="L17" s="829"/>
      <c r="M17" s="42"/>
      <c r="N17" s="833"/>
      <c r="O17" s="1087"/>
      <c r="P17" s="1087"/>
      <c r="Q17" s="809">
        <f ca="1">IF(OR(EXACT(M17,""),EXACT(N17,"")),0,IF(R17='Data Base'!$Q$79,0,IF(I17='Data Base'!$Q$46,'Data Base'!$R$46*(IF(EXACT(M17,'Data Base'!$E$18),INDIRECT(CONCATENATE("'Data Base'!$C",N17)),INDIRECT(CONCATENATE("'Data Base'!$D",N17)))),IF(I17='Data Base'!$Q$47,(IF(H17/'Data Base'!$R$61*'Data Base'!$R$47*(IF(EXACT(M17,'Data Base'!$E$18),INDIRECT(CONCATENATE("'Data Base'!$C",N17)),INDIRECT(CONCATENATE("'Data Base'!$D",N17))))&gt;4,4,H17/'Data Base'!$R$61*'Data Base'!$R$47*(IF(EXACT(M17,'Data Base'!$E$18),INDIRECT(CONCATENATE("'Data Base'!$C",N17)),INDIRECT(CONCATENATE("'Data Base'!$D",N17)))))),IF(I17='Data Base'!$Q$48,(IF(H17/'Data Base'!$R$61*'Data Base'!$R$48*(IF(EXACT(M17,'Data Base'!$E$18),INDIRECT(CONCATENATE("'Data Base'!$C",N17)),INDIRECT(CONCATENATE("'Data Base'!$D",N17))))&gt;2,2,H17/'Data Base'!$R$61*'Data Base'!$R$48*(IF(EXACT(M17,'Data Base'!$E$18),INDIRECT(CONCATENATE("'Data Base'!$C",N17)),INDIRECT(CONCATENATE("'Data Base'!$D",N17)))))),IF(I17='Data Base'!$Q$49,'Data Base'!$R$49*(IF(EXACT(M17,'Data Base'!$E$18),INDIRECT(CONCATENATE("'Data Base'!$C",N17)),INDIRECT(CONCATENATE("'Data Base'!$D",N17)))),IF(I17='Data Base'!$Q$50,'Data Base'!$R$50*(IF(EXACT(M17,'Data Base'!$E$18),INDIRECT(CONCATENATE("'Data Base'!$C",N17)),INDIRECT(CONCATENATE("'Data Base'!$D",N17)))),IF(I17='Data Base'!$Q$51,'Data Base'!$R$51*(IF(EXACT(M17,'Data Base'!$E$18),INDIRECT(CONCATENATE("'Data Base'!$C",N17)),INDIRECT(CONCATENATE("'Data Base'!$D",N17)))),IF(I17='Data Base'!$Q$52,'Data Base'!$R$52*(IF(EXACT(M17,'Data Base'!$E$18),INDIRECT(CONCATENATE("'Data Base'!$C",N17)),INDIRECT(CONCATENATE("'Data Base'!$D",N17)))),IF(I17='Data Base'!$Q$53,'Data Base'!$R$53*(IF(EXACT(M17,'Data Base'!$E$18),INDIRECT(CONCATENATE("'Data Base'!$C",N17)),INDIRECT(CONCATENATE("'Data Base'!$D",N17)))),IF(I17='Data Base'!$Q$54,'Data Base'!$R$54*(IF(EXACT(M17,'Data Base'!$E$18),INDIRECT(CONCATENATE("'Data Base'!$C",N17)),INDIRECT(CONCATENATE("'Data Base'!$D",N17)))),)))))))))))</f>
        <v>0</v>
      </c>
      <c r="R17" s="845"/>
      <c r="S17" s="767"/>
      <c r="T17" s="1104"/>
      <c r="U17" s="110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28.5" customHeight="1">
      <c r="A18" s="152">
        <v>13</v>
      </c>
      <c r="B18" s="1106"/>
      <c r="C18" s="1107"/>
      <c r="D18" s="1107"/>
      <c r="E18" s="1107"/>
      <c r="F18" s="1107"/>
      <c r="G18" s="1108"/>
      <c r="H18" s="834"/>
      <c r="I18" s="1088"/>
      <c r="J18" s="1088"/>
      <c r="K18" s="1088"/>
      <c r="L18" s="829"/>
      <c r="M18" s="42"/>
      <c r="N18" s="833"/>
      <c r="O18" s="1087"/>
      <c r="P18" s="1087"/>
      <c r="Q18" s="809">
        <f ca="1">IF(OR(EXACT(M18,""),EXACT(N18,"")),0,IF(R18='Data Base'!$Q$79,0,IF(I18='Data Base'!$Q$46,'Data Base'!$R$46*(IF(EXACT(M18,'Data Base'!$E$18),INDIRECT(CONCATENATE("'Data Base'!$C",N18)),INDIRECT(CONCATENATE("'Data Base'!$D",N18)))),IF(I18='Data Base'!$Q$47,(IF(H18/'Data Base'!$R$61*'Data Base'!$R$47*(IF(EXACT(M18,'Data Base'!$E$18),INDIRECT(CONCATENATE("'Data Base'!$C",N18)),INDIRECT(CONCATENATE("'Data Base'!$D",N18))))&gt;4,4,H18/'Data Base'!$R$61*'Data Base'!$R$47*(IF(EXACT(M18,'Data Base'!$E$18),INDIRECT(CONCATENATE("'Data Base'!$C",N18)),INDIRECT(CONCATENATE("'Data Base'!$D",N18)))))),IF(I18='Data Base'!$Q$48,(IF(H18/'Data Base'!$R$61*'Data Base'!$R$48*(IF(EXACT(M18,'Data Base'!$E$18),INDIRECT(CONCATENATE("'Data Base'!$C",N18)),INDIRECT(CONCATENATE("'Data Base'!$D",N18))))&gt;2,2,H18/'Data Base'!$R$61*'Data Base'!$R$48*(IF(EXACT(M18,'Data Base'!$E$18),INDIRECT(CONCATENATE("'Data Base'!$C",N18)),INDIRECT(CONCATENATE("'Data Base'!$D",N18)))))),IF(I18='Data Base'!$Q$49,'Data Base'!$R$49*(IF(EXACT(M18,'Data Base'!$E$18),INDIRECT(CONCATENATE("'Data Base'!$C",N18)),INDIRECT(CONCATENATE("'Data Base'!$D",N18)))),IF(I18='Data Base'!$Q$50,'Data Base'!$R$50*(IF(EXACT(M18,'Data Base'!$E$18),INDIRECT(CONCATENATE("'Data Base'!$C",N18)),INDIRECT(CONCATENATE("'Data Base'!$D",N18)))),IF(I18='Data Base'!$Q$51,'Data Base'!$R$51*(IF(EXACT(M18,'Data Base'!$E$18),INDIRECT(CONCATENATE("'Data Base'!$C",N18)),INDIRECT(CONCATENATE("'Data Base'!$D",N18)))),IF(I18='Data Base'!$Q$52,'Data Base'!$R$52*(IF(EXACT(M18,'Data Base'!$E$18),INDIRECT(CONCATENATE("'Data Base'!$C",N18)),INDIRECT(CONCATENATE("'Data Base'!$D",N18)))),IF(I18='Data Base'!$Q$53,'Data Base'!$R$53*(IF(EXACT(M18,'Data Base'!$E$18),INDIRECT(CONCATENATE("'Data Base'!$C",N18)),INDIRECT(CONCATENATE("'Data Base'!$D",N18)))),IF(I18='Data Base'!$Q$54,'Data Base'!$R$54*(IF(EXACT(M18,'Data Base'!$E$18),INDIRECT(CONCATENATE("'Data Base'!$C",N18)),INDIRECT(CONCATENATE("'Data Base'!$D",N18)))),)))))))))))</f>
        <v>0</v>
      </c>
      <c r="R18" s="845"/>
      <c r="S18" s="767"/>
      <c r="T18" s="1104"/>
      <c r="U18" s="1105"/>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8.5" customHeight="1">
      <c r="A19" s="152">
        <v>14</v>
      </c>
      <c r="B19" s="1106"/>
      <c r="C19" s="1107"/>
      <c r="D19" s="1107"/>
      <c r="E19" s="1107"/>
      <c r="F19" s="1107"/>
      <c r="G19" s="1108"/>
      <c r="H19" s="834"/>
      <c r="I19" s="1088"/>
      <c r="J19" s="1088"/>
      <c r="K19" s="1088"/>
      <c r="L19" s="829"/>
      <c r="M19" s="42"/>
      <c r="N19" s="833"/>
      <c r="O19" s="1087"/>
      <c r="P19" s="1087"/>
      <c r="Q19" s="809">
        <f ca="1">IF(OR(EXACT(M19,""),EXACT(N19,"")),0,IF(R19='Data Base'!$Q$79,0,IF(I19='Data Base'!$Q$46,'Data Base'!$R$46*(IF(EXACT(M19,'Data Base'!$E$18),INDIRECT(CONCATENATE("'Data Base'!$C",N19)),INDIRECT(CONCATENATE("'Data Base'!$D",N19)))),IF(I19='Data Base'!$Q$47,(IF(H19/'Data Base'!$R$61*'Data Base'!$R$47*(IF(EXACT(M19,'Data Base'!$E$18),INDIRECT(CONCATENATE("'Data Base'!$C",N19)),INDIRECT(CONCATENATE("'Data Base'!$D",N19))))&gt;4,4,H19/'Data Base'!$R$61*'Data Base'!$R$47*(IF(EXACT(M19,'Data Base'!$E$18),INDIRECT(CONCATENATE("'Data Base'!$C",N19)),INDIRECT(CONCATENATE("'Data Base'!$D",N19)))))),IF(I19='Data Base'!$Q$48,(IF(H19/'Data Base'!$R$61*'Data Base'!$R$48*(IF(EXACT(M19,'Data Base'!$E$18),INDIRECT(CONCATENATE("'Data Base'!$C",N19)),INDIRECT(CONCATENATE("'Data Base'!$D",N19))))&gt;2,2,H19/'Data Base'!$R$61*'Data Base'!$R$48*(IF(EXACT(M19,'Data Base'!$E$18),INDIRECT(CONCATENATE("'Data Base'!$C",N19)),INDIRECT(CONCATENATE("'Data Base'!$D",N19)))))),IF(I19='Data Base'!$Q$49,'Data Base'!$R$49*(IF(EXACT(M19,'Data Base'!$E$18),INDIRECT(CONCATENATE("'Data Base'!$C",N19)),INDIRECT(CONCATENATE("'Data Base'!$D",N19)))),IF(I19='Data Base'!$Q$50,'Data Base'!$R$50*(IF(EXACT(M19,'Data Base'!$E$18),INDIRECT(CONCATENATE("'Data Base'!$C",N19)),INDIRECT(CONCATENATE("'Data Base'!$D",N19)))),IF(I19='Data Base'!$Q$51,'Data Base'!$R$51*(IF(EXACT(M19,'Data Base'!$E$18),INDIRECT(CONCATENATE("'Data Base'!$C",N19)),INDIRECT(CONCATENATE("'Data Base'!$D",N19)))),IF(I19='Data Base'!$Q$52,'Data Base'!$R$52*(IF(EXACT(M19,'Data Base'!$E$18),INDIRECT(CONCATENATE("'Data Base'!$C",N19)),INDIRECT(CONCATENATE("'Data Base'!$D",N19)))),IF(I19='Data Base'!$Q$53,'Data Base'!$R$53*(IF(EXACT(M19,'Data Base'!$E$18),INDIRECT(CONCATENATE("'Data Base'!$C",N19)),INDIRECT(CONCATENATE("'Data Base'!$D",N19)))),IF(I19='Data Base'!$Q$54,'Data Base'!$R$54*(IF(EXACT(M19,'Data Base'!$E$18),INDIRECT(CONCATENATE("'Data Base'!$C",N19)),INDIRECT(CONCATENATE("'Data Base'!$D",N19)))),)))))))))))</f>
        <v>0</v>
      </c>
      <c r="R19" s="845"/>
      <c r="S19" s="767"/>
      <c r="T19" s="1104"/>
      <c r="U19" s="1105"/>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8.5" customHeight="1">
      <c r="A20" s="152">
        <v>15</v>
      </c>
      <c r="B20" s="1106"/>
      <c r="C20" s="1107"/>
      <c r="D20" s="1107"/>
      <c r="E20" s="1107"/>
      <c r="F20" s="1107"/>
      <c r="G20" s="1108"/>
      <c r="H20" s="834"/>
      <c r="I20" s="1088"/>
      <c r="J20" s="1088"/>
      <c r="K20" s="1088"/>
      <c r="L20" s="829"/>
      <c r="M20" s="42"/>
      <c r="N20" s="833"/>
      <c r="O20" s="1087"/>
      <c r="P20" s="1087"/>
      <c r="Q20" s="809">
        <f ca="1">IF(OR(EXACT(M20,""),EXACT(N20,"")),0,IF(R20='Data Base'!$Q$79,0,IF(I20='Data Base'!$Q$46,'Data Base'!$R$46*(IF(EXACT(M20,'Data Base'!$E$18),INDIRECT(CONCATENATE("'Data Base'!$C",N20)),INDIRECT(CONCATENATE("'Data Base'!$D",N20)))),IF(I20='Data Base'!$Q$47,(IF(H20/'Data Base'!$R$61*'Data Base'!$R$47*(IF(EXACT(M20,'Data Base'!$E$18),INDIRECT(CONCATENATE("'Data Base'!$C",N20)),INDIRECT(CONCATENATE("'Data Base'!$D",N20))))&gt;4,4,H20/'Data Base'!$R$61*'Data Base'!$R$47*(IF(EXACT(M20,'Data Base'!$E$18),INDIRECT(CONCATENATE("'Data Base'!$C",N20)),INDIRECT(CONCATENATE("'Data Base'!$D",N20)))))),IF(I20='Data Base'!$Q$48,(IF(H20/'Data Base'!$R$61*'Data Base'!$R$48*(IF(EXACT(M20,'Data Base'!$E$18),INDIRECT(CONCATENATE("'Data Base'!$C",N20)),INDIRECT(CONCATENATE("'Data Base'!$D",N20))))&gt;2,2,H20/'Data Base'!$R$61*'Data Base'!$R$48*(IF(EXACT(M20,'Data Base'!$E$18),INDIRECT(CONCATENATE("'Data Base'!$C",N20)),INDIRECT(CONCATENATE("'Data Base'!$D",N20)))))),IF(I20='Data Base'!$Q$49,'Data Base'!$R$49*(IF(EXACT(M20,'Data Base'!$E$18),INDIRECT(CONCATENATE("'Data Base'!$C",N20)),INDIRECT(CONCATENATE("'Data Base'!$D",N20)))),IF(I20='Data Base'!$Q$50,'Data Base'!$R$50*(IF(EXACT(M20,'Data Base'!$E$18),INDIRECT(CONCATENATE("'Data Base'!$C",N20)),INDIRECT(CONCATENATE("'Data Base'!$D",N20)))),IF(I20='Data Base'!$Q$51,'Data Base'!$R$51*(IF(EXACT(M20,'Data Base'!$E$18),INDIRECT(CONCATENATE("'Data Base'!$C",N20)),INDIRECT(CONCATENATE("'Data Base'!$D",N20)))),IF(I20='Data Base'!$Q$52,'Data Base'!$R$52*(IF(EXACT(M20,'Data Base'!$E$18),INDIRECT(CONCATENATE("'Data Base'!$C",N20)),INDIRECT(CONCATENATE("'Data Base'!$D",N20)))),IF(I20='Data Base'!$Q$53,'Data Base'!$R$53*(IF(EXACT(M20,'Data Base'!$E$18),INDIRECT(CONCATENATE("'Data Base'!$C",N20)),INDIRECT(CONCATENATE("'Data Base'!$D",N20)))),IF(I20='Data Base'!$Q$54,'Data Base'!$R$54*(IF(EXACT(M20,'Data Base'!$E$18),INDIRECT(CONCATENATE("'Data Base'!$C",N20)),INDIRECT(CONCATENATE("'Data Base'!$D",N20)))),)))))))))))</f>
        <v>0</v>
      </c>
      <c r="R20" s="845"/>
      <c r="S20" s="767"/>
      <c r="T20" s="1104"/>
      <c r="U20" s="1105"/>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8.5" customHeight="1">
      <c r="A21" s="152">
        <v>16</v>
      </c>
      <c r="B21" s="1106"/>
      <c r="C21" s="1107"/>
      <c r="D21" s="1107"/>
      <c r="E21" s="1107"/>
      <c r="F21" s="1107"/>
      <c r="G21" s="1108"/>
      <c r="H21" s="834"/>
      <c r="I21" s="1088"/>
      <c r="J21" s="1088"/>
      <c r="K21" s="1088"/>
      <c r="L21" s="829"/>
      <c r="M21" s="42"/>
      <c r="N21" s="833"/>
      <c r="O21" s="1087"/>
      <c r="P21" s="1087"/>
      <c r="Q21" s="809">
        <f ca="1">IF(OR(EXACT(M21,""),EXACT(N21,"")),0,IF(R21='Data Base'!$Q$79,0,IF(I21='Data Base'!$Q$46,'Data Base'!$R$46*(IF(EXACT(M21,'Data Base'!$E$18),INDIRECT(CONCATENATE("'Data Base'!$C",N21)),INDIRECT(CONCATENATE("'Data Base'!$D",N21)))),IF(I21='Data Base'!$Q$47,(IF(H21/'Data Base'!$R$61*'Data Base'!$R$47*(IF(EXACT(M21,'Data Base'!$E$18),INDIRECT(CONCATENATE("'Data Base'!$C",N21)),INDIRECT(CONCATENATE("'Data Base'!$D",N21))))&gt;4,4,H21/'Data Base'!$R$61*'Data Base'!$R$47*(IF(EXACT(M21,'Data Base'!$E$18),INDIRECT(CONCATENATE("'Data Base'!$C",N21)),INDIRECT(CONCATENATE("'Data Base'!$D",N21)))))),IF(I21='Data Base'!$Q$48,(IF(H21/'Data Base'!$R$61*'Data Base'!$R$48*(IF(EXACT(M21,'Data Base'!$E$18),INDIRECT(CONCATENATE("'Data Base'!$C",N21)),INDIRECT(CONCATENATE("'Data Base'!$D",N21))))&gt;2,2,H21/'Data Base'!$R$61*'Data Base'!$R$48*(IF(EXACT(M21,'Data Base'!$E$18),INDIRECT(CONCATENATE("'Data Base'!$C",N21)),INDIRECT(CONCATENATE("'Data Base'!$D",N21)))))),IF(I21='Data Base'!$Q$49,'Data Base'!$R$49*(IF(EXACT(M21,'Data Base'!$E$18),INDIRECT(CONCATENATE("'Data Base'!$C",N21)),INDIRECT(CONCATENATE("'Data Base'!$D",N21)))),IF(I21='Data Base'!$Q$50,'Data Base'!$R$50*(IF(EXACT(M21,'Data Base'!$E$18),INDIRECT(CONCATENATE("'Data Base'!$C",N21)),INDIRECT(CONCATENATE("'Data Base'!$D",N21)))),IF(I21='Data Base'!$Q$51,'Data Base'!$R$51*(IF(EXACT(M21,'Data Base'!$E$18),INDIRECT(CONCATENATE("'Data Base'!$C",N21)),INDIRECT(CONCATENATE("'Data Base'!$D",N21)))),IF(I21='Data Base'!$Q$52,'Data Base'!$R$52*(IF(EXACT(M21,'Data Base'!$E$18),INDIRECT(CONCATENATE("'Data Base'!$C",N21)),INDIRECT(CONCATENATE("'Data Base'!$D",N21)))),IF(I21='Data Base'!$Q$53,'Data Base'!$R$53*(IF(EXACT(M21,'Data Base'!$E$18),INDIRECT(CONCATENATE("'Data Base'!$C",N21)),INDIRECT(CONCATENATE("'Data Base'!$D",N21)))),IF(I21='Data Base'!$Q$54,'Data Base'!$R$54*(IF(EXACT(M21,'Data Base'!$E$18),INDIRECT(CONCATENATE("'Data Base'!$C",N21)),INDIRECT(CONCATENATE("'Data Base'!$D",N21)))),)))))))))))</f>
        <v>0</v>
      </c>
      <c r="R21" s="845"/>
      <c r="S21" s="767"/>
      <c r="T21" s="1104"/>
      <c r="U21" s="1105"/>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28.5" customHeight="1">
      <c r="A22" s="152">
        <v>17</v>
      </c>
      <c r="B22" s="1106"/>
      <c r="C22" s="1107"/>
      <c r="D22" s="1107"/>
      <c r="E22" s="1107"/>
      <c r="F22" s="1107"/>
      <c r="G22" s="1108"/>
      <c r="H22" s="834"/>
      <c r="I22" s="1088"/>
      <c r="J22" s="1088"/>
      <c r="K22" s="1088"/>
      <c r="L22" s="829"/>
      <c r="M22" s="42"/>
      <c r="N22" s="833"/>
      <c r="O22" s="1087"/>
      <c r="P22" s="1087"/>
      <c r="Q22" s="809">
        <f ca="1">IF(OR(EXACT(M22,""),EXACT(N22,"")),0,IF(R22='Data Base'!$Q$79,0,IF(I22='Data Base'!$Q$46,'Data Base'!$R$46*(IF(EXACT(M22,'Data Base'!$E$18),INDIRECT(CONCATENATE("'Data Base'!$C",N22)),INDIRECT(CONCATENATE("'Data Base'!$D",N22)))),IF(I22='Data Base'!$Q$47,(IF(H22/'Data Base'!$R$61*'Data Base'!$R$47*(IF(EXACT(M22,'Data Base'!$E$18),INDIRECT(CONCATENATE("'Data Base'!$C",N22)),INDIRECT(CONCATENATE("'Data Base'!$D",N22))))&gt;4,4,H22/'Data Base'!$R$61*'Data Base'!$R$47*(IF(EXACT(M22,'Data Base'!$E$18),INDIRECT(CONCATENATE("'Data Base'!$C",N22)),INDIRECT(CONCATENATE("'Data Base'!$D",N22)))))),IF(I22='Data Base'!$Q$48,(IF(H22/'Data Base'!$R$61*'Data Base'!$R$48*(IF(EXACT(M22,'Data Base'!$E$18),INDIRECT(CONCATENATE("'Data Base'!$C",N22)),INDIRECT(CONCATENATE("'Data Base'!$D",N22))))&gt;2,2,H22/'Data Base'!$R$61*'Data Base'!$R$48*(IF(EXACT(M22,'Data Base'!$E$18),INDIRECT(CONCATENATE("'Data Base'!$C",N22)),INDIRECT(CONCATENATE("'Data Base'!$D",N22)))))),IF(I22='Data Base'!$Q$49,'Data Base'!$R$49*(IF(EXACT(M22,'Data Base'!$E$18),INDIRECT(CONCATENATE("'Data Base'!$C",N22)),INDIRECT(CONCATENATE("'Data Base'!$D",N22)))),IF(I22='Data Base'!$Q$50,'Data Base'!$R$50*(IF(EXACT(M22,'Data Base'!$E$18),INDIRECT(CONCATENATE("'Data Base'!$C",N22)),INDIRECT(CONCATENATE("'Data Base'!$D",N22)))),IF(I22='Data Base'!$Q$51,'Data Base'!$R$51*(IF(EXACT(M22,'Data Base'!$E$18),INDIRECT(CONCATENATE("'Data Base'!$C",N22)),INDIRECT(CONCATENATE("'Data Base'!$D",N22)))),IF(I22='Data Base'!$Q$52,'Data Base'!$R$52*(IF(EXACT(M22,'Data Base'!$E$18),INDIRECT(CONCATENATE("'Data Base'!$C",N22)),INDIRECT(CONCATENATE("'Data Base'!$D",N22)))),IF(I22='Data Base'!$Q$53,'Data Base'!$R$53*(IF(EXACT(M22,'Data Base'!$E$18),INDIRECT(CONCATENATE("'Data Base'!$C",N22)),INDIRECT(CONCATENATE("'Data Base'!$D",N22)))),IF(I22='Data Base'!$Q$54,'Data Base'!$R$54*(IF(EXACT(M22,'Data Base'!$E$18),INDIRECT(CONCATENATE("'Data Base'!$C",N22)),INDIRECT(CONCATENATE("'Data Base'!$D",N22)))),)))))))))))</f>
        <v>0</v>
      </c>
      <c r="R22" s="845"/>
      <c r="S22" s="767"/>
      <c r="T22" s="1104"/>
      <c r="U22" s="1105"/>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8.5" customHeight="1">
      <c r="A23" s="152">
        <v>18</v>
      </c>
      <c r="B23" s="1106"/>
      <c r="C23" s="1107"/>
      <c r="D23" s="1107"/>
      <c r="E23" s="1107"/>
      <c r="F23" s="1107"/>
      <c r="G23" s="1108"/>
      <c r="H23" s="834"/>
      <c r="I23" s="1088"/>
      <c r="J23" s="1088"/>
      <c r="K23" s="1088"/>
      <c r="L23" s="829"/>
      <c r="M23" s="42"/>
      <c r="N23" s="833"/>
      <c r="O23" s="1087"/>
      <c r="P23" s="1087"/>
      <c r="Q23" s="809">
        <f ca="1">IF(OR(EXACT(M23,""),EXACT(N23,"")),0,IF(R23='Data Base'!$Q$79,0,IF(I23='Data Base'!$Q$46,'Data Base'!$R$46*(IF(EXACT(M23,'Data Base'!$E$18),INDIRECT(CONCATENATE("'Data Base'!$C",N23)),INDIRECT(CONCATENATE("'Data Base'!$D",N23)))),IF(I23='Data Base'!$Q$47,(IF(H23/'Data Base'!$R$61*'Data Base'!$R$47*(IF(EXACT(M23,'Data Base'!$E$18),INDIRECT(CONCATENATE("'Data Base'!$C",N23)),INDIRECT(CONCATENATE("'Data Base'!$D",N23))))&gt;4,4,H23/'Data Base'!$R$61*'Data Base'!$R$47*(IF(EXACT(M23,'Data Base'!$E$18),INDIRECT(CONCATENATE("'Data Base'!$C",N23)),INDIRECT(CONCATENATE("'Data Base'!$D",N23)))))),IF(I23='Data Base'!$Q$48,(IF(H23/'Data Base'!$R$61*'Data Base'!$R$48*(IF(EXACT(M23,'Data Base'!$E$18),INDIRECT(CONCATENATE("'Data Base'!$C",N23)),INDIRECT(CONCATENATE("'Data Base'!$D",N23))))&gt;2,2,H23/'Data Base'!$R$61*'Data Base'!$R$48*(IF(EXACT(M23,'Data Base'!$E$18),INDIRECT(CONCATENATE("'Data Base'!$C",N23)),INDIRECT(CONCATENATE("'Data Base'!$D",N23)))))),IF(I23='Data Base'!$Q$49,'Data Base'!$R$49*(IF(EXACT(M23,'Data Base'!$E$18),INDIRECT(CONCATENATE("'Data Base'!$C",N23)),INDIRECT(CONCATENATE("'Data Base'!$D",N23)))),IF(I23='Data Base'!$Q$50,'Data Base'!$R$50*(IF(EXACT(M23,'Data Base'!$E$18),INDIRECT(CONCATENATE("'Data Base'!$C",N23)),INDIRECT(CONCATENATE("'Data Base'!$D",N23)))),IF(I23='Data Base'!$Q$51,'Data Base'!$R$51*(IF(EXACT(M23,'Data Base'!$E$18),INDIRECT(CONCATENATE("'Data Base'!$C",N23)),INDIRECT(CONCATENATE("'Data Base'!$D",N23)))),IF(I23='Data Base'!$Q$52,'Data Base'!$R$52*(IF(EXACT(M23,'Data Base'!$E$18),INDIRECT(CONCATENATE("'Data Base'!$C",N23)),INDIRECT(CONCATENATE("'Data Base'!$D",N23)))),IF(I23='Data Base'!$Q$53,'Data Base'!$R$53*(IF(EXACT(M23,'Data Base'!$E$18),INDIRECT(CONCATENATE("'Data Base'!$C",N23)),INDIRECT(CONCATENATE("'Data Base'!$D",N23)))),IF(I23='Data Base'!$Q$54,'Data Base'!$R$54*(IF(EXACT(M23,'Data Base'!$E$18),INDIRECT(CONCATENATE("'Data Base'!$C",N23)),INDIRECT(CONCATENATE("'Data Base'!$D",N23)))),)))))))))))</f>
        <v>0</v>
      </c>
      <c r="R23" s="845"/>
      <c r="S23" s="767"/>
      <c r="T23" s="1104"/>
      <c r="U23" s="1105"/>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8.5" customHeight="1">
      <c r="A24" s="152">
        <v>19</v>
      </c>
      <c r="B24" s="1106"/>
      <c r="C24" s="1107"/>
      <c r="D24" s="1107"/>
      <c r="E24" s="1107"/>
      <c r="F24" s="1107"/>
      <c r="G24" s="1108"/>
      <c r="H24" s="834"/>
      <c r="I24" s="1088"/>
      <c r="J24" s="1088"/>
      <c r="K24" s="1088"/>
      <c r="L24" s="829"/>
      <c r="M24" s="42"/>
      <c r="N24" s="833"/>
      <c r="O24" s="1087"/>
      <c r="P24" s="1087"/>
      <c r="Q24" s="809">
        <f ca="1">IF(OR(EXACT(M24,""),EXACT(N24,"")),0,IF(R24='Data Base'!$Q$79,0,IF(I24='Data Base'!$Q$46,'Data Base'!$R$46*(IF(EXACT(M24,'Data Base'!$E$18),INDIRECT(CONCATENATE("'Data Base'!$C",N24)),INDIRECT(CONCATENATE("'Data Base'!$D",N24)))),IF(I24='Data Base'!$Q$47,(IF(H24/'Data Base'!$R$61*'Data Base'!$R$47*(IF(EXACT(M24,'Data Base'!$E$18),INDIRECT(CONCATENATE("'Data Base'!$C",N24)),INDIRECT(CONCATENATE("'Data Base'!$D",N24))))&gt;4,4,H24/'Data Base'!$R$61*'Data Base'!$R$47*(IF(EXACT(M24,'Data Base'!$E$18),INDIRECT(CONCATENATE("'Data Base'!$C",N24)),INDIRECT(CONCATENATE("'Data Base'!$D",N24)))))),IF(I24='Data Base'!$Q$48,(IF(H24/'Data Base'!$R$61*'Data Base'!$R$48*(IF(EXACT(M24,'Data Base'!$E$18),INDIRECT(CONCATENATE("'Data Base'!$C",N24)),INDIRECT(CONCATENATE("'Data Base'!$D",N24))))&gt;2,2,H24/'Data Base'!$R$61*'Data Base'!$R$48*(IF(EXACT(M24,'Data Base'!$E$18),INDIRECT(CONCATENATE("'Data Base'!$C",N24)),INDIRECT(CONCATENATE("'Data Base'!$D",N24)))))),IF(I24='Data Base'!$Q$49,'Data Base'!$R$49*(IF(EXACT(M24,'Data Base'!$E$18),INDIRECT(CONCATENATE("'Data Base'!$C",N24)),INDIRECT(CONCATENATE("'Data Base'!$D",N24)))),IF(I24='Data Base'!$Q$50,'Data Base'!$R$50*(IF(EXACT(M24,'Data Base'!$E$18),INDIRECT(CONCATENATE("'Data Base'!$C",N24)),INDIRECT(CONCATENATE("'Data Base'!$D",N24)))),IF(I24='Data Base'!$Q$51,'Data Base'!$R$51*(IF(EXACT(M24,'Data Base'!$E$18),INDIRECT(CONCATENATE("'Data Base'!$C",N24)),INDIRECT(CONCATENATE("'Data Base'!$D",N24)))),IF(I24='Data Base'!$Q$52,'Data Base'!$R$52*(IF(EXACT(M24,'Data Base'!$E$18),INDIRECT(CONCATENATE("'Data Base'!$C",N24)),INDIRECT(CONCATENATE("'Data Base'!$D",N24)))),IF(I24='Data Base'!$Q$53,'Data Base'!$R$53*(IF(EXACT(M24,'Data Base'!$E$18),INDIRECT(CONCATENATE("'Data Base'!$C",N24)),INDIRECT(CONCATENATE("'Data Base'!$D",N24)))),IF(I24='Data Base'!$Q$54,'Data Base'!$R$54*(IF(EXACT(M24,'Data Base'!$E$18),INDIRECT(CONCATENATE("'Data Base'!$C",N24)),INDIRECT(CONCATENATE("'Data Base'!$D",N24)))),)))))))))))</f>
        <v>0</v>
      </c>
      <c r="R24" s="845"/>
      <c r="S24" s="767"/>
      <c r="T24" s="1104"/>
      <c r="U24" s="1105"/>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28.5" customHeight="1" thickBot="1">
      <c r="A25" s="153">
        <v>20</v>
      </c>
      <c r="B25" s="1106"/>
      <c r="C25" s="1107"/>
      <c r="D25" s="1107"/>
      <c r="E25" s="1107"/>
      <c r="F25" s="1107"/>
      <c r="G25" s="1108"/>
      <c r="H25" s="834"/>
      <c r="I25" s="1106"/>
      <c r="J25" s="1107"/>
      <c r="K25" s="1108"/>
      <c r="L25" s="827"/>
      <c r="M25" s="121"/>
      <c r="N25" s="834"/>
      <c r="O25" s="1146"/>
      <c r="P25" s="1147"/>
      <c r="Q25" s="810">
        <f ca="1">IF(OR(EXACT(M25,""),EXACT(N25,"")),0,IF(R25='Data Base'!$Q$79,0,IF(I25='Data Base'!$Q$46,'Data Base'!$R$46*(IF(EXACT(M25,'Data Base'!$E$18),INDIRECT(CONCATENATE("'Data Base'!$C",N25)),INDIRECT(CONCATENATE("'Data Base'!$D",N25)))),IF(I25='Data Base'!$Q$47,(IF(H25/'Data Base'!$R$61*'Data Base'!$R$47*(IF(EXACT(M25,'Data Base'!$E$18),INDIRECT(CONCATENATE("'Data Base'!$C",N25)),INDIRECT(CONCATENATE("'Data Base'!$D",N25))))&gt;4,4,H25/'Data Base'!$R$61*'Data Base'!$R$47*(IF(EXACT(M25,'Data Base'!$E$18),INDIRECT(CONCATENATE("'Data Base'!$C",N25)),INDIRECT(CONCATENATE("'Data Base'!$D",N25)))))),IF(I25='Data Base'!$Q$48,(IF(H25/'Data Base'!$R$61*'Data Base'!$R$48*(IF(EXACT(M25,'Data Base'!$E$18),INDIRECT(CONCATENATE("'Data Base'!$C",N25)),INDIRECT(CONCATENATE("'Data Base'!$D",N25))))&gt;2,2,H25/'Data Base'!$R$61*'Data Base'!$R$48*(IF(EXACT(M25,'Data Base'!$E$18),INDIRECT(CONCATENATE("'Data Base'!$C",N25)),INDIRECT(CONCATENATE("'Data Base'!$D",N25)))))),IF(I25='Data Base'!$Q$49,'Data Base'!$R$49*(IF(EXACT(M25,'Data Base'!$E$18),INDIRECT(CONCATENATE("'Data Base'!$C",N25)),INDIRECT(CONCATENATE("'Data Base'!$D",N25)))),IF(I25='Data Base'!$Q$50,'Data Base'!$R$50*(IF(EXACT(M25,'Data Base'!$E$18),INDIRECT(CONCATENATE("'Data Base'!$C",N25)),INDIRECT(CONCATENATE("'Data Base'!$D",N25)))),IF(I25='Data Base'!$Q$51,'Data Base'!$R$51*(IF(EXACT(M25,'Data Base'!$E$18),INDIRECT(CONCATENATE("'Data Base'!$C",N25)),INDIRECT(CONCATENATE("'Data Base'!$D",N25)))),IF(I25='Data Base'!$Q$52,'Data Base'!$R$52*(IF(EXACT(M25,'Data Base'!$E$18),INDIRECT(CONCATENATE("'Data Base'!$C",N25)),INDIRECT(CONCATENATE("'Data Base'!$D",N25)))),IF(I25='Data Base'!$Q$53,'Data Base'!$R$53*(IF(EXACT(M25,'Data Base'!$E$18),INDIRECT(CONCATENATE("'Data Base'!$C",N25)),INDIRECT(CONCATENATE("'Data Base'!$D",N25)))),IF(I25='Data Base'!$Q$54,'Data Base'!$R$54*(IF(EXACT(M25,'Data Base'!$E$18),INDIRECT(CONCATENATE("'Data Base'!$C",N25)),INDIRECT(CONCATENATE("'Data Base'!$D",N25)))),)))))))))))</f>
        <v>0</v>
      </c>
      <c r="R25" s="846"/>
      <c r="S25" s="769"/>
      <c r="T25" s="1155"/>
      <c r="U25" s="115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3.25" customHeight="1" thickBot="1">
      <c r="A26" s="1143" t="s">
        <v>378</v>
      </c>
      <c r="B26" s="1144"/>
      <c r="C26" s="1144"/>
      <c r="D26" s="1144"/>
      <c r="E26" s="1144"/>
      <c r="F26" s="1144"/>
      <c r="G26" s="1144"/>
      <c r="H26" s="1144"/>
      <c r="I26" s="1144"/>
      <c r="J26" s="1144"/>
      <c r="K26" s="1144"/>
      <c r="L26" s="1144"/>
      <c r="M26" s="1144"/>
      <c r="N26" s="1144"/>
      <c r="O26" s="1144"/>
      <c r="P26" s="1144"/>
      <c r="Q26" s="1145"/>
      <c r="R26" s="807">
        <f ca="1">SUM(Q6:Q25)</f>
        <v>0</v>
      </c>
      <c r="S26" s="807">
        <f>SUM(S6:S25)</f>
        <v>0</v>
      </c>
      <c r="T26" s="1102"/>
      <c r="U26" s="1103"/>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 customHeight="1">
      <c r="A27" s="1148" t="s">
        <v>31</v>
      </c>
      <c r="B27" s="1149"/>
      <c r="C27" s="1149"/>
      <c r="D27" s="1149"/>
      <c r="E27" s="1149"/>
      <c r="F27" s="1149"/>
      <c r="G27" s="1149"/>
      <c r="H27" s="1149"/>
      <c r="I27" s="1149"/>
      <c r="J27" s="1149"/>
      <c r="K27" s="1149"/>
      <c r="L27" s="1149" t="s">
        <v>572</v>
      </c>
      <c r="M27" s="1149"/>
      <c r="N27" s="1149"/>
      <c r="O27" s="1149"/>
      <c r="P27" s="1149"/>
      <c r="Q27" s="1149"/>
      <c r="R27" s="1149"/>
      <c r="S27" s="1149"/>
      <c r="T27" s="1149"/>
      <c r="U27" s="115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3" customHeight="1" thickBot="1">
      <c r="A28" s="1151">
        <f>'فرم الف'!A27</f>
        <v>0</v>
      </c>
      <c r="B28" s="1152"/>
      <c r="C28" s="1152"/>
      <c r="D28" s="1152"/>
      <c r="E28" s="1152"/>
      <c r="F28" s="1152"/>
      <c r="G28" s="1152"/>
      <c r="H28" s="1152"/>
      <c r="I28" s="1152"/>
      <c r="J28" s="1152"/>
      <c r="K28" s="1152"/>
      <c r="L28" s="1153" t="str">
        <f>'Data Base'!N32</f>
        <v>حميدرضا طاهري تربتي</v>
      </c>
      <c r="M28" s="1153"/>
      <c r="N28" s="1153"/>
      <c r="O28" s="1153"/>
      <c r="P28" s="1153"/>
      <c r="Q28" s="1153"/>
      <c r="R28" s="1153"/>
      <c r="S28" s="1153"/>
      <c r="T28" s="1153"/>
      <c r="U28" s="115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52.5" customHeight="1">
      <c r="A29" s="1096" t="s">
        <v>747</v>
      </c>
      <c r="B29" s="1097"/>
      <c r="C29" s="1097"/>
      <c r="D29" s="1097"/>
      <c r="E29" s="1097"/>
      <c r="F29" s="1097"/>
      <c r="G29" s="1097"/>
      <c r="H29" s="1097"/>
      <c r="I29" s="1097"/>
      <c r="J29" s="1097"/>
      <c r="K29" s="1097"/>
      <c r="L29" s="1097"/>
      <c r="M29" s="1097"/>
      <c r="N29" s="1097"/>
      <c r="O29" s="1097"/>
      <c r="P29" s="1097"/>
      <c r="Q29" s="1097"/>
      <c r="R29" s="1097"/>
      <c r="S29" s="1097"/>
      <c r="T29" s="1097"/>
      <c r="U29" s="1097"/>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17.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20.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17.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20.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17.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ht="20.25" customHeight="1">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2:80" ht="17.25" customHeight="1">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2:80" ht="20.25" customHeight="1">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2:80">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2:80" ht="17.25" customHeight="1">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2:80" ht="20.25" customHeight="1">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2:80">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2:80" ht="17.25" customHeight="1">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2:80" ht="20.25" customHeight="1">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2:80">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2:80">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50" ht="26.25" customHeight="1"/>
    <row r="51" ht="26.25" customHeight="1"/>
  </sheetData>
  <sheetProtection algorithmName="SHA-512" hashValue="o+JDmxBaoutUOo01pLpCe14Bc2vvqOadVodjLFn+lxZd9CGZEHhlDI4a8JJ63wsQ0c7oYpSr+MTHMl4ohqA+Lw==" saltValue="9Q9DboYgKfuFQ9uIEGCpJg==" spinCount="100000" sheet="1" objects="1" scenarios="1" formatCells="0" formatRows="0" selectLockedCells="1"/>
  <mergeCells count="108">
    <mergeCell ref="A27:K27"/>
    <mergeCell ref="L27:U27"/>
    <mergeCell ref="B22:G22"/>
    <mergeCell ref="A28:K28"/>
    <mergeCell ref="L28:U28"/>
    <mergeCell ref="B23:G23"/>
    <mergeCell ref="B24:G24"/>
    <mergeCell ref="T24:U24"/>
    <mergeCell ref="T25:U25"/>
    <mergeCell ref="B25:G25"/>
    <mergeCell ref="B16:G16"/>
    <mergeCell ref="B17:G17"/>
    <mergeCell ref="B18:G18"/>
    <mergeCell ref="B19:G19"/>
    <mergeCell ref="I18:K18"/>
    <mergeCell ref="B20:G20"/>
    <mergeCell ref="B21:G21"/>
    <mergeCell ref="I23:K23"/>
    <mergeCell ref="A26:Q26"/>
    <mergeCell ref="O23:P23"/>
    <mergeCell ref="I24:K24"/>
    <mergeCell ref="O24:P24"/>
    <mergeCell ref="I25:K25"/>
    <mergeCell ref="O25:P25"/>
    <mergeCell ref="O18:P18"/>
    <mergeCell ref="I19:K19"/>
    <mergeCell ref="O19:P19"/>
    <mergeCell ref="I20:K20"/>
    <mergeCell ref="O20:P20"/>
    <mergeCell ref="I21:K21"/>
    <mergeCell ref="O21:P21"/>
    <mergeCell ref="I22:K22"/>
    <mergeCell ref="O22:P22"/>
    <mergeCell ref="B9:G9"/>
    <mergeCell ref="I8:K8"/>
    <mergeCell ref="B10:G10"/>
    <mergeCell ref="B11:G11"/>
    <mergeCell ref="B12:G12"/>
    <mergeCell ref="B13:G13"/>
    <mergeCell ref="I13:K13"/>
    <mergeCell ref="B14:G14"/>
    <mergeCell ref="B15:G15"/>
    <mergeCell ref="T20:U20"/>
    <mergeCell ref="T21:U21"/>
    <mergeCell ref="T22:U22"/>
    <mergeCell ref="T23:U23"/>
    <mergeCell ref="B7:G7"/>
    <mergeCell ref="A1:B2"/>
    <mergeCell ref="M1:P1"/>
    <mergeCell ref="Q1:U1"/>
    <mergeCell ref="M2:P2"/>
    <mergeCell ref="Q2:U2"/>
    <mergeCell ref="A3:R3"/>
    <mergeCell ref="S3:U3"/>
    <mergeCell ref="A4:A5"/>
    <mergeCell ref="B4:G5"/>
    <mergeCell ref="B6:G6"/>
    <mergeCell ref="H4:H5"/>
    <mergeCell ref="O4:P5"/>
    <mergeCell ref="Q4:U4"/>
    <mergeCell ref="N4:N5"/>
    <mergeCell ref="M4:M5"/>
    <mergeCell ref="L4:L5"/>
    <mergeCell ref="I4:K5"/>
    <mergeCell ref="I6:K6"/>
    <mergeCell ref="B8:G8"/>
    <mergeCell ref="O6:P6"/>
    <mergeCell ref="J1:L1"/>
    <mergeCell ref="J2:L2"/>
    <mergeCell ref="C1:I1"/>
    <mergeCell ref="C2:I2"/>
    <mergeCell ref="I7:K7"/>
    <mergeCell ref="O7:P7"/>
    <mergeCell ref="A29:U29"/>
    <mergeCell ref="T5:U5"/>
    <mergeCell ref="T6:U6"/>
    <mergeCell ref="T26:U26"/>
    <mergeCell ref="T7:U7"/>
    <mergeCell ref="T8:U8"/>
    <mergeCell ref="T9:U9"/>
    <mergeCell ref="T10:U10"/>
    <mergeCell ref="T11:U11"/>
    <mergeCell ref="T12:U12"/>
    <mergeCell ref="T13:U13"/>
    <mergeCell ref="T14:U14"/>
    <mergeCell ref="T15:U15"/>
    <mergeCell ref="T16:U16"/>
    <mergeCell ref="T17:U17"/>
    <mergeCell ref="T18:U18"/>
    <mergeCell ref="T19:U19"/>
    <mergeCell ref="O8:P8"/>
    <mergeCell ref="I9:K9"/>
    <mergeCell ref="O9:P9"/>
    <mergeCell ref="I10:K10"/>
    <mergeCell ref="O10:P10"/>
    <mergeCell ref="I11:K11"/>
    <mergeCell ref="O11:P11"/>
    <mergeCell ref="I12:K12"/>
    <mergeCell ref="O12:P12"/>
    <mergeCell ref="O13:P13"/>
    <mergeCell ref="I14:K14"/>
    <mergeCell ref="O14:P14"/>
    <mergeCell ref="I15:K15"/>
    <mergeCell ref="O15:P15"/>
    <mergeCell ref="I16:K16"/>
    <mergeCell ref="O16:P16"/>
    <mergeCell ref="I17:K17"/>
    <mergeCell ref="O17:P17"/>
  </mergeCells>
  <conditionalFormatting sqref="B6:I6 O6 L6:M6">
    <cfRule type="containsBlanks" dxfId="251" priority="9">
      <formula>LEN(TRIM(B6))=0</formula>
    </cfRule>
  </conditionalFormatting>
  <conditionalFormatting sqref="B7:I25 O7:O25 L7:M25">
    <cfRule type="containsBlanks" dxfId="250" priority="4">
      <formula>LEN(TRIM(B7))=0</formula>
    </cfRule>
  </conditionalFormatting>
  <conditionalFormatting sqref="N6">
    <cfRule type="containsBlanks" dxfId="249" priority="2">
      <formula>LEN(TRIM(N6))=0</formula>
    </cfRule>
  </conditionalFormatting>
  <conditionalFormatting sqref="N7:N25">
    <cfRule type="containsBlanks" dxfId="248" priority="1">
      <formula>LEN(TRIM(N7))=0</formula>
    </cfRule>
  </conditionalFormatting>
  <dataValidations count="2">
    <dataValidation type="decimal" allowBlank="1" showInputMessage="1" showErrorMessage="1" errorTitle="خطا در ورود امتياز" error="لطفا يك عدد بين صفر و 4 وارد نماييد" promptTitle="توجه:" prompt="آثار بدیع و ارزنده هنری 2_x000a_تالیف کتاب 4_x000a_ترجمه کتاب و مقاله 2_x000a_مقاله علمی پژوهشی 3_x000a_مقاله همایش‌ی چکیده 0/5 و متن کامل 1_x000a_مقاله در جراید کثیر الانتشار 0/25_x000a_مقاله علمی ترویجی 2" sqref="S6:S25">
      <formula1>0</formula1>
      <formula2>4</formula2>
    </dataValidation>
    <dataValidation type="whole" operator="greaterThan" allowBlank="1" showInputMessage="1" showErrorMessage="1" errorTitle="خطا:" error="لطفا یک عدد صحیح وارد نمایید" sqref="H6:H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5" operator="containsText" id="{866359C6-0B9D-4969-9853-5FEAC2F79232}">
            <xm:f>NOT(ISERROR(SEARCH('Data Base'!$Q$54,L6)))</xm:f>
            <xm:f>'Data Base'!$Q$54</xm:f>
            <x14:dxf>
              <font>
                <color rgb="FFC00000"/>
              </font>
              <fill>
                <patternFill>
                  <bgColor theme="5" tint="0.59996337778862885"/>
                </patternFill>
              </fill>
            </x14:dxf>
          </x14:cfRule>
          <xm:sqref>L6</xm:sqref>
        </x14:conditionalFormatting>
        <x14:conditionalFormatting xmlns:xm="http://schemas.microsoft.com/office/excel/2006/main">
          <x14:cfRule type="containsText" priority="3" operator="containsText" id="{866451ED-F012-43F9-BE7D-FC8B1E2DB980}">
            <xm:f>NOT(ISERROR(SEARCH('Data Base'!$Q$54,L7)))</xm:f>
            <xm:f>'Data Base'!$Q$54</xm:f>
            <x14:dxf>
              <font>
                <color rgb="FFC00000"/>
              </font>
              <fill>
                <patternFill>
                  <bgColor theme="5" tint="0.59996337778862885"/>
                </patternFill>
              </fill>
            </x14:dxf>
          </x14:cfRule>
          <xm:sqref>L7:L25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ليست شده انتخاب نماييد">
          <x14:formula1>
            <xm:f>'Data Base'!$Q$46:$Q$54</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 type="list" allowBlank="1" showInputMessage="1" showErrorMessage="1" errorTitle="خطا در ورود اطلاعات" error="لطفا از موارد ليست شده انتخاب نماييد">
          <x14:formula1>
            <xm:f>'Data Base'!$C$1:$C$10</xm:f>
          </x14:formula1>
          <xm:sqref>N6:N25</xm:sqref>
        </x14:dataValidation>
        <x14:dataValidation type="list" allowBlank="1" showInputMessage="1" showErrorMessage="1" errorTitle="خطا در ورود اطلاعات" error="لطفا از موارد ليست شده انتخاب نماييد">
          <x14:formula1>
            <xm:f>'Data Base'!$E$18:$E$19</xm:f>
          </x14:formula1>
          <xm:sqref>M6:M25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42578125" style="19" customWidth="1"/>
    <col min="7" max="7" width="5.85546875" style="19" customWidth="1"/>
    <col min="8" max="8" width="6.140625" style="19" customWidth="1"/>
    <col min="9" max="9" width="11.42578125" style="19" customWidth="1"/>
    <col min="10" max="10" width="6.140625" style="19" customWidth="1"/>
    <col min="11" max="12" width="7.5703125" style="19" customWidth="1"/>
    <col min="13" max="13" width="6.140625" style="19" customWidth="1"/>
    <col min="14" max="15" width="6.5703125" style="19" customWidth="1"/>
    <col min="16" max="16" width="6.140625" style="19" customWidth="1"/>
    <col min="17" max="19" width="5.42578125" style="19" customWidth="1"/>
    <col min="20" max="20" width="9.28515625" style="19" customWidth="1"/>
    <col min="21" max="16384" width="9.140625" style="19"/>
  </cols>
  <sheetData>
    <row r="1" spans="1:79" ht="15" customHeight="1">
      <c r="A1" s="1466" t="s">
        <v>34</v>
      </c>
      <c r="B1" s="1467"/>
      <c r="C1" s="1494" t="s">
        <v>0</v>
      </c>
      <c r="D1" s="1486"/>
      <c r="E1" s="1486"/>
      <c r="F1" s="1486"/>
      <c r="G1" s="1486"/>
      <c r="H1" s="1486" t="s">
        <v>1</v>
      </c>
      <c r="I1" s="1486"/>
      <c r="J1" s="1486"/>
      <c r="K1" s="1486"/>
      <c r="L1" s="1491" t="s">
        <v>2</v>
      </c>
      <c r="M1" s="1491"/>
      <c r="N1" s="1491"/>
      <c r="O1" s="1491"/>
      <c r="P1" s="1486" t="s">
        <v>3</v>
      </c>
      <c r="Q1" s="1486"/>
      <c r="R1" s="1486"/>
      <c r="S1" s="1486"/>
      <c r="T1" s="1487"/>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row>
    <row r="2" spans="1:79" ht="24" customHeight="1" thickBot="1">
      <c r="A2" s="1468"/>
      <c r="B2" s="1469"/>
      <c r="C2" s="1495">
        <f>'فرم الف'!B5</f>
        <v>0</v>
      </c>
      <c r="D2" s="1493"/>
      <c r="E2" s="1493"/>
      <c r="F2" s="1493"/>
      <c r="G2" s="1493"/>
      <c r="H2" s="1492">
        <f>'فرم الف'!A27</f>
        <v>0</v>
      </c>
      <c r="I2" s="1493"/>
      <c r="J2" s="1493"/>
      <c r="K2" s="1493"/>
      <c r="L2" s="1492">
        <f>'فرم الف'!J15</f>
        <v>0</v>
      </c>
      <c r="M2" s="1493"/>
      <c r="N2" s="1493"/>
      <c r="O2" s="1493"/>
      <c r="P2" s="1488">
        <f>'فرم الف'!D9</f>
        <v>0</v>
      </c>
      <c r="Q2" s="1489"/>
      <c r="R2" s="1489"/>
      <c r="S2" s="1489"/>
      <c r="T2" s="1490"/>
      <c r="Y2" s="198"/>
      <c r="Z2" s="198"/>
      <c r="AA2" s="198"/>
      <c r="AB2" s="198"/>
      <c r="AC2" s="178"/>
      <c r="AD2" s="198"/>
      <c r="AE2" s="198"/>
      <c r="AF2" s="198"/>
      <c r="AG2" s="198"/>
      <c r="AH2" s="198"/>
      <c r="AI2" s="198"/>
      <c r="AJ2" s="198"/>
      <c r="AK2" s="198"/>
      <c r="AL2" s="198"/>
      <c r="AM2" s="198"/>
      <c r="AN2" s="198"/>
      <c r="AO2" s="198"/>
      <c r="AP2" s="198"/>
      <c r="AQ2" s="179"/>
      <c r="AR2" s="180"/>
      <c r="AS2" s="180"/>
      <c r="AT2" s="179"/>
      <c r="AU2" s="180"/>
      <c r="AV2" s="180"/>
      <c r="AW2" s="179"/>
      <c r="AX2" s="180"/>
      <c r="AY2" s="180"/>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row>
    <row r="3" spans="1:79" ht="21.75" customHeight="1" thickBot="1">
      <c r="A3" s="1496" t="s">
        <v>1036</v>
      </c>
      <c r="B3" s="1496"/>
      <c r="C3" s="1496"/>
      <c r="D3" s="1496"/>
      <c r="E3" s="1496"/>
      <c r="F3" s="1496"/>
      <c r="G3" s="1496"/>
      <c r="H3" s="1496"/>
      <c r="I3" s="1496"/>
      <c r="J3" s="1496"/>
      <c r="K3" s="1496"/>
      <c r="L3" s="1496"/>
      <c r="M3" s="1496"/>
      <c r="N3" s="1496"/>
      <c r="O3" s="1496"/>
      <c r="P3" s="1496"/>
      <c r="Q3" s="1496"/>
      <c r="R3" s="1496"/>
      <c r="S3" s="1759" t="s">
        <v>396</v>
      </c>
      <c r="T3" s="1759"/>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9"/>
      <c r="BD3" s="199"/>
      <c r="BE3" s="199"/>
      <c r="BF3" s="198"/>
      <c r="BG3" s="198"/>
      <c r="BH3" s="198"/>
      <c r="BI3" s="198"/>
      <c r="BJ3" s="198"/>
      <c r="BK3" s="198"/>
      <c r="BL3" s="198"/>
      <c r="BM3" s="198"/>
      <c r="BN3" s="198"/>
      <c r="BO3" s="198"/>
      <c r="BP3" s="198"/>
      <c r="BQ3" s="198"/>
      <c r="BR3" s="198"/>
      <c r="BS3" s="198"/>
      <c r="BT3" s="198"/>
      <c r="BU3" s="198"/>
      <c r="BV3" s="198"/>
      <c r="BW3" s="198"/>
      <c r="BX3" s="198"/>
      <c r="BY3" s="198"/>
      <c r="BZ3" s="198"/>
      <c r="CA3" s="198"/>
    </row>
    <row r="4" spans="1:79" ht="16.5" customHeight="1">
      <c r="A4" s="1479" t="s">
        <v>9</v>
      </c>
      <c r="B4" s="1644" t="s">
        <v>404</v>
      </c>
      <c r="C4" s="1645"/>
      <c r="D4" s="1645"/>
      <c r="E4" s="1645"/>
      <c r="F4" s="1646"/>
      <c r="G4" s="1453" t="s">
        <v>367</v>
      </c>
      <c r="H4" s="1650"/>
      <c r="I4" s="1454"/>
      <c r="J4" s="1477" t="s">
        <v>402</v>
      </c>
      <c r="K4" s="1650" t="s">
        <v>294</v>
      </c>
      <c r="L4" s="1454"/>
      <c r="M4" s="1650" t="s">
        <v>403</v>
      </c>
      <c r="N4" s="1650"/>
      <c r="O4" s="1650"/>
      <c r="P4" s="1454"/>
      <c r="Q4" s="1470" t="s">
        <v>13</v>
      </c>
      <c r="R4" s="1470"/>
      <c r="S4" s="1470"/>
      <c r="T4" s="1524" t="s">
        <v>14</v>
      </c>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row>
    <row r="5" spans="1:79" ht="60" customHeight="1" thickBot="1">
      <c r="A5" s="1480"/>
      <c r="B5" s="1647"/>
      <c r="C5" s="1648"/>
      <c r="D5" s="1648"/>
      <c r="E5" s="1648"/>
      <c r="F5" s="1649"/>
      <c r="G5" s="1455"/>
      <c r="H5" s="1651"/>
      <c r="I5" s="1456"/>
      <c r="J5" s="1478"/>
      <c r="K5" s="237" t="s">
        <v>301</v>
      </c>
      <c r="L5" s="213" t="s">
        <v>302</v>
      </c>
      <c r="M5" s="1651"/>
      <c r="N5" s="1651"/>
      <c r="O5" s="1651"/>
      <c r="P5" s="1456"/>
      <c r="Q5" s="188" t="s">
        <v>17</v>
      </c>
      <c r="R5" s="188" t="s">
        <v>349</v>
      </c>
      <c r="S5" s="188" t="s">
        <v>18</v>
      </c>
      <c r="T5" s="1525"/>
      <c r="V5" s="189"/>
      <c r="Y5" s="198"/>
      <c r="Z5" s="200"/>
      <c r="AA5" s="200"/>
      <c r="AB5" s="200"/>
      <c r="AC5" s="191"/>
      <c r="AD5" s="191"/>
      <c r="AE5" s="191"/>
      <c r="AF5" s="191"/>
      <c r="AG5" s="200"/>
      <c r="AH5" s="191"/>
      <c r="AI5" s="200"/>
      <c r="AJ5" s="200"/>
      <c r="AK5" s="200"/>
      <c r="AL5" s="200"/>
      <c r="AM5" s="200"/>
      <c r="AN5" s="200"/>
      <c r="AO5" s="200"/>
      <c r="AP5" s="200"/>
      <c r="AQ5" s="201"/>
      <c r="AR5" s="200"/>
      <c r="AS5" s="200"/>
      <c r="AT5" s="201"/>
      <c r="AU5" s="200"/>
      <c r="AV5" s="200"/>
      <c r="AW5" s="201"/>
      <c r="AX5" s="200"/>
      <c r="AY5" s="200"/>
      <c r="AZ5" s="201"/>
      <c r="BA5" s="200"/>
      <c r="BB5" s="200"/>
      <c r="BC5" s="201"/>
      <c r="BD5" s="191"/>
      <c r="BE5" s="201"/>
      <c r="BF5" s="201"/>
      <c r="BG5" s="191"/>
      <c r="BH5" s="201"/>
      <c r="BI5" s="202"/>
      <c r="BJ5" s="194"/>
      <c r="BK5" s="202"/>
      <c r="BL5" s="202"/>
      <c r="BM5" s="194"/>
      <c r="BN5" s="202"/>
      <c r="BO5" s="202"/>
      <c r="BP5" s="202"/>
      <c r="BQ5" s="202"/>
      <c r="BR5" s="202"/>
      <c r="BS5" s="202"/>
      <c r="BT5" s="202"/>
      <c r="BU5" s="201"/>
      <c r="BV5" s="191"/>
      <c r="BW5" s="200"/>
      <c r="BX5" s="201"/>
      <c r="BY5" s="191"/>
      <c r="BZ5" s="200"/>
      <c r="CA5" s="198"/>
    </row>
    <row r="6" spans="1:79" ht="27" customHeight="1">
      <c r="A6" s="223">
        <v>1</v>
      </c>
      <c r="B6" s="1688"/>
      <c r="C6" s="1688"/>
      <c r="D6" s="1688"/>
      <c r="E6" s="1688"/>
      <c r="F6" s="1688"/>
      <c r="G6" s="1404"/>
      <c r="H6" s="1404"/>
      <c r="I6" s="1404"/>
      <c r="J6" s="627"/>
      <c r="K6" s="120"/>
      <c r="L6" s="120"/>
      <c r="M6" s="1365"/>
      <c r="N6" s="1365"/>
      <c r="O6" s="1365"/>
      <c r="P6" s="1365"/>
      <c r="Q6" s="563"/>
      <c r="R6" s="175"/>
      <c r="S6" s="13"/>
      <c r="T6" s="143"/>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row>
    <row r="7" spans="1:79" ht="27" customHeight="1">
      <c r="A7" s="224">
        <v>2</v>
      </c>
      <c r="B7" s="1164"/>
      <c r="C7" s="1164"/>
      <c r="D7" s="1164"/>
      <c r="E7" s="1164"/>
      <c r="F7" s="1164"/>
      <c r="G7" s="1157"/>
      <c r="H7" s="1157"/>
      <c r="I7" s="1157"/>
      <c r="J7" s="628"/>
      <c r="K7" s="56"/>
      <c r="L7" s="56"/>
      <c r="M7" s="1750"/>
      <c r="N7" s="1750"/>
      <c r="O7" s="1750"/>
      <c r="P7" s="1750"/>
      <c r="Q7" s="550"/>
      <c r="R7" s="34"/>
      <c r="S7" s="145"/>
      <c r="T7" s="144"/>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row>
    <row r="8" spans="1:79" ht="27" customHeight="1">
      <c r="A8" s="224">
        <v>3</v>
      </c>
      <c r="B8" s="1164"/>
      <c r="C8" s="1164"/>
      <c r="D8" s="1164"/>
      <c r="E8" s="1164"/>
      <c r="F8" s="1164"/>
      <c r="G8" s="1157"/>
      <c r="H8" s="1157"/>
      <c r="I8" s="1157"/>
      <c r="J8" s="628"/>
      <c r="K8" s="56"/>
      <c r="L8" s="56"/>
      <c r="M8" s="1750"/>
      <c r="N8" s="1750"/>
      <c r="O8" s="1750"/>
      <c r="P8" s="1750"/>
      <c r="Q8" s="550"/>
      <c r="R8" s="34"/>
      <c r="S8" s="145"/>
      <c r="T8" s="144"/>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row>
    <row r="9" spans="1:79" ht="27" customHeight="1">
      <c r="A9" s="224">
        <v>4</v>
      </c>
      <c r="B9" s="1164"/>
      <c r="C9" s="1164"/>
      <c r="D9" s="1164"/>
      <c r="E9" s="1164"/>
      <c r="F9" s="1164"/>
      <c r="G9" s="1157"/>
      <c r="H9" s="1157"/>
      <c r="I9" s="1157"/>
      <c r="J9" s="628"/>
      <c r="K9" s="56"/>
      <c r="L9" s="56"/>
      <c r="M9" s="1750"/>
      <c r="N9" s="1750"/>
      <c r="O9" s="1750"/>
      <c r="P9" s="1750"/>
      <c r="Q9" s="550"/>
      <c r="R9" s="34"/>
      <c r="S9" s="145"/>
      <c r="T9" s="144"/>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row>
    <row r="10" spans="1:79" ht="27" customHeight="1">
      <c r="A10" s="224">
        <v>5</v>
      </c>
      <c r="B10" s="1164"/>
      <c r="C10" s="1164"/>
      <c r="D10" s="1164"/>
      <c r="E10" s="1164"/>
      <c r="F10" s="1164"/>
      <c r="G10" s="1157"/>
      <c r="H10" s="1157"/>
      <c r="I10" s="1157"/>
      <c r="J10" s="628"/>
      <c r="K10" s="56"/>
      <c r="L10" s="56"/>
      <c r="M10" s="1750"/>
      <c r="N10" s="1750"/>
      <c r="O10" s="1750"/>
      <c r="P10" s="1750"/>
      <c r="Q10" s="550"/>
      <c r="R10" s="34"/>
      <c r="S10" s="145"/>
      <c r="T10" s="144"/>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row>
    <row r="11" spans="1:79" ht="27" customHeight="1">
      <c r="A11" s="224">
        <v>6</v>
      </c>
      <c r="B11" s="1164"/>
      <c r="C11" s="1164"/>
      <c r="D11" s="1164"/>
      <c r="E11" s="1164"/>
      <c r="F11" s="1164"/>
      <c r="G11" s="1157"/>
      <c r="H11" s="1157"/>
      <c r="I11" s="1157"/>
      <c r="J11" s="628"/>
      <c r="K11" s="56"/>
      <c r="L11" s="56"/>
      <c r="M11" s="1750"/>
      <c r="N11" s="1750"/>
      <c r="O11" s="1750"/>
      <c r="P11" s="1750"/>
      <c r="Q11" s="550"/>
      <c r="R11" s="34"/>
      <c r="S11" s="145"/>
      <c r="T11" s="144"/>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row>
    <row r="12" spans="1:79" ht="27" customHeight="1">
      <c r="A12" s="224">
        <v>7</v>
      </c>
      <c r="B12" s="1164"/>
      <c r="C12" s="1164"/>
      <c r="D12" s="1164"/>
      <c r="E12" s="1164"/>
      <c r="F12" s="1164"/>
      <c r="G12" s="1157"/>
      <c r="H12" s="1157"/>
      <c r="I12" s="1157"/>
      <c r="J12" s="628"/>
      <c r="K12" s="56"/>
      <c r="L12" s="56"/>
      <c r="M12" s="1750"/>
      <c r="N12" s="1750"/>
      <c r="O12" s="1750"/>
      <c r="P12" s="1750"/>
      <c r="Q12" s="550"/>
      <c r="R12" s="34"/>
      <c r="S12" s="145"/>
      <c r="T12" s="144"/>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row>
    <row r="13" spans="1:79" ht="27" customHeight="1">
      <c r="A13" s="224">
        <v>8</v>
      </c>
      <c r="B13" s="1164"/>
      <c r="C13" s="1164"/>
      <c r="D13" s="1164"/>
      <c r="E13" s="1164"/>
      <c r="F13" s="1164"/>
      <c r="G13" s="1157"/>
      <c r="H13" s="1157"/>
      <c r="I13" s="1157"/>
      <c r="J13" s="628"/>
      <c r="K13" s="56"/>
      <c r="L13" s="56"/>
      <c r="M13" s="1750"/>
      <c r="N13" s="1750"/>
      <c r="O13" s="1750"/>
      <c r="P13" s="1750"/>
      <c r="Q13" s="550"/>
      <c r="R13" s="34"/>
      <c r="S13" s="145"/>
      <c r="T13" s="144"/>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row>
    <row r="14" spans="1:79" ht="27" customHeight="1">
      <c r="A14" s="224">
        <v>9</v>
      </c>
      <c r="B14" s="1164"/>
      <c r="C14" s="1164"/>
      <c r="D14" s="1164"/>
      <c r="E14" s="1164"/>
      <c r="F14" s="1164"/>
      <c r="G14" s="1157"/>
      <c r="H14" s="1157"/>
      <c r="I14" s="1157"/>
      <c r="J14" s="628"/>
      <c r="K14" s="56"/>
      <c r="L14" s="56"/>
      <c r="M14" s="1750"/>
      <c r="N14" s="1750"/>
      <c r="O14" s="1750"/>
      <c r="P14" s="1750"/>
      <c r="Q14" s="550"/>
      <c r="R14" s="34"/>
      <c r="S14" s="145"/>
      <c r="T14" s="144"/>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row>
    <row r="15" spans="1:79" ht="27" customHeight="1">
      <c r="A15" s="225">
        <v>10</v>
      </c>
      <c r="B15" s="1260"/>
      <c r="C15" s="1260"/>
      <c r="D15" s="1260"/>
      <c r="E15" s="1260"/>
      <c r="F15" s="1260"/>
      <c r="G15" s="1182"/>
      <c r="H15" s="1182"/>
      <c r="I15" s="1182"/>
      <c r="J15" s="629"/>
      <c r="K15" s="630"/>
      <c r="L15" s="630"/>
      <c r="M15" s="1751"/>
      <c r="N15" s="1751"/>
      <c r="O15" s="1751"/>
      <c r="P15" s="1751"/>
      <c r="Q15" s="550"/>
      <c r="R15" s="176"/>
      <c r="S15" s="147"/>
      <c r="T15" s="146"/>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row>
    <row r="16" spans="1:79" ht="27" customHeight="1">
      <c r="A16" s="224">
        <v>11</v>
      </c>
      <c r="B16" s="1164"/>
      <c r="C16" s="1164"/>
      <c r="D16" s="1164"/>
      <c r="E16" s="1164"/>
      <c r="F16" s="1164"/>
      <c r="G16" s="1157"/>
      <c r="H16" s="1157"/>
      <c r="I16" s="1157"/>
      <c r="J16" s="628"/>
      <c r="K16" s="56"/>
      <c r="L16" s="56"/>
      <c r="M16" s="1750"/>
      <c r="N16" s="1750"/>
      <c r="O16" s="1750"/>
      <c r="P16" s="1750"/>
      <c r="Q16" s="550"/>
      <c r="R16" s="34"/>
      <c r="S16" s="145"/>
      <c r="T16" s="144"/>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row>
    <row r="17" spans="1:79" ht="27" customHeight="1">
      <c r="A17" s="224">
        <v>12</v>
      </c>
      <c r="B17" s="1164"/>
      <c r="C17" s="1164"/>
      <c r="D17" s="1164"/>
      <c r="E17" s="1164"/>
      <c r="F17" s="1164"/>
      <c r="G17" s="1157"/>
      <c r="H17" s="1157"/>
      <c r="I17" s="1157"/>
      <c r="J17" s="628"/>
      <c r="K17" s="56"/>
      <c r="L17" s="56"/>
      <c r="M17" s="1750"/>
      <c r="N17" s="1750"/>
      <c r="O17" s="1750"/>
      <c r="P17" s="1750"/>
      <c r="Q17" s="550"/>
      <c r="R17" s="34"/>
      <c r="S17" s="145"/>
      <c r="T17" s="144"/>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row>
    <row r="18" spans="1:79" ht="27" customHeight="1">
      <c r="A18" s="225">
        <v>13</v>
      </c>
      <c r="B18" s="1164"/>
      <c r="C18" s="1164"/>
      <c r="D18" s="1164"/>
      <c r="E18" s="1164"/>
      <c r="F18" s="1164"/>
      <c r="G18" s="1157"/>
      <c r="H18" s="1157"/>
      <c r="I18" s="1157"/>
      <c r="J18" s="628"/>
      <c r="K18" s="56"/>
      <c r="L18" s="56"/>
      <c r="M18" s="1750"/>
      <c r="N18" s="1750"/>
      <c r="O18" s="1750"/>
      <c r="P18" s="1750"/>
      <c r="Q18" s="550"/>
      <c r="R18" s="34"/>
      <c r="S18" s="145"/>
      <c r="T18" s="144"/>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row>
    <row r="19" spans="1:79" ht="27" customHeight="1">
      <c r="A19" s="224">
        <v>14</v>
      </c>
      <c r="B19" s="1164"/>
      <c r="C19" s="1164"/>
      <c r="D19" s="1164"/>
      <c r="E19" s="1164"/>
      <c r="F19" s="1164"/>
      <c r="G19" s="1157"/>
      <c r="H19" s="1157"/>
      <c r="I19" s="1157"/>
      <c r="J19" s="628"/>
      <c r="K19" s="56"/>
      <c r="L19" s="56"/>
      <c r="M19" s="1750"/>
      <c r="N19" s="1750"/>
      <c r="O19" s="1750"/>
      <c r="P19" s="1750"/>
      <c r="Q19" s="550"/>
      <c r="R19" s="34"/>
      <c r="S19" s="145"/>
      <c r="T19" s="144"/>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row>
    <row r="20" spans="1:79" ht="27" customHeight="1">
      <c r="A20" s="224">
        <v>15</v>
      </c>
      <c r="B20" s="1164"/>
      <c r="C20" s="1164"/>
      <c r="D20" s="1164"/>
      <c r="E20" s="1164"/>
      <c r="F20" s="1164"/>
      <c r="G20" s="1157"/>
      <c r="H20" s="1157"/>
      <c r="I20" s="1157"/>
      <c r="J20" s="628"/>
      <c r="K20" s="56"/>
      <c r="L20" s="56"/>
      <c r="M20" s="1750"/>
      <c r="N20" s="1750"/>
      <c r="O20" s="1750"/>
      <c r="P20" s="1750"/>
      <c r="Q20" s="550"/>
      <c r="R20" s="34"/>
      <c r="S20" s="145"/>
      <c r="T20" s="144"/>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row>
    <row r="21" spans="1:79" ht="27" customHeight="1">
      <c r="A21" s="225">
        <v>16</v>
      </c>
      <c r="B21" s="1164"/>
      <c r="C21" s="1164"/>
      <c r="D21" s="1164"/>
      <c r="E21" s="1164"/>
      <c r="F21" s="1164"/>
      <c r="G21" s="1157"/>
      <c r="H21" s="1157"/>
      <c r="I21" s="1157"/>
      <c r="J21" s="628"/>
      <c r="K21" s="56"/>
      <c r="L21" s="56"/>
      <c r="M21" s="1750"/>
      <c r="N21" s="1750"/>
      <c r="O21" s="1750"/>
      <c r="P21" s="1750"/>
      <c r="Q21" s="550"/>
      <c r="R21" s="34"/>
      <c r="S21" s="145"/>
      <c r="T21" s="144"/>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row>
    <row r="22" spans="1:79" ht="27" customHeight="1">
      <c r="A22" s="224">
        <v>17</v>
      </c>
      <c r="B22" s="1164"/>
      <c r="C22" s="1164"/>
      <c r="D22" s="1164"/>
      <c r="E22" s="1164"/>
      <c r="F22" s="1164"/>
      <c r="G22" s="1157"/>
      <c r="H22" s="1157"/>
      <c r="I22" s="1157"/>
      <c r="J22" s="628"/>
      <c r="K22" s="56"/>
      <c r="L22" s="56"/>
      <c r="M22" s="1750"/>
      <c r="N22" s="1750"/>
      <c r="O22" s="1750"/>
      <c r="P22" s="1750"/>
      <c r="Q22" s="550"/>
      <c r="R22" s="34"/>
      <c r="S22" s="145"/>
      <c r="T22" s="144"/>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row>
    <row r="23" spans="1:79" ht="27" customHeight="1">
      <c r="A23" s="224">
        <v>18</v>
      </c>
      <c r="B23" s="1164"/>
      <c r="C23" s="1164"/>
      <c r="D23" s="1164"/>
      <c r="E23" s="1164"/>
      <c r="F23" s="1164"/>
      <c r="G23" s="1157"/>
      <c r="H23" s="1157"/>
      <c r="I23" s="1157"/>
      <c r="J23" s="628"/>
      <c r="K23" s="56"/>
      <c r="L23" s="56"/>
      <c r="M23" s="1750"/>
      <c r="N23" s="1750"/>
      <c r="O23" s="1750"/>
      <c r="P23" s="1750"/>
      <c r="Q23" s="550"/>
      <c r="R23" s="34"/>
      <c r="S23" s="145"/>
      <c r="T23" s="144"/>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row>
    <row r="24" spans="1:79" ht="27" customHeight="1">
      <c r="A24" s="225">
        <v>19</v>
      </c>
      <c r="B24" s="1164"/>
      <c r="C24" s="1164"/>
      <c r="D24" s="1164"/>
      <c r="E24" s="1164"/>
      <c r="F24" s="1164"/>
      <c r="G24" s="1157"/>
      <c r="H24" s="1157"/>
      <c r="I24" s="1157"/>
      <c r="J24" s="628"/>
      <c r="K24" s="56"/>
      <c r="L24" s="56"/>
      <c r="M24" s="1750"/>
      <c r="N24" s="1750"/>
      <c r="O24" s="1750"/>
      <c r="P24" s="1750"/>
      <c r="Q24" s="550"/>
      <c r="R24" s="34"/>
      <c r="S24" s="145"/>
      <c r="T24" s="144"/>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row>
    <row r="25" spans="1:79" ht="27" customHeight="1" thickBot="1">
      <c r="A25" s="224">
        <v>20</v>
      </c>
      <c r="B25" s="1260"/>
      <c r="C25" s="1260"/>
      <c r="D25" s="1260"/>
      <c r="E25" s="1260"/>
      <c r="F25" s="1260"/>
      <c r="G25" s="1182"/>
      <c r="H25" s="1182"/>
      <c r="I25" s="1182"/>
      <c r="J25" s="629"/>
      <c r="K25" s="630"/>
      <c r="L25" s="630"/>
      <c r="M25" s="1751"/>
      <c r="N25" s="1751"/>
      <c r="O25" s="1751"/>
      <c r="P25" s="1751"/>
      <c r="Q25" s="550"/>
      <c r="R25" s="176"/>
      <c r="S25" s="147"/>
      <c r="T25" s="146"/>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row>
    <row r="26" spans="1:79" ht="26.25" thickBot="1">
      <c r="A26" s="1143" t="s">
        <v>270</v>
      </c>
      <c r="B26" s="1144"/>
      <c r="C26" s="1144"/>
      <c r="D26" s="1144"/>
      <c r="E26" s="1144"/>
      <c r="F26" s="1144"/>
      <c r="G26" s="1144"/>
      <c r="H26" s="1144"/>
      <c r="I26" s="1144"/>
      <c r="J26" s="1144"/>
      <c r="K26" s="215">
        <f>SUM(Q6:Q25)</f>
        <v>0</v>
      </c>
      <c r="L26" s="1188" t="s">
        <v>405</v>
      </c>
      <c r="M26" s="1188"/>
      <c r="N26" s="1188"/>
      <c r="O26" s="1188"/>
      <c r="P26" s="1189"/>
      <c r="Q26" s="216">
        <f>IF(K26&gt;10,10,K26)</f>
        <v>0</v>
      </c>
      <c r="R26" s="238">
        <f>IF(SUM(R6:R25)&gt;10,10,SUM(R6:R25))</f>
        <v>0</v>
      </c>
      <c r="S26" s="48"/>
      <c r="T26" s="177"/>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row>
    <row r="27" spans="1:79" ht="29.25" customHeight="1">
      <c r="A27" s="1507" t="s">
        <v>31</v>
      </c>
      <c r="B27" s="1508"/>
      <c r="C27" s="1508"/>
      <c r="D27" s="1508"/>
      <c r="E27" s="1508"/>
      <c r="F27" s="1508"/>
      <c r="G27" s="1508"/>
      <c r="H27" s="1430" t="s">
        <v>32</v>
      </c>
      <c r="I27" s="1430"/>
      <c r="J27" s="1431">
        <f>P2</f>
        <v>0</v>
      </c>
      <c r="K27" s="1432"/>
      <c r="L27" s="1432"/>
      <c r="M27" s="1432"/>
      <c r="N27" s="1430" t="s">
        <v>33</v>
      </c>
      <c r="O27" s="1430"/>
      <c r="P27" s="1430"/>
      <c r="Q27" s="1432">
        <f>C2</f>
        <v>0</v>
      </c>
      <c r="R27" s="1432"/>
      <c r="S27" s="1432"/>
      <c r="T27" s="1506"/>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row>
    <row r="28" spans="1:79" ht="29.25" customHeight="1" thickBot="1">
      <c r="A28" s="1437">
        <f>'فرم الف'!A27</f>
        <v>0</v>
      </c>
      <c r="B28" s="1425"/>
      <c r="C28" s="1425"/>
      <c r="D28" s="1425"/>
      <c r="E28" s="1425"/>
      <c r="F28" s="1425"/>
      <c r="G28" s="1425"/>
      <c r="H28" s="1425">
        <f>'فرم الف'!E27</f>
        <v>0</v>
      </c>
      <c r="I28" s="1425"/>
      <c r="J28" s="1425"/>
      <c r="K28" s="1425"/>
      <c r="L28" s="1425"/>
      <c r="M28" s="1425"/>
      <c r="N28" s="1425" t="str">
        <f>'فرم الف'!J27</f>
        <v/>
      </c>
      <c r="O28" s="1425"/>
      <c r="P28" s="1425"/>
      <c r="Q28" s="1425"/>
      <c r="R28" s="1425"/>
      <c r="S28" s="1425"/>
      <c r="T28" s="1426"/>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row>
    <row r="29" spans="1:79">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row>
    <row r="30" spans="1:79" ht="17.25" customHeight="1">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row>
    <row r="31" spans="1:79" ht="20.25" customHeight="1">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row>
    <row r="32" spans="1:79">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row>
    <row r="33" spans="25:79" ht="17.25" customHeight="1">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row>
    <row r="34" spans="25:79" ht="20.25" customHeight="1">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row>
    <row r="35" spans="25:79">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row>
    <row r="36" spans="25:79" ht="17.25" customHeight="1">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row>
    <row r="37" spans="25:79" ht="20.25" customHeight="1">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row>
    <row r="38" spans="25:79">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row>
    <row r="39" spans="25:79" ht="17.25" customHeight="1">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row>
    <row r="40" spans="25:79" ht="20.25" customHeight="1">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row>
    <row r="41" spans="25:79">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row>
    <row r="42" spans="25:79" ht="17.25" customHeight="1">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row>
    <row r="43" spans="25:79" ht="20.25" customHeight="1">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row>
    <row r="44" spans="25:79">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row>
    <row r="45" spans="25:79" ht="17.25" customHeight="1">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row>
    <row r="46" spans="25:79" ht="20.25" customHeight="1">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row>
    <row r="47" spans="25:79">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row>
    <row r="48" spans="25:79" ht="17.25" customHeight="1">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row>
    <row r="49" spans="25:79" ht="20.25" customHeight="1">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row>
    <row r="50" spans="25:79">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row>
    <row r="51" spans="25:79" ht="17.25" customHeight="1">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row>
    <row r="52" spans="25:79" ht="20.25" customHeight="1">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row>
    <row r="53" spans="25:79">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row>
    <row r="54" spans="25:79" ht="17.25" customHeight="1">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row>
    <row r="55" spans="25:79" ht="20.25" customHeight="1">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row>
    <row r="56" spans="25:79">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row>
    <row r="57" spans="25:79" ht="17.25" customHeight="1">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row>
    <row r="58" spans="25:79" ht="20.25" customHeight="1">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row>
    <row r="59" spans="25:79">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row>
    <row r="60" spans="25:79">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row>
    <row r="61" spans="25:79">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row>
    <row r="62" spans="25:79" ht="26.25" customHeight="1">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row>
    <row r="63" spans="25:79" ht="26.25" customHeight="1">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row>
  </sheetData>
  <sheetProtection algorithmName="SHA-512" hashValue="4yipwyPq4hCgNUs6ALIFb1/1SPIFczzbnPTIKThveBh3bwcPraCfcRZArVqNPg+isEjekz0ffLu9xDxlBaj9oQ==" saltValue="BS7mN2mv0fZQkTdWjYcW3Q==" spinCount="100000" sheet="1" objects="1" scenarios="1" formatCells="0" formatRows="0" selectLockedCells="1"/>
  <mergeCells count="89">
    <mergeCell ref="T4:T5"/>
    <mergeCell ref="A3:R3"/>
    <mergeCell ref="S3:T3"/>
    <mergeCell ref="A1:B2"/>
    <mergeCell ref="C1:G1"/>
    <mergeCell ref="H1:K1"/>
    <mergeCell ref="L1:O1"/>
    <mergeCell ref="P1:T1"/>
    <mergeCell ref="C2:G2"/>
    <mergeCell ref="H2:K2"/>
    <mergeCell ref="L2:O2"/>
    <mergeCell ref="P2:T2"/>
    <mergeCell ref="A4:A5"/>
    <mergeCell ref="B4:F5"/>
    <mergeCell ref="G4:I5"/>
    <mergeCell ref="M4:P5"/>
    <mergeCell ref="Q4:S4"/>
    <mergeCell ref="B6:F6"/>
    <mergeCell ref="G6:I6"/>
    <mergeCell ref="M6:P6"/>
    <mergeCell ref="B7:F7"/>
    <mergeCell ref="G7:I7"/>
    <mergeCell ref="M7:P7"/>
    <mergeCell ref="B8:F8"/>
    <mergeCell ref="G8:I8"/>
    <mergeCell ref="M8:P8"/>
    <mergeCell ref="B9:F9"/>
    <mergeCell ref="G9:I9"/>
    <mergeCell ref="M9:P9"/>
    <mergeCell ref="B10:F10"/>
    <mergeCell ref="G10:I10"/>
    <mergeCell ref="M10:P10"/>
    <mergeCell ref="B11:F11"/>
    <mergeCell ref="G11:I11"/>
    <mergeCell ref="M11:P11"/>
    <mergeCell ref="B12:F12"/>
    <mergeCell ref="G12:I12"/>
    <mergeCell ref="M12:P12"/>
    <mergeCell ref="B13:F13"/>
    <mergeCell ref="G13:I13"/>
    <mergeCell ref="M13:P13"/>
    <mergeCell ref="G17:I17"/>
    <mergeCell ref="M17:P17"/>
    <mergeCell ref="B14:F14"/>
    <mergeCell ref="G14:I14"/>
    <mergeCell ref="M14:P14"/>
    <mergeCell ref="B15:F15"/>
    <mergeCell ref="G15:I15"/>
    <mergeCell ref="M15:P15"/>
    <mergeCell ref="A28:G28"/>
    <mergeCell ref="H28:M28"/>
    <mergeCell ref="N28:T28"/>
    <mergeCell ref="K4:L4"/>
    <mergeCell ref="J4:J5"/>
    <mergeCell ref="M16:P16"/>
    <mergeCell ref="L26:P26"/>
    <mergeCell ref="A26:J26"/>
    <mergeCell ref="B16:F16"/>
    <mergeCell ref="A27:G27"/>
    <mergeCell ref="H27:I27"/>
    <mergeCell ref="J27:M27"/>
    <mergeCell ref="N27:P27"/>
    <mergeCell ref="Q27:T27"/>
    <mergeCell ref="G16:I16"/>
    <mergeCell ref="B17:F17"/>
    <mergeCell ref="B18:F18"/>
    <mergeCell ref="G18:I18"/>
    <mergeCell ref="M18:P18"/>
    <mergeCell ref="B19:F19"/>
    <mergeCell ref="G19:I19"/>
    <mergeCell ref="M19:P19"/>
    <mergeCell ref="B20:F20"/>
    <mergeCell ref="G20:I20"/>
    <mergeCell ref="M20:P20"/>
    <mergeCell ref="B21:F21"/>
    <mergeCell ref="G21:I21"/>
    <mergeCell ref="M21:P21"/>
    <mergeCell ref="B22:F22"/>
    <mergeCell ref="G22:I22"/>
    <mergeCell ref="M22:P22"/>
    <mergeCell ref="B23:F23"/>
    <mergeCell ref="G23:I23"/>
    <mergeCell ref="M23:P23"/>
    <mergeCell ref="B24:F24"/>
    <mergeCell ref="G24:I24"/>
    <mergeCell ref="M24:P24"/>
    <mergeCell ref="B25:F25"/>
    <mergeCell ref="G25:I25"/>
    <mergeCell ref="M25:P25"/>
  </mergeCells>
  <conditionalFormatting sqref="B6:P6">
    <cfRule type="containsBlanks" dxfId="83" priority="5">
      <formula>LEN(TRIM(B6))=0</formula>
    </cfRule>
  </conditionalFormatting>
  <conditionalFormatting sqref="B7:P15">
    <cfRule type="containsBlanks" dxfId="82" priority="3">
      <formula>LEN(TRIM(B7))=0</formula>
    </cfRule>
  </conditionalFormatting>
  <conditionalFormatting sqref="B16:P16">
    <cfRule type="containsBlanks" dxfId="81" priority="2">
      <formula>LEN(TRIM(B16))=0</formula>
    </cfRule>
  </conditionalFormatting>
  <conditionalFormatting sqref="B17:P25">
    <cfRule type="containsBlanks" dxfId="80" priority="1">
      <formula>LEN(TRIM(B17))=0</formula>
    </cfRule>
  </conditionalFormatting>
  <dataValidations count="3">
    <dataValidation type="decimal" operator="greaterThanOrEqual" allowBlank="1" showInputMessage="1" showErrorMessage="1" errorTitle="خطا در ورود امتياز" error="لطفت يك عدد وارد نماييد" sqref="S6:S25">
      <formula1>0</formula1>
    </dataValidation>
    <dataValidation type="whole" operator="greaterThan" allowBlank="1" showInputMessage="1" showErrorMessage="1" sqref="J6:J25">
      <formula1>0</formula1>
    </dataValidation>
    <dataValidation type="decimal" operator="greaterThanOrEqual" allowBlank="1" showInputMessage="1" showErrorMessage="1" errorTitle="خطا در ورود امتياز" error="لطفا يك عدد وارد نماييد" promptTitle="توجه:" prompt="داوري مقاله علمي پژوهشي و آثار بديع و ارزنده هنري هر مورد تا 1 امتياز_x000a_داوري كتاب، داوري يا نظارت بر طرح پژوهشي يا فناوري  هر مورد تا 2 امتياز" sqref="Q6:R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Base'!$D$47:$D$50</xm:f>
          </x14:formula1>
          <xm:sqref>G6:I25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tint="-0.249977111117893"/>
  </sheetPr>
  <dimension ref="A1:AA48"/>
  <sheetViews>
    <sheetView showGridLines="0" rightToLeft="1" view="pageBreakPreview" zoomScaleNormal="100" zoomScaleSheetLayoutView="100" workbookViewId="0">
      <pane ySplit="5" topLeftCell="A6" activePane="bottomLeft" state="frozen"/>
      <selection pane="bottomLeft" activeCell="C6" sqref="C6"/>
    </sheetView>
  </sheetViews>
  <sheetFormatPr defaultColWidth="9" defaultRowHeight="18"/>
  <cols>
    <col min="1" max="1" width="8.42578125" style="190" customWidth="1"/>
    <col min="2" max="2" width="6" style="190" customWidth="1"/>
    <col min="3" max="3" width="7.42578125" style="190" customWidth="1"/>
    <col min="4" max="4" width="8" style="190" customWidth="1"/>
    <col min="5" max="5" width="9.85546875" style="190" customWidth="1"/>
    <col min="6" max="6" width="10.28515625" style="190" customWidth="1"/>
    <col min="7" max="7" width="21.85546875" style="190" customWidth="1"/>
    <col min="8" max="8" width="7.140625" style="190" customWidth="1"/>
    <col min="9" max="9" width="8" style="190" customWidth="1"/>
    <col min="10" max="10" width="6.140625" style="190" customWidth="1"/>
    <col min="11" max="13" width="6.85546875" style="190" customWidth="1"/>
    <col min="14" max="15" width="7.5703125" style="190" customWidth="1"/>
    <col min="16" max="16" width="13.42578125" style="190" customWidth="1"/>
    <col min="17" max="18" width="9.7109375" style="190" customWidth="1"/>
    <col min="19" max="19" width="10.42578125" style="190" customWidth="1"/>
    <col min="20" max="20" width="6.42578125" style="190" customWidth="1"/>
    <col min="21" max="21" width="7.7109375" style="190" customWidth="1"/>
    <col min="22" max="16384" width="9" style="190"/>
  </cols>
  <sheetData>
    <row r="1" spans="1:27" ht="18" customHeight="1">
      <c r="A1" s="1466" t="s">
        <v>424</v>
      </c>
      <c r="B1" s="1494" t="s">
        <v>0</v>
      </c>
      <c r="C1" s="1486"/>
      <c r="D1" s="1486"/>
      <c r="E1" s="1486"/>
      <c r="F1" s="1486" t="s">
        <v>1</v>
      </c>
      <c r="G1" s="1486"/>
      <c r="H1" s="1491" t="s">
        <v>2</v>
      </c>
      <c r="I1" s="1491"/>
      <c r="J1" s="1491"/>
      <c r="K1" s="1491"/>
      <c r="L1" s="1486" t="s">
        <v>3</v>
      </c>
      <c r="M1" s="1486"/>
      <c r="N1" s="1486"/>
      <c r="O1" s="1487"/>
      <c r="P1" s="272"/>
      <c r="T1" s="273"/>
      <c r="Y1" s="274"/>
      <c r="Z1" s="274"/>
    </row>
    <row r="2" spans="1:27" ht="24.75" customHeight="1" thickBot="1">
      <c r="A2" s="1468"/>
      <c r="B2" s="1495">
        <f>'فرم الف'!B5</f>
        <v>0</v>
      </c>
      <c r="C2" s="1493"/>
      <c r="D2" s="1493"/>
      <c r="E2" s="1493"/>
      <c r="F2" s="1492">
        <f>'فرم الف'!A27</f>
        <v>0</v>
      </c>
      <c r="G2" s="1493"/>
      <c r="H2" s="1492">
        <f>'فرم الف'!J15</f>
        <v>0</v>
      </c>
      <c r="I2" s="1493"/>
      <c r="J2" s="1493"/>
      <c r="K2" s="1493"/>
      <c r="L2" s="1488">
        <f>'فرم الف'!D9</f>
        <v>0</v>
      </c>
      <c r="M2" s="1489"/>
      <c r="N2" s="1489"/>
      <c r="O2" s="1490"/>
      <c r="P2" s="275"/>
      <c r="Z2" s="274"/>
      <c r="AA2" s="274"/>
    </row>
    <row r="3" spans="1:27" ht="36" customHeight="1" thickBot="1">
      <c r="A3" s="1528" t="s">
        <v>419</v>
      </c>
      <c r="B3" s="1529"/>
      <c r="C3" s="1529"/>
      <c r="D3" s="1529"/>
      <c r="E3" s="1529"/>
      <c r="F3" s="1529"/>
      <c r="G3" s="1529"/>
      <c r="H3" s="1529"/>
      <c r="I3" s="1529"/>
      <c r="J3" s="1529"/>
      <c r="K3" s="1529"/>
      <c r="L3" s="1529"/>
      <c r="M3" s="1529"/>
      <c r="N3" s="1527" t="s">
        <v>420</v>
      </c>
      <c r="O3" s="1527"/>
      <c r="P3" s="275"/>
      <c r="Z3" s="274"/>
      <c r="AA3" s="274"/>
    </row>
    <row r="4" spans="1:27" ht="18.75" customHeight="1">
      <c r="A4" s="1772" t="s">
        <v>407</v>
      </c>
      <c r="B4" s="1774" t="s">
        <v>580</v>
      </c>
      <c r="C4" s="1774" t="s">
        <v>409</v>
      </c>
      <c r="D4" s="1769" t="s">
        <v>408</v>
      </c>
      <c r="E4" s="1769"/>
      <c r="F4" s="1769"/>
      <c r="G4" s="1769"/>
      <c r="H4" s="1769"/>
      <c r="I4" s="1770" t="s">
        <v>411</v>
      </c>
      <c r="J4" s="1770"/>
      <c r="K4" s="1774" t="s">
        <v>13</v>
      </c>
      <c r="L4" s="1774"/>
      <c r="M4" s="1774"/>
      <c r="N4" s="1774" t="s">
        <v>14</v>
      </c>
      <c r="O4" s="1778"/>
      <c r="P4" s="272"/>
      <c r="Q4" s="272"/>
      <c r="R4" s="272"/>
      <c r="S4" s="272"/>
      <c r="T4" s="272"/>
      <c r="U4" s="272"/>
      <c r="V4" s="272"/>
      <c r="W4" s="272"/>
      <c r="X4" s="272"/>
      <c r="Y4" s="272"/>
      <c r="Z4" s="272"/>
    </row>
    <row r="5" spans="1:27" ht="48.75" customHeight="1" thickBot="1">
      <c r="A5" s="1773"/>
      <c r="B5" s="1768"/>
      <c r="C5" s="1768"/>
      <c r="D5" s="276" t="s">
        <v>410</v>
      </c>
      <c r="E5" s="276" t="s">
        <v>968</v>
      </c>
      <c r="F5" s="1768" t="s">
        <v>412</v>
      </c>
      <c r="G5" s="1768"/>
      <c r="H5" s="1768"/>
      <c r="I5" s="1771"/>
      <c r="J5" s="1771"/>
      <c r="K5" s="277" t="s">
        <v>17</v>
      </c>
      <c r="L5" s="277" t="s">
        <v>349</v>
      </c>
      <c r="M5" s="277" t="s">
        <v>18</v>
      </c>
      <c r="N5" s="1768"/>
      <c r="O5" s="1779"/>
    </row>
    <row r="6" spans="1:27" ht="24" customHeight="1">
      <c r="A6" s="631">
        <f>'بند2-1رعایت نظم وانضباط درسی'!A7</f>
        <v>0</v>
      </c>
      <c r="B6" s="632">
        <f>'بند2-1رعایت نظم وانضباط درسی'!A8</f>
        <v>0</v>
      </c>
      <c r="C6" s="501"/>
      <c r="D6" s="118"/>
      <c r="E6" s="501"/>
      <c r="F6" s="1404"/>
      <c r="G6" s="1404"/>
      <c r="H6" s="1404"/>
      <c r="I6" s="1777"/>
      <c r="J6" s="1777"/>
      <c r="K6" s="563"/>
      <c r="L6" s="633"/>
      <c r="M6" s="634"/>
      <c r="N6" s="1780"/>
      <c r="O6" s="1781"/>
    </row>
    <row r="7" spans="1:27" ht="24" customHeight="1">
      <c r="A7" s="635">
        <f>'بند2-1رعایت نظم وانضباط درسی'!C7</f>
        <v>0</v>
      </c>
      <c r="B7" s="636">
        <f>'بند2-1رعایت نظم وانضباط درسی'!C8</f>
        <v>0</v>
      </c>
      <c r="C7" s="500"/>
      <c r="D7" s="57"/>
      <c r="E7" s="500"/>
      <c r="F7" s="1157"/>
      <c r="G7" s="1157"/>
      <c r="H7" s="1157"/>
      <c r="I7" s="1762"/>
      <c r="J7" s="1762"/>
      <c r="K7" s="550"/>
      <c r="L7" s="176"/>
      <c r="M7" s="637"/>
      <c r="N7" s="1775"/>
      <c r="O7" s="1776"/>
    </row>
    <row r="8" spans="1:27" ht="24" customHeight="1">
      <c r="A8" s="635">
        <f>'بند2-1رعایت نظم وانضباط درسی'!D7</f>
        <v>0</v>
      </c>
      <c r="B8" s="636">
        <f>'بند2-1رعایت نظم وانضباط درسی'!D8</f>
        <v>0</v>
      </c>
      <c r="C8" s="500"/>
      <c r="D8" s="57"/>
      <c r="E8" s="500"/>
      <c r="F8" s="1157"/>
      <c r="G8" s="1157"/>
      <c r="H8" s="1157"/>
      <c r="I8" s="1762"/>
      <c r="J8" s="1762"/>
      <c r="K8" s="550"/>
      <c r="L8" s="176"/>
      <c r="M8" s="637"/>
      <c r="N8" s="1775"/>
      <c r="O8" s="1776"/>
    </row>
    <row r="9" spans="1:27" ht="24" customHeight="1">
      <c r="A9" s="635">
        <f>'بند2-1رعایت نظم وانضباط درسی'!E7</f>
        <v>0</v>
      </c>
      <c r="B9" s="636">
        <f>'بند2-1رعایت نظم وانضباط درسی'!E8</f>
        <v>0</v>
      </c>
      <c r="C9" s="500"/>
      <c r="D9" s="57"/>
      <c r="E9" s="500"/>
      <c r="F9" s="1157"/>
      <c r="G9" s="1157"/>
      <c r="H9" s="1157"/>
      <c r="I9" s="1762"/>
      <c r="J9" s="1762"/>
      <c r="K9" s="550"/>
      <c r="L9" s="176"/>
      <c r="M9" s="637"/>
      <c r="N9" s="1775"/>
      <c r="O9" s="1776"/>
    </row>
    <row r="10" spans="1:27" ht="24" customHeight="1">
      <c r="A10" s="635">
        <f>'بند2-1رعایت نظم وانضباط درسی'!F7</f>
        <v>0</v>
      </c>
      <c r="B10" s="636">
        <f>'بند2-1رعایت نظم وانضباط درسی'!F8</f>
        <v>0</v>
      </c>
      <c r="C10" s="500"/>
      <c r="D10" s="57"/>
      <c r="E10" s="500"/>
      <c r="F10" s="1157"/>
      <c r="G10" s="1157"/>
      <c r="H10" s="1157"/>
      <c r="I10" s="1762"/>
      <c r="J10" s="1762"/>
      <c r="K10" s="550"/>
      <c r="L10" s="176"/>
      <c r="M10" s="637"/>
      <c r="N10" s="1775"/>
      <c r="O10" s="1776"/>
    </row>
    <row r="11" spans="1:27" ht="24" customHeight="1">
      <c r="A11" s="635">
        <f>'بند2-1رعایت نظم وانضباط درسی'!G7</f>
        <v>0</v>
      </c>
      <c r="B11" s="636">
        <f>'بند2-1رعایت نظم وانضباط درسی'!G8</f>
        <v>0</v>
      </c>
      <c r="C11" s="500"/>
      <c r="D11" s="57"/>
      <c r="E11" s="500"/>
      <c r="F11" s="1157"/>
      <c r="G11" s="1157"/>
      <c r="H11" s="1157"/>
      <c r="I11" s="1762"/>
      <c r="J11" s="1762"/>
      <c r="K11" s="550"/>
      <c r="L11" s="176"/>
      <c r="M11" s="637"/>
      <c r="N11" s="1775"/>
      <c r="O11" s="1776"/>
    </row>
    <row r="12" spans="1:27" ht="24" customHeight="1">
      <c r="A12" s="635">
        <f>'بند2-1رعایت نظم وانضباط درسی'!H7</f>
        <v>0</v>
      </c>
      <c r="B12" s="636">
        <f>'بند2-1رعایت نظم وانضباط درسی'!H8</f>
        <v>0</v>
      </c>
      <c r="C12" s="500"/>
      <c r="D12" s="57"/>
      <c r="E12" s="500"/>
      <c r="F12" s="1157"/>
      <c r="G12" s="1157"/>
      <c r="H12" s="1157"/>
      <c r="I12" s="1762"/>
      <c r="J12" s="1762"/>
      <c r="K12" s="550"/>
      <c r="L12" s="176"/>
      <c r="M12" s="637"/>
      <c r="N12" s="1775"/>
      <c r="O12" s="1776"/>
    </row>
    <row r="13" spans="1:27" ht="24" customHeight="1">
      <c r="A13" s="635">
        <f>'بند2-1رعایت نظم وانضباط درسی'!I7</f>
        <v>0</v>
      </c>
      <c r="B13" s="636">
        <f>'بند2-1رعایت نظم وانضباط درسی'!I8</f>
        <v>0</v>
      </c>
      <c r="C13" s="500"/>
      <c r="D13" s="57"/>
      <c r="E13" s="500"/>
      <c r="F13" s="1157"/>
      <c r="G13" s="1157"/>
      <c r="H13" s="1157"/>
      <c r="I13" s="1762"/>
      <c r="J13" s="1762"/>
      <c r="K13" s="550"/>
      <c r="L13" s="176"/>
      <c r="M13" s="637"/>
      <c r="N13" s="1775"/>
      <c r="O13" s="1776"/>
    </row>
    <row r="14" spans="1:27" ht="24" customHeight="1">
      <c r="A14" s="635">
        <f>'بند2-1رعایت نظم وانضباط درسی'!J7</f>
        <v>0</v>
      </c>
      <c r="B14" s="636">
        <f>'بند2-1رعایت نظم وانضباط درسی'!J8</f>
        <v>0</v>
      </c>
      <c r="C14" s="500"/>
      <c r="D14" s="57"/>
      <c r="E14" s="500"/>
      <c r="F14" s="1157"/>
      <c r="G14" s="1157"/>
      <c r="H14" s="1157"/>
      <c r="I14" s="1762"/>
      <c r="J14" s="1762"/>
      <c r="K14" s="550"/>
      <c r="L14" s="176"/>
      <c r="M14" s="637"/>
      <c r="N14" s="1775"/>
      <c r="O14" s="1776"/>
    </row>
    <row r="15" spans="1:27" ht="24" customHeight="1" thickBot="1">
      <c r="A15" s="638">
        <f>'بند2-1رعایت نظم وانضباط درسی'!K7</f>
        <v>0</v>
      </c>
      <c r="B15" s="639">
        <f>'بند2-1رعایت نظم وانضباط درسی'!K8</f>
        <v>0</v>
      </c>
      <c r="C15" s="502"/>
      <c r="D15" s="640"/>
      <c r="E15" s="502"/>
      <c r="F15" s="1182"/>
      <c r="G15" s="1182"/>
      <c r="H15" s="1182"/>
      <c r="I15" s="1763"/>
      <c r="J15" s="1763"/>
      <c r="K15" s="552"/>
      <c r="L15" s="176"/>
      <c r="M15" s="641"/>
      <c r="N15" s="1764"/>
      <c r="O15" s="1765"/>
    </row>
    <row r="16" spans="1:27" ht="29.25" customHeight="1" thickBot="1">
      <c r="A16" s="1143" t="s">
        <v>270</v>
      </c>
      <c r="B16" s="1144"/>
      <c r="C16" s="1144"/>
      <c r="D16" s="1144"/>
      <c r="E16" s="1144"/>
      <c r="F16" s="215">
        <f>SUM(K6:K15)</f>
        <v>0</v>
      </c>
      <c r="G16" s="1766" t="str">
        <f>IF(F16&lt;5,'Data Base'!K18,'Data Base'!K19)</f>
        <v>متقاضي حداقل امتياز لازم را از اين بند كسب نكرده است!</v>
      </c>
      <c r="H16" s="1766"/>
      <c r="I16" s="1766"/>
      <c r="J16" s="1767"/>
      <c r="K16" s="216">
        <f>IF(F16&gt;8,8,F16)</f>
        <v>0</v>
      </c>
      <c r="L16" s="238">
        <f>IF(SUM(L6:L15)&gt;8,8,SUM(L6:L15))</f>
        <v>0</v>
      </c>
      <c r="M16" s="48"/>
      <c r="N16" s="1760"/>
      <c r="O16" s="1761"/>
    </row>
    <row r="17" spans="1:16" ht="41.25" customHeight="1">
      <c r="A17" s="1435" t="s">
        <v>31</v>
      </c>
      <c r="B17" s="1436"/>
      <c r="C17" s="1436"/>
      <c r="D17" s="1436"/>
      <c r="E17" s="1430" t="s">
        <v>32</v>
      </c>
      <c r="F17" s="1430"/>
      <c r="G17" s="1696">
        <f>L2</f>
        <v>0</v>
      </c>
      <c r="H17" s="1693"/>
      <c r="I17" s="1430" t="s">
        <v>33</v>
      </c>
      <c r="J17" s="1430"/>
      <c r="K17" s="1430"/>
      <c r="L17" s="1432">
        <f>B2</f>
        <v>0</v>
      </c>
      <c r="M17" s="1432"/>
      <c r="N17" s="1432"/>
      <c r="O17" s="1506"/>
    </row>
    <row r="18" spans="1:16" ht="40.5" customHeight="1" thickBot="1">
      <c r="A18" s="1437">
        <f>'فرم الف'!A27</f>
        <v>0</v>
      </c>
      <c r="B18" s="1425"/>
      <c r="C18" s="1425"/>
      <c r="D18" s="1425"/>
      <c r="E18" s="1425">
        <f>'فرم الف'!E27</f>
        <v>0</v>
      </c>
      <c r="F18" s="1425"/>
      <c r="G18" s="1425"/>
      <c r="H18" s="1425"/>
      <c r="I18" s="1425" t="str">
        <f>'فرم الف'!J27</f>
        <v/>
      </c>
      <c r="J18" s="1425"/>
      <c r="K18" s="1425"/>
      <c r="L18" s="1425"/>
      <c r="M18" s="1425"/>
      <c r="N18" s="1425"/>
      <c r="O18" s="1426"/>
    </row>
    <row r="19" spans="1:16" ht="22.5" customHeight="1"/>
    <row r="20" spans="1:16" ht="22.5" customHeight="1">
      <c r="M20" s="272"/>
      <c r="N20" s="272"/>
      <c r="O20" s="272"/>
      <c r="P20" s="272"/>
    </row>
    <row r="21" spans="1:16" ht="51" customHeight="1">
      <c r="M21" s="278"/>
      <c r="N21" s="278"/>
      <c r="O21" s="278"/>
      <c r="P21" s="278"/>
    </row>
    <row r="22" spans="1:16" ht="51" customHeight="1">
      <c r="M22" s="278"/>
      <c r="N22" s="278"/>
      <c r="O22" s="278"/>
      <c r="P22" s="278"/>
    </row>
    <row r="23" spans="1:16" ht="51" customHeight="1">
      <c r="M23" s="272"/>
      <c r="N23" s="272"/>
      <c r="O23" s="272"/>
      <c r="P23" s="272"/>
    </row>
    <row r="24" spans="1:16" ht="51" customHeight="1">
      <c r="M24" s="272"/>
      <c r="N24" s="272"/>
    </row>
    <row r="25" spans="1:16" ht="51" customHeight="1"/>
    <row r="26" spans="1:16" ht="51" customHeight="1"/>
    <row r="27" spans="1:16" ht="51" customHeight="1"/>
    <row r="28" spans="1:16" ht="51" customHeight="1"/>
    <row r="29" spans="1:16" ht="51" customHeight="1"/>
    <row r="30" spans="1:16" ht="51" customHeight="1"/>
    <row r="31" spans="1:16" ht="51" customHeight="1"/>
    <row r="32" spans="1:16" s="279" customFormat="1" ht="21.75" customHeight="1">
      <c r="A32" s="190"/>
      <c r="B32" s="190"/>
      <c r="C32" s="190"/>
      <c r="D32" s="190"/>
      <c r="E32" s="190"/>
      <c r="F32" s="190"/>
      <c r="G32" s="190"/>
      <c r="H32" s="190"/>
      <c r="I32" s="190"/>
      <c r="J32" s="190"/>
      <c r="K32" s="190"/>
      <c r="L32" s="190"/>
      <c r="M32" s="190"/>
      <c r="N32" s="190"/>
      <c r="O32" s="190"/>
      <c r="P32" s="190"/>
    </row>
    <row r="33" spans="1:16" s="279" customFormat="1" ht="21.75" customHeight="1">
      <c r="A33" s="190"/>
      <c r="B33" s="190"/>
      <c r="C33" s="190"/>
      <c r="D33" s="190"/>
      <c r="E33" s="190"/>
      <c r="F33" s="190"/>
      <c r="G33" s="190"/>
      <c r="H33" s="190"/>
      <c r="I33" s="190"/>
      <c r="J33" s="190"/>
      <c r="K33" s="190"/>
      <c r="L33" s="190"/>
      <c r="M33" s="190"/>
      <c r="N33" s="190"/>
      <c r="O33" s="190"/>
      <c r="P33" s="190"/>
    </row>
    <row r="34" spans="1:16" s="279" customFormat="1" ht="21.75" customHeight="1">
      <c r="A34" s="190"/>
      <c r="B34" s="190"/>
      <c r="C34" s="190"/>
      <c r="D34" s="190"/>
      <c r="E34" s="190"/>
      <c r="F34" s="190"/>
      <c r="G34" s="190"/>
      <c r="H34" s="190"/>
      <c r="I34" s="190"/>
      <c r="J34" s="190"/>
      <c r="K34" s="190"/>
      <c r="L34" s="190"/>
      <c r="M34" s="190"/>
      <c r="N34" s="190"/>
      <c r="O34" s="190"/>
      <c r="P34" s="190"/>
    </row>
    <row r="39" spans="1:16">
      <c r="M39" s="279"/>
      <c r="N39" s="279"/>
      <c r="O39" s="279"/>
      <c r="P39" s="279"/>
    </row>
    <row r="40" spans="1:16">
      <c r="M40" s="279"/>
      <c r="N40" s="279"/>
      <c r="O40" s="279"/>
      <c r="P40" s="279"/>
    </row>
    <row r="41" spans="1:16">
      <c r="M41" s="279"/>
      <c r="N41" s="279"/>
      <c r="O41" s="279"/>
      <c r="P41" s="279"/>
    </row>
    <row r="46" spans="1:16">
      <c r="M46" s="272"/>
      <c r="N46" s="272"/>
      <c r="O46" s="272"/>
      <c r="P46" s="272"/>
    </row>
    <row r="47" spans="1:16">
      <c r="M47" s="272"/>
      <c r="N47" s="272"/>
      <c r="O47" s="272"/>
      <c r="P47" s="272"/>
    </row>
    <row r="48" spans="1:16">
      <c r="M48" s="272"/>
      <c r="N48" s="272"/>
      <c r="O48" s="272"/>
      <c r="P48" s="272"/>
    </row>
  </sheetData>
  <sheetProtection algorithmName="SHA-512" hashValue="+N8RLrvGY/DJewyJbUqLxJWGXwQ4FzlRYN43qUfFtf2P7cgIsPrl2gE1kZ5LxVUBjszqucW3S0PigGy6kb0JJw==" saltValue="jb/iGU5y0bpTfLRnwzTZ1Q==" spinCount="100000" sheet="1" objects="1" scenarios="1" formatCells="0" formatRows="0" selectLockedCells="1"/>
  <mergeCells count="60">
    <mergeCell ref="C4:C5"/>
    <mergeCell ref="K4:M4"/>
    <mergeCell ref="N4:O5"/>
    <mergeCell ref="N6:O6"/>
    <mergeCell ref="N7:O7"/>
    <mergeCell ref="N8:O8"/>
    <mergeCell ref="I6:J6"/>
    <mergeCell ref="F6:H6"/>
    <mergeCell ref="F7:H7"/>
    <mergeCell ref="I7:J7"/>
    <mergeCell ref="F8:H8"/>
    <mergeCell ref="I8:J8"/>
    <mergeCell ref="N9:O9"/>
    <mergeCell ref="N10:O10"/>
    <mergeCell ref="N11:O11"/>
    <mergeCell ref="F11:H11"/>
    <mergeCell ref="I11:J11"/>
    <mergeCell ref="F9:H9"/>
    <mergeCell ref="I9:J9"/>
    <mergeCell ref="F10:H10"/>
    <mergeCell ref="I10:J10"/>
    <mergeCell ref="N12:O12"/>
    <mergeCell ref="N13:O13"/>
    <mergeCell ref="N14:O14"/>
    <mergeCell ref="F12:H12"/>
    <mergeCell ref="I12:J12"/>
    <mergeCell ref="F13:H13"/>
    <mergeCell ref="I13:J13"/>
    <mergeCell ref="N3:O3"/>
    <mergeCell ref="A1:A2"/>
    <mergeCell ref="A3:M3"/>
    <mergeCell ref="F5:H5"/>
    <mergeCell ref="D4:H4"/>
    <mergeCell ref="I4:J5"/>
    <mergeCell ref="B1:E1"/>
    <mergeCell ref="F1:G1"/>
    <mergeCell ref="H1:K1"/>
    <mergeCell ref="L1:O1"/>
    <mergeCell ref="B2:E2"/>
    <mergeCell ref="F2:G2"/>
    <mergeCell ref="H2:K2"/>
    <mergeCell ref="L2:O2"/>
    <mergeCell ref="A4:A5"/>
    <mergeCell ref="B4:B5"/>
    <mergeCell ref="N16:O16"/>
    <mergeCell ref="E17:F17"/>
    <mergeCell ref="I17:K17"/>
    <mergeCell ref="L17:O17"/>
    <mergeCell ref="F14:H14"/>
    <mergeCell ref="I14:J14"/>
    <mergeCell ref="F15:H15"/>
    <mergeCell ref="I15:J15"/>
    <mergeCell ref="N15:O15"/>
    <mergeCell ref="G16:J16"/>
    <mergeCell ref="A16:E16"/>
    <mergeCell ref="I18:O18"/>
    <mergeCell ref="G17:H17"/>
    <mergeCell ref="E18:H18"/>
    <mergeCell ref="A18:D18"/>
    <mergeCell ref="A17:D17"/>
  </mergeCells>
  <conditionalFormatting sqref="A6:B15">
    <cfRule type="cellIs" dxfId="79" priority="1" operator="equal">
      <formula>0</formula>
    </cfRule>
  </conditionalFormatting>
  <dataValidations count="2">
    <dataValidation allowBlank="1" showInputMessage="1" showErrorMessage="1" error="لطفا از موارد داخل لیست انتخاب نمایید." sqref="A6:B14 B15"/>
    <dataValidation type="decimal" allowBlank="1" showInputMessage="1" showErrorMessage="1" errorTitle="خطا در ورود امتياز" error="لطفا يك عدد بين صفر تا يك وارد نماييد" promptTitle="توجه:" prompt="حداکثر يك امتیاز در واحد کار" sqref="K6:L15">
      <formula1>0</formula1>
      <formula2>1</formula2>
    </dataValidation>
  </dataValidations>
  <pageMargins left="0" right="0.39370078740157499" top="0.78740157480314998" bottom="0.196850393700787"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2" operator="equal" id="{7BA420E5-DCD0-42EC-BB4F-8C9E0539A890}">
            <xm:f>'Data Base'!$K$18</xm:f>
            <x14:dxf>
              <font>
                <color rgb="FF9C0006"/>
              </font>
            </x14:dxf>
          </x14:cfRule>
          <xm:sqref>G16:J16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یید.">
          <x14:formula1>
            <xm:f>'Data Base'!$L$41:$L$43</xm:f>
          </x14:formula1>
          <xm:sqref>C6:C15</xm:sqref>
        </x14:dataValidation>
        <x14:dataValidation type="list" allowBlank="1" showInputMessage="1" showErrorMessage="1" errorTitle="خطا در ورود اطلاعات" error="لطفا از موارد ليست شده انتخاب نماييد">
          <x14:formula1>
            <xm:f>'Data Base'!$N$41:$N$43</xm:f>
          </x14:formula1>
          <xm:sqref>I6:J15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140625" style="19" customWidth="1"/>
    <col min="7" max="8" width="6.42578125" style="19" customWidth="1"/>
    <col min="9" max="9" width="7.42578125" style="19" customWidth="1"/>
    <col min="10" max="11" width="6.140625" style="19" customWidth="1"/>
    <col min="12" max="12" width="7.710937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8.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439</v>
      </c>
      <c r="B3" s="1528"/>
      <c r="C3" s="1529"/>
      <c r="D3" s="1529"/>
      <c r="E3" s="1529"/>
      <c r="F3" s="1529"/>
      <c r="G3" s="1529"/>
      <c r="H3" s="1529"/>
      <c r="I3" s="1529"/>
      <c r="J3" s="1529"/>
      <c r="K3" s="1529"/>
      <c r="L3" s="1529"/>
      <c r="M3" s="1529"/>
      <c r="N3" s="1529"/>
      <c r="O3" s="1529"/>
      <c r="P3" s="1529"/>
      <c r="Q3" s="1529"/>
      <c r="R3" s="1529"/>
      <c r="S3" s="1527" t="s">
        <v>426</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240</v>
      </c>
      <c r="C4" s="1645"/>
      <c r="D4" s="1645"/>
      <c r="E4" s="1645"/>
      <c r="F4" s="1646"/>
      <c r="G4" s="1453" t="s">
        <v>367</v>
      </c>
      <c r="H4" s="1454"/>
      <c r="I4" s="1453" t="s">
        <v>432</v>
      </c>
      <c r="J4" s="1453" t="s">
        <v>294</v>
      </c>
      <c r="K4" s="1454"/>
      <c r="L4" s="1787" t="s">
        <v>243</v>
      </c>
      <c r="M4" s="1482"/>
      <c r="N4" s="1482" t="s">
        <v>431</v>
      </c>
      <c r="O4" s="1482"/>
      <c r="P4" s="1482" t="s">
        <v>433</v>
      </c>
      <c r="Q4" s="1482"/>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9"/>
      <c r="G5" s="1455"/>
      <c r="H5" s="1456"/>
      <c r="I5" s="1455"/>
      <c r="J5" s="212" t="s">
        <v>301</v>
      </c>
      <c r="K5" s="213" t="s">
        <v>302</v>
      </c>
      <c r="L5" s="1788"/>
      <c r="M5" s="1483"/>
      <c r="N5" s="1483"/>
      <c r="O5" s="1483"/>
      <c r="P5" s="1483"/>
      <c r="Q5" s="1483"/>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7.5" customHeight="1">
      <c r="A6" s="223">
        <v>1</v>
      </c>
      <c r="B6" s="1160"/>
      <c r="C6" s="1201"/>
      <c r="D6" s="1201"/>
      <c r="E6" s="1201"/>
      <c r="F6" s="1161"/>
      <c r="G6" s="1160"/>
      <c r="H6" s="1161"/>
      <c r="I6" s="642"/>
      <c r="J6" s="643"/>
      <c r="K6" s="643"/>
      <c r="L6" s="1405"/>
      <c r="M6" s="1407"/>
      <c r="N6" s="1784"/>
      <c r="O6" s="1785"/>
      <c r="P6" s="1160"/>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7.5" customHeight="1">
      <c r="A7" s="224">
        <v>2</v>
      </c>
      <c r="B7" s="1202"/>
      <c r="C7" s="1203"/>
      <c r="D7" s="1203"/>
      <c r="E7" s="1203"/>
      <c r="F7" s="1204"/>
      <c r="G7" s="1202"/>
      <c r="H7" s="1204"/>
      <c r="I7" s="644"/>
      <c r="J7" s="645"/>
      <c r="K7" s="645"/>
      <c r="L7" s="1384"/>
      <c r="M7" s="1386"/>
      <c r="N7" s="1782"/>
      <c r="O7" s="1783"/>
      <c r="P7" s="1202"/>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7.5" customHeight="1">
      <c r="A8" s="224">
        <v>3</v>
      </c>
      <c r="B8" s="1202"/>
      <c r="C8" s="1203"/>
      <c r="D8" s="1203"/>
      <c r="E8" s="1203"/>
      <c r="F8" s="1204"/>
      <c r="G8" s="1202"/>
      <c r="H8" s="1204"/>
      <c r="I8" s="644"/>
      <c r="J8" s="645"/>
      <c r="K8" s="645"/>
      <c r="L8" s="1384"/>
      <c r="M8" s="1386"/>
      <c r="N8" s="1782"/>
      <c r="O8" s="1783"/>
      <c r="P8" s="1202"/>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7.5" customHeight="1">
      <c r="A9" s="224">
        <v>4</v>
      </c>
      <c r="B9" s="1202"/>
      <c r="C9" s="1203"/>
      <c r="D9" s="1203"/>
      <c r="E9" s="1203"/>
      <c r="F9" s="1204"/>
      <c r="G9" s="1202"/>
      <c r="H9" s="1204"/>
      <c r="I9" s="644"/>
      <c r="J9" s="645"/>
      <c r="K9" s="645"/>
      <c r="L9" s="1384"/>
      <c r="M9" s="1386"/>
      <c r="N9" s="1782"/>
      <c r="O9" s="1783"/>
      <c r="P9" s="1202"/>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7.5" customHeight="1">
      <c r="A10" s="224">
        <v>5</v>
      </c>
      <c r="B10" s="1202"/>
      <c r="C10" s="1203"/>
      <c r="D10" s="1203"/>
      <c r="E10" s="1203"/>
      <c r="F10" s="1204"/>
      <c r="G10" s="1202"/>
      <c r="H10" s="1204"/>
      <c r="I10" s="644"/>
      <c r="J10" s="645"/>
      <c r="K10" s="645"/>
      <c r="L10" s="1384"/>
      <c r="M10" s="1386"/>
      <c r="N10" s="1782"/>
      <c r="O10" s="1783"/>
      <c r="P10" s="1202"/>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7.5" customHeight="1">
      <c r="A11" s="224">
        <v>6</v>
      </c>
      <c r="B11" s="1202"/>
      <c r="C11" s="1203"/>
      <c r="D11" s="1203"/>
      <c r="E11" s="1203"/>
      <c r="F11" s="1204"/>
      <c r="G11" s="1202"/>
      <c r="H11" s="1204"/>
      <c r="I11" s="644"/>
      <c r="J11" s="645"/>
      <c r="K11" s="645"/>
      <c r="L11" s="1384"/>
      <c r="M11" s="1386"/>
      <c r="N11" s="1782"/>
      <c r="O11" s="1783"/>
      <c r="P11" s="1202"/>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7.5" customHeight="1">
      <c r="A12" s="224">
        <v>7</v>
      </c>
      <c r="B12" s="1202"/>
      <c r="C12" s="1203"/>
      <c r="D12" s="1203"/>
      <c r="E12" s="1203"/>
      <c r="F12" s="1204"/>
      <c r="G12" s="1202"/>
      <c r="H12" s="1204"/>
      <c r="I12" s="644"/>
      <c r="J12" s="645"/>
      <c r="K12" s="645"/>
      <c r="L12" s="1384"/>
      <c r="M12" s="1386"/>
      <c r="N12" s="1782"/>
      <c r="O12" s="1783"/>
      <c r="P12" s="1202"/>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7.5" customHeight="1">
      <c r="A13" s="224">
        <v>8</v>
      </c>
      <c r="B13" s="1202"/>
      <c r="C13" s="1203"/>
      <c r="D13" s="1203"/>
      <c r="E13" s="1203"/>
      <c r="F13" s="1204"/>
      <c r="G13" s="1202"/>
      <c r="H13" s="1204"/>
      <c r="I13" s="644"/>
      <c r="J13" s="645"/>
      <c r="K13" s="645"/>
      <c r="L13" s="1384"/>
      <c r="M13" s="1386"/>
      <c r="N13" s="1782"/>
      <c r="O13" s="1783"/>
      <c r="P13" s="1202"/>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7.5" customHeight="1">
      <c r="A14" s="224">
        <v>9</v>
      </c>
      <c r="B14" s="1157"/>
      <c r="C14" s="1157"/>
      <c r="D14" s="1157"/>
      <c r="E14" s="1157"/>
      <c r="F14" s="1157"/>
      <c r="G14" s="1157"/>
      <c r="H14" s="1157"/>
      <c r="I14" s="644"/>
      <c r="J14" s="645"/>
      <c r="K14" s="645"/>
      <c r="L14" s="1534"/>
      <c r="M14" s="1534"/>
      <c r="N14" s="1786"/>
      <c r="O14" s="1786"/>
      <c r="P14" s="1157"/>
      <c r="Q14" s="1157"/>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7.5" customHeight="1">
      <c r="A15" s="224">
        <v>10</v>
      </c>
      <c r="B15" s="1157"/>
      <c r="C15" s="1157"/>
      <c r="D15" s="1157"/>
      <c r="E15" s="1157"/>
      <c r="F15" s="1157"/>
      <c r="G15" s="1157"/>
      <c r="H15" s="1157"/>
      <c r="I15" s="644"/>
      <c r="J15" s="645"/>
      <c r="K15" s="645"/>
      <c r="L15" s="1534"/>
      <c r="M15" s="1534"/>
      <c r="N15" s="1786"/>
      <c r="O15" s="1786"/>
      <c r="P15" s="1157"/>
      <c r="Q15" s="1157"/>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37.5" customHeight="1">
      <c r="A16" s="224">
        <v>11</v>
      </c>
      <c r="B16" s="1157"/>
      <c r="C16" s="1157"/>
      <c r="D16" s="1157"/>
      <c r="E16" s="1157"/>
      <c r="F16" s="1157"/>
      <c r="G16" s="1157"/>
      <c r="H16" s="1157"/>
      <c r="I16" s="644"/>
      <c r="J16" s="645"/>
      <c r="K16" s="645"/>
      <c r="L16" s="1534"/>
      <c r="M16" s="1534"/>
      <c r="N16" s="1786"/>
      <c r="O16" s="1786"/>
      <c r="P16" s="1157"/>
      <c r="Q16" s="1157"/>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7.5" customHeight="1">
      <c r="A17" s="224">
        <v>12</v>
      </c>
      <c r="B17" s="1157"/>
      <c r="C17" s="1157"/>
      <c r="D17" s="1157"/>
      <c r="E17" s="1157"/>
      <c r="F17" s="1157"/>
      <c r="G17" s="1157"/>
      <c r="H17" s="1157"/>
      <c r="I17" s="644"/>
      <c r="J17" s="645"/>
      <c r="K17" s="645"/>
      <c r="L17" s="1534"/>
      <c r="M17" s="1534"/>
      <c r="N17" s="1786"/>
      <c r="O17" s="1786"/>
      <c r="P17" s="1157"/>
      <c r="Q17" s="1157"/>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7.5" customHeight="1">
      <c r="A18" s="224">
        <v>13</v>
      </c>
      <c r="B18" s="1202"/>
      <c r="C18" s="1203"/>
      <c r="D18" s="1203"/>
      <c r="E18" s="1203"/>
      <c r="F18" s="1204"/>
      <c r="G18" s="1202"/>
      <c r="H18" s="1204"/>
      <c r="I18" s="644"/>
      <c r="J18" s="645"/>
      <c r="K18" s="645"/>
      <c r="L18" s="1384"/>
      <c r="M18" s="1386"/>
      <c r="N18" s="1782"/>
      <c r="O18" s="1783"/>
      <c r="P18" s="1202"/>
      <c r="Q18" s="1204"/>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7.5" customHeight="1">
      <c r="A19" s="224">
        <v>14</v>
      </c>
      <c r="B19" s="1202"/>
      <c r="C19" s="1203"/>
      <c r="D19" s="1203"/>
      <c r="E19" s="1203"/>
      <c r="F19" s="1204"/>
      <c r="G19" s="1202"/>
      <c r="H19" s="1204"/>
      <c r="I19" s="644"/>
      <c r="J19" s="645"/>
      <c r="K19" s="645"/>
      <c r="L19" s="1384"/>
      <c r="M19" s="1386"/>
      <c r="N19" s="1782"/>
      <c r="O19" s="1783"/>
      <c r="P19" s="1202"/>
      <c r="Q19" s="1204"/>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7.5" customHeight="1">
      <c r="A20" s="224">
        <v>15</v>
      </c>
      <c r="B20" s="1202"/>
      <c r="C20" s="1203"/>
      <c r="D20" s="1203"/>
      <c r="E20" s="1203"/>
      <c r="F20" s="1204"/>
      <c r="G20" s="1202"/>
      <c r="H20" s="1204"/>
      <c r="I20" s="644"/>
      <c r="J20" s="645"/>
      <c r="K20" s="645"/>
      <c r="L20" s="1384"/>
      <c r="M20" s="1386"/>
      <c r="N20" s="1782"/>
      <c r="O20" s="1783"/>
      <c r="P20" s="1202"/>
      <c r="Q20" s="1204"/>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37.5" customHeight="1">
      <c r="A21" s="224">
        <v>16</v>
      </c>
      <c r="B21" s="1202"/>
      <c r="C21" s="1203"/>
      <c r="D21" s="1203"/>
      <c r="E21" s="1203"/>
      <c r="F21" s="1204"/>
      <c r="G21" s="1202"/>
      <c r="H21" s="1204"/>
      <c r="I21" s="644"/>
      <c r="J21" s="645"/>
      <c r="K21" s="645"/>
      <c r="L21" s="1384"/>
      <c r="M21" s="1386"/>
      <c r="N21" s="1782"/>
      <c r="O21" s="1783"/>
      <c r="P21" s="1202"/>
      <c r="Q21" s="1204"/>
      <c r="R21" s="550"/>
      <c r="S21" s="34"/>
      <c r="T21" s="145"/>
      <c r="U21" s="144"/>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7.5" customHeight="1">
      <c r="A22" s="224">
        <v>17</v>
      </c>
      <c r="B22" s="1202"/>
      <c r="C22" s="1203"/>
      <c r="D22" s="1203"/>
      <c r="E22" s="1203"/>
      <c r="F22" s="1204"/>
      <c r="G22" s="1202"/>
      <c r="H22" s="1204"/>
      <c r="I22" s="644"/>
      <c r="J22" s="645"/>
      <c r="K22" s="645"/>
      <c r="L22" s="1384"/>
      <c r="M22" s="1386"/>
      <c r="N22" s="1782"/>
      <c r="O22" s="1783"/>
      <c r="P22" s="1202"/>
      <c r="Q22" s="1204"/>
      <c r="R22" s="550"/>
      <c r="S22" s="34"/>
      <c r="T22" s="145"/>
      <c r="U22" s="14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7.5" customHeight="1">
      <c r="A23" s="224">
        <v>18</v>
      </c>
      <c r="B23" s="1202"/>
      <c r="C23" s="1203"/>
      <c r="D23" s="1203"/>
      <c r="E23" s="1203"/>
      <c r="F23" s="1204"/>
      <c r="G23" s="1202"/>
      <c r="H23" s="1204"/>
      <c r="I23" s="644"/>
      <c r="J23" s="645"/>
      <c r="K23" s="645"/>
      <c r="L23" s="1384"/>
      <c r="M23" s="1386"/>
      <c r="N23" s="1782"/>
      <c r="O23" s="1783"/>
      <c r="P23" s="1202"/>
      <c r="Q23" s="1204"/>
      <c r="R23" s="550"/>
      <c r="S23" s="34"/>
      <c r="T23" s="145"/>
      <c r="U23" s="144"/>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37.5" customHeight="1">
      <c r="A24" s="224">
        <v>19</v>
      </c>
      <c r="B24" s="1202"/>
      <c r="C24" s="1203"/>
      <c r="D24" s="1203"/>
      <c r="E24" s="1203"/>
      <c r="F24" s="1204"/>
      <c r="G24" s="1202"/>
      <c r="H24" s="1204"/>
      <c r="I24" s="644"/>
      <c r="J24" s="645"/>
      <c r="K24" s="645"/>
      <c r="L24" s="1384"/>
      <c r="M24" s="1386"/>
      <c r="N24" s="1782"/>
      <c r="O24" s="1783"/>
      <c r="P24" s="1202"/>
      <c r="Q24" s="1204"/>
      <c r="R24" s="550"/>
      <c r="S24" s="34"/>
      <c r="T24" s="145"/>
      <c r="U24" s="144"/>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37.5" customHeight="1" thickBot="1">
      <c r="A25" s="223">
        <v>20</v>
      </c>
      <c r="B25" s="1202"/>
      <c r="C25" s="1203"/>
      <c r="D25" s="1203"/>
      <c r="E25" s="1203"/>
      <c r="F25" s="1204"/>
      <c r="G25" s="1202"/>
      <c r="H25" s="1204"/>
      <c r="I25" s="644"/>
      <c r="J25" s="645"/>
      <c r="K25" s="645"/>
      <c r="L25" s="1384"/>
      <c r="M25" s="1386"/>
      <c r="N25" s="1782"/>
      <c r="O25" s="1783"/>
      <c r="P25" s="1202"/>
      <c r="Q25" s="1204"/>
      <c r="R25" s="646"/>
      <c r="S25" s="647"/>
      <c r="T25" s="648"/>
      <c r="U25" s="649"/>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6.25" thickBot="1">
      <c r="A26" s="1143" t="s">
        <v>270</v>
      </c>
      <c r="B26" s="1144"/>
      <c r="C26" s="1144"/>
      <c r="D26" s="1144"/>
      <c r="E26" s="1144"/>
      <c r="F26" s="1144"/>
      <c r="G26" s="1144"/>
      <c r="H26" s="1144"/>
      <c r="I26" s="1144"/>
      <c r="J26" s="1144"/>
      <c r="K26" s="1144"/>
      <c r="L26" s="215">
        <f>SUM(R6:R25)</f>
        <v>0</v>
      </c>
      <c r="M26" s="1189" t="s">
        <v>322</v>
      </c>
      <c r="N26" s="1205"/>
      <c r="O26" s="1205"/>
      <c r="P26" s="1205"/>
      <c r="Q26" s="1205"/>
      <c r="R26" s="216">
        <f>IF(L26&gt;6,6,L26)</f>
        <v>0</v>
      </c>
      <c r="S26" s="217">
        <f>IF(SUM(S6:S14)&gt;6,6,SUM(S6:S14))</f>
        <v>0</v>
      </c>
      <c r="T26" s="48"/>
      <c r="U26" s="177"/>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29.25" customHeight="1">
      <c r="A27" s="1507" t="s">
        <v>31</v>
      </c>
      <c r="B27" s="1508"/>
      <c r="C27" s="1508"/>
      <c r="D27" s="1508"/>
      <c r="E27" s="1508"/>
      <c r="F27" s="1508"/>
      <c r="G27" s="1508"/>
      <c r="H27" s="1430" t="s">
        <v>32</v>
      </c>
      <c r="I27" s="1430"/>
      <c r="J27" s="1430"/>
      <c r="K27" s="1431">
        <f>Q2</f>
        <v>0</v>
      </c>
      <c r="L27" s="1432"/>
      <c r="M27" s="1432"/>
      <c r="N27" s="1432"/>
      <c r="O27" s="1430" t="s">
        <v>33</v>
      </c>
      <c r="P27" s="1430"/>
      <c r="Q27" s="1430"/>
      <c r="R27" s="1432">
        <f>C2</f>
        <v>0</v>
      </c>
      <c r="S27" s="1432"/>
      <c r="T27" s="1432"/>
      <c r="U27" s="1506"/>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9.25" customHeight="1" thickBot="1">
      <c r="A28" s="1437">
        <f>'فرم الف'!A27</f>
        <v>0</v>
      </c>
      <c r="B28" s="1425"/>
      <c r="C28" s="1425"/>
      <c r="D28" s="1425"/>
      <c r="E28" s="1425"/>
      <c r="F28" s="1425"/>
      <c r="G28" s="1425"/>
      <c r="H28" s="1425">
        <f>'فرم الف'!E27</f>
        <v>0</v>
      </c>
      <c r="I28" s="1425"/>
      <c r="J28" s="1425"/>
      <c r="K28" s="1425"/>
      <c r="L28" s="1425"/>
      <c r="M28" s="1425"/>
      <c r="N28" s="1425"/>
      <c r="O28" s="1425" t="str">
        <f>'فرم الف'!J27</f>
        <v/>
      </c>
      <c r="P28" s="1425"/>
      <c r="Q28" s="1425"/>
      <c r="R28" s="1425"/>
      <c r="S28" s="1425"/>
      <c r="T28" s="1425"/>
      <c r="U28" s="1426"/>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20.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17.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20.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17.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20.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17.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20.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17.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20.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17.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20.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17.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ht="20.25" customHeight="1">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2:80" ht="17.25" customHeight="1">
      <c r="V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2:80" ht="20.25" customHeight="1">
      <c r="V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2:80">
      <c r="V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2:80" ht="17.25" customHeight="1">
      <c r="V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2:80" ht="20.25" customHeight="1">
      <c r="V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2:80">
      <c r="V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2:80" ht="17.25" customHeight="1">
      <c r="V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row r="57" spans="22:80" ht="20.25" customHeight="1">
      <c r="V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row>
    <row r="58" spans="22:80">
      <c r="V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row>
    <row r="59" spans="22:80">
      <c r="V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row>
    <row r="61" spans="22:80" ht="26.25" customHeight="1"/>
    <row r="62" spans="22:80" ht="26.25" customHeight="1"/>
  </sheetData>
  <sheetProtection algorithmName="SHA-512" hashValue="Uhelgh6eBZVJ9ln9mkFSFRLUn4lhAAbvuJfmeBTu2CvE6Q6FJPlmczE8XZMike3y14IkkIGa2QbSmynSfxUrng==" saltValue="eGbZl6N9okEpdrD4NID2XQ==" spinCount="100000" sheet="1" objects="1" scenarios="1" formatCells="0" formatRows="0" selectLockedCells="1"/>
  <mergeCells count="131">
    <mergeCell ref="A28:G28"/>
    <mergeCell ref="H28:N28"/>
    <mergeCell ref="O28:U28"/>
    <mergeCell ref="A27:G27"/>
    <mergeCell ref="H27:J27"/>
    <mergeCell ref="K27:N27"/>
    <mergeCell ref="O27:Q27"/>
    <mergeCell ref="R27:U27"/>
    <mergeCell ref="B16:F16"/>
    <mergeCell ref="B21:F21"/>
    <mergeCell ref="G21:H21"/>
    <mergeCell ref="L21:M21"/>
    <mergeCell ref="N21:O21"/>
    <mergeCell ref="P21:Q21"/>
    <mergeCell ref="B20:F20"/>
    <mergeCell ref="G20:H20"/>
    <mergeCell ref="L20:M20"/>
    <mergeCell ref="N20:O20"/>
    <mergeCell ref="P20:Q20"/>
    <mergeCell ref="B19:F19"/>
    <mergeCell ref="G19:H19"/>
    <mergeCell ref="G16:H16"/>
    <mergeCell ref="L16:M16"/>
    <mergeCell ref="N16:O16"/>
    <mergeCell ref="P16:Q16"/>
    <mergeCell ref="L19:M19"/>
    <mergeCell ref="N19:O19"/>
    <mergeCell ref="P19:Q19"/>
    <mergeCell ref="G17:H17"/>
    <mergeCell ref="L17:M17"/>
    <mergeCell ref="N17:O17"/>
    <mergeCell ref="P17:Q17"/>
    <mergeCell ref="B12:F12"/>
    <mergeCell ref="G12:H12"/>
    <mergeCell ref="L12:M12"/>
    <mergeCell ref="N12:O12"/>
    <mergeCell ref="P12:Q12"/>
    <mergeCell ref="B13:F13"/>
    <mergeCell ref="G13:H13"/>
    <mergeCell ref="L13:M13"/>
    <mergeCell ref="B15:F15"/>
    <mergeCell ref="G15:H15"/>
    <mergeCell ref="L15:M15"/>
    <mergeCell ref="N15:O15"/>
    <mergeCell ref="P15:Q15"/>
    <mergeCell ref="N13:O13"/>
    <mergeCell ref="P13:Q13"/>
    <mergeCell ref="B14:F14"/>
    <mergeCell ref="G14:H14"/>
    <mergeCell ref="L14:M14"/>
    <mergeCell ref="N14:O14"/>
    <mergeCell ref="P14:Q14"/>
    <mergeCell ref="S3:U3"/>
    <mergeCell ref="A4:A5"/>
    <mergeCell ref="R4:T4"/>
    <mergeCell ref="A1:B2"/>
    <mergeCell ref="C1:G1"/>
    <mergeCell ref="H1:L1"/>
    <mergeCell ref="M1:P1"/>
    <mergeCell ref="Q1:U1"/>
    <mergeCell ref="C2:G2"/>
    <mergeCell ref="H2:L2"/>
    <mergeCell ref="M2:P2"/>
    <mergeCell ref="Q2:U2"/>
    <mergeCell ref="I4:I5"/>
    <mergeCell ref="A3:R3"/>
    <mergeCell ref="B4:F5"/>
    <mergeCell ref="P4:Q5"/>
    <mergeCell ref="N4:O5"/>
    <mergeCell ref="L4:M5"/>
    <mergeCell ref="J4:K4"/>
    <mergeCell ref="G4:H5"/>
    <mergeCell ref="U4:U5"/>
    <mergeCell ref="B6:F6"/>
    <mergeCell ref="L6:M6"/>
    <mergeCell ref="N6:O6"/>
    <mergeCell ref="P6:Q6"/>
    <mergeCell ref="B7:F7"/>
    <mergeCell ref="G7:H7"/>
    <mergeCell ref="L7:M7"/>
    <mergeCell ref="N7:O7"/>
    <mergeCell ref="P7:Q7"/>
    <mergeCell ref="G6:H6"/>
    <mergeCell ref="L22:M22"/>
    <mergeCell ref="N22:O22"/>
    <mergeCell ref="P22:Q22"/>
    <mergeCell ref="P18:Q18"/>
    <mergeCell ref="B8:F8"/>
    <mergeCell ref="G8:H8"/>
    <mergeCell ref="L8:M8"/>
    <mergeCell ref="N8:O8"/>
    <mergeCell ref="P8:Q8"/>
    <mergeCell ref="B9:F9"/>
    <mergeCell ref="G9:H9"/>
    <mergeCell ref="L9:M9"/>
    <mergeCell ref="B11:F11"/>
    <mergeCell ref="G11:H11"/>
    <mergeCell ref="L11:M11"/>
    <mergeCell ref="N11:O11"/>
    <mergeCell ref="P11:Q11"/>
    <mergeCell ref="N9:O9"/>
    <mergeCell ref="P9:Q9"/>
    <mergeCell ref="B10:F10"/>
    <mergeCell ref="G10:H10"/>
    <mergeCell ref="L10:M10"/>
    <mergeCell ref="N10:O10"/>
    <mergeCell ref="P10:Q10"/>
    <mergeCell ref="B17:F17"/>
    <mergeCell ref="A26:K26"/>
    <mergeCell ref="M26:Q26"/>
    <mergeCell ref="B25:F25"/>
    <mergeCell ref="G25:H25"/>
    <mergeCell ref="L25:M25"/>
    <mergeCell ref="N25:O25"/>
    <mergeCell ref="P25:Q25"/>
    <mergeCell ref="B24:F24"/>
    <mergeCell ref="G24:H24"/>
    <mergeCell ref="L24:M24"/>
    <mergeCell ref="N24:O24"/>
    <mergeCell ref="P24:Q24"/>
    <mergeCell ref="B18:F18"/>
    <mergeCell ref="G18:H18"/>
    <mergeCell ref="L18:M18"/>
    <mergeCell ref="N18:O18"/>
    <mergeCell ref="B23:F23"/>
    <mergeCell ref="G23:H23"/>
    <mergeCell ref="L23:M23"/>
    <mergeCell ref="N23:O23"/>
    <mergeCell ref="P23:Q23"/>
    <mergeCell ref="B22:F22"/>
    <mergeCell ref="G22:H22"/>
  </mergeCells>
  <conditionalFormatting sqref="B6:Q6">
    <cfRule type="containsBlanks" dxfId="77" priority="9">
      <formula>LEN(TRIM(B6))=0</formula>
    </cfRule>
  </conditionalFormatting>
  <conditionalFormatting sqref="B7:Q25">
    <cfRule type="containsBlanks" dxfId="76"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2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2 امتیاز در واحد کار" sqref="R6:S2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Base'!$E$53:$E$56</xm:f>
          </x14:formula1>
          <xm:sqref>I6:I25</xm:sqref>
        </x14:dataValidation>
        <x14:dataValidation type="list" allowBlank="1" showInputMessage="1" showErrorMessage="1" errorTitle="خطا در ورود اطلاعات" error="لطفا از موارد ليست شده انتخاب نماييد">
          <x14:formula1>
            <xm:f>'Data Base'!$B$53:$B$56</xm:f>
          </x14:formula1>
          <xm:sqref>G6:H25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7" width="7.5703125" style="19" customWidth="1"/>
    <col min="8" max="9" width="7.42578125" style="19" customWidth="1"/>
    <col min="10" max="10" width="6.42578125" style="19" customWidth="1"/>
    <col min="11" max="12" width="5.14062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7.71093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37.5" customHeight="1" thickBot="1">
      <c r="A3" s="1528" t="s">
        <v>440</v>
      </c>
      <c r="B3" s="1528"/>
      <c r="C3" s="1529"/>
      <c r="D3" s="1529"/>
      <c r="E3" s="1529"/>
      <c r="F3" s="1529"/>
      <c r="G3" s="1529"/>
      <c r="H3" s="1529"/>
      <c r="I3" s="1529"/>
      <c r="J3" s="1529"/>
      <c r="K3" s="1529"/>
      <c r="L3" s="1529"/>
      <c r="M3" s="1529"/>
      <c r="N3" s="1529"/>
      <c r="O3" s="1529"/>
      <c r="P3" s="1529"/>
      <c r="Q3" s="1529"/>
      <c r="R3" s="1529"/>
      <c r="S3" s="1527" t="s">
        <v>441</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6.5" customHeight="1">
      <c r="A4" s="1479" t="s">
        <v>9</v>
      </c>
      <c r="B4" s="1644" t="s">
        <v>240</v>
      </c>
      <c r="C4" s="1645"/>
      <c r="D4" s="1645"/>
      <c r="E4" s="1645"/>
      <c r="F4" s="1646"/>
      <c r="G4" s="1453" t="s">
        <v>367</v>
      </c>
      <c r="H4" s="1453" t="s">
        <v>294</v>
      </c>
      <c r="I4" s="1454"/>
      <c r="J4" s="1454" t="s">
        <v>442</v>
      </c>
      <c r="K4" s="1453" t="s">
        <v>443</v>
      </c>
      <c r="L4" s="1454"/>
      <c r="M4" s="1453" t="s">
        <v>243</v>
      </c>
      <c r="N4" s="1454"/>
      <c r="O4" s="1477" t="s">
        <v>431</v>
      </c>
      <c r="P4" s="1482" t="s">
        <v>433</v>
      </c>
      <c r="Q4" s="1482"/>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9"/>
      <c r="G5" s="1455"/>
      <c r="H5" s="212" t="s">
        <v>301</v>
      </c>
      <c r="I5" s="213" t="s">
        <v>302</v>
      </c>
      <c r="J5" s="1456"/>
      <c r="K5" s="1455"/>
      <c r="L5" s="1456"/>
      <c r="M5" s="1455"/>
      <c r="N5" s="1456"/>
      <c r="O5" s="1478"/>
      <c r="P5" s="1483"/>
      <c r="Q5" s="1483"/>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7.5" customHeight="1">
      <c r="A6" s="223">
        <v>1</v>
      </c>
      <c r="B6" s="1404"/>
      <c r="C6" s="1404"/>
      <c r="D6" s="1404"/>
      <c r="E6" s="1404"/>
      <c r="F6" s="1404"/>
      <c r="G6" s="118"/>
      <c r="H6" s="121"/>
      <c r="I6" s="650"/>
      <c r="J6" s="643"/>
      <c r="K6" s="1790"/>
      <c r="L6" s="1790"/>
      <c r="M6" s="1643"/>
      <c r="N6" s="1643"/>
      <c r="O6" s="651"/>
      <c r="P6" s="1160"/>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7.5" customHeight="1">
      <c r="A7" s="224">
        <v>2</v>
      </c>
      <c r="B7" s="1157"/>
      <c r="C7" s="1157"/>
      <c r="D7" s="1157"/>
      <c r="E7" s="1157"/>
      <c r="F7" s="1157"/>
      <c r="G7" s="57"/>
      <c r="H7" s="42"/>
      <c r="I7" s="652"/>
      <c r="J7" s="645"/>
      <c r="K7" s="1789"/>
      <c r="L7" s="1789"/>
      <c r="M7" s="1534"/>
      <c r="N7" s="1534"/>
      <c r="O7" s="653"/>
      <c r="P7" s="1202"/>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7.5" customHeight="1">
      <c r="A8" s="224">
        <v>3</v>
      </c>
      <c r="B8" s="1157"/>
      <c r="C8" s="1157"/>
      <c r="D8" s="1157"/>
      <c r="E8" s="1157"/>
      <c r="F8" s="1157"/>
      <c r="G8" s="57"/>
      <c r="H8" s="42"/>
      <c r="I8" s="652"/>
      <c r="J8" s="645"/>
      <c r="K8" s="1789"/>
      <c r="L8" s="1789"/>
      <c r="M8" s="1534"/>
      <c r="N8" s="1534"/>
      <c r="O8" s="653"/>
      <c r="P8" s="1202"/>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7.5" customHeight="1">
      <c r="A9" s="224">
        <v>4</v>
      </c>
      <c r="B9" s="1157"/>
      <c r="C9" s="1157"/>
      <c r="D9" s="1157"/>
      <c r="E9" s="1157"/>
      <c r="F9" s="1157"/>
      <c r="G9" s="57"/>
      <c r="H9" s="42"/>
      <c r="I9" s="652"/>
      <c r="J9" s="645"/>
      <c r="K9" s="1789"/>
      <c r="L9" s="1789"/>
      <c r="M9" s="1534"/>
      <c r="N9" s="1534"/>
      <c r="O9" s="653"/>
      <c r="P9" s="1202"/>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7.5" customHeight="1">
      <c r="A10" s="224">
        <v>5</v>
      </c>
      <c r="B10" s="1157"/>
      <c r="C10" s="1157"/>
      <c r="D10" s="1157"/>
      <c r="E10" s="1157"/>
      <c r="F10" s="1157"/>
      <c r="G10" s="57"/>
      <c r="H10" s="42"/>
      <c r="I10" s="652"/>
      <c r="J10" s="645"/>
      <c r="K10" s="1789"/>
      <c r="L10" s="1789"/>
      <c r="M10" s="1534"/>
      <c r="N10" s="1534"/>
      <c r="O10" s="653"/>
      <c r="P10" s="1202"/>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7.5" customHeight="1">
      <c r="A11" s="224">
        <v>6</v>
      </c>
      <c r="B11" s="1157"/>
      <c r="C11" s="1157"/>
      <c r="D11" s="1157"/>
      <c r="E11" s="1157"/>
      <c r="F11" s="1157"/>
      <c r="G11" s="57"/>
      <c r="H11" s="42"/>
      <c r="I11" s="652"/>
      <c r="J11" s="645"/>
      <c r="K11" s="1789"/>
      <c r="L11" s="1789"/>
      <c r="M11" s="1534"/>
      <c r="N11" s="1534"/>
      <c r="O11" s="653"/>
      <c r="P11" s="1202"/>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7.5" customHeight="1">
      <c r="A12" s="224">
        <v>7</v>
      </c>
      <c r="B12" s="1157"/>
      <c r="C12" s="1157"/>
      <c r="D12" s="1157"/>
      <c r="E12" s="1157"/>
      <c r="F12" s="1157"/>
      <c r="G12" s="57"/>
      <c r="H12" s="42"/>
      <c r="I12" s="652"/>
      <c r="J12" s="645"/>
      <c r="K12" s="1789"/>
      <c r="L12" s="1789"/>
      <c r="M12" s="1534"/>
      <c r="N12" s="1534"/>
      <c r="O12" s="653"/>
      <c r="P12" s="1202"/>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7.5" customHeight="1">
      <c r="A13" s="224">
        <v>8</v>
      </c>
      <c r="B13" s="1157"/>
      <c r="C13" s="1157"/>
      <c r="D13" s="1157"/>
      <c r="E13" s="1157"/>
      <c r="F13" s="1157"/>
      <c r="G13" s="57"/>
      <c r="H13" s="42"/>
      <c r="I13" s="652"/>
      <c r="J13" s="645"/>
      <c r="K13" s="1789"/>
      <c r="L13" s="1789"/>
      <c r="M13" s="1534"/>
      <c r="N13" s="1534"/>
      <c r="O13" s="653"/>
      <c r="P13" s="1202"/>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7.5" customHeight="1">
      <c r="A14" s="224">
        <v>9</v>
      </c>
      <c r="B14" s="1157"/>
      <c r="C14" s="1157"/>
      <c r="D14" s="1157"/>
      <c r="E14" s="1157"/>
      <c r="F14" s="1157"/>
      <c r="G14" s="57"/>
      <c r="H14" s="42"/>
      <c r="I14" s="652"/>
      <c r="J14" s="645"/>
      <c r="K14" s="1789"/>
      <c r="L14" s="1789"/>
      <c r="M14" s="1534"/>
      <c r="N14" s="1534"/>
      <c r="O14" s="653"/>
      <c r="P14" s="1202"/>
      <c r="Q14" s="1204"/>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7.5" customHeight="1">
      <c r="A15" s="224">
        <v>10</v>
      </c>
      <c r="B15" s="1157"/>
      <c r="C15" s="1157"/>
      <c r="D15" s="1157"/>
      <c r="E15" s="1157"/>
      <c r="F15" s="1157"/>
      <c r="G15" s="57"/>
      <c r="H15" s="42"/>
      <c r="I15" s="652"/>
      <c r="J15" s="645"/>
      <c r="K15" s="1789"/>
      <c r="L15" s="1789"/>
      <c r="M15" s="1534"/>
      <c r="N15" s="1534"/>
      <c r="O15" s="653"/>
      <c r="P15" s="1202"/>
      <c r="Q15" s="1204"/>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37.5" customHeight="1">
      <c r="A16" s="224">
        <v>11</v>
      </c>
      <c r="B16" s="1157"/>
      <c r="C16" s="1157"/>
      <c r="D16" s="1157"/>
      <c r="E16" s="1157"/>
      <c r="F16" s="1157"/>
      <c r="G16" s="57"/>
      <c r="H16" s="42"/>
      <c r="I16" s="652"/>
      <c r="J16" s="645"/>
      <c r="K16" s="1789"/>
      <c r="L16" s="1789"/>
      <c r="M16" s="1534"/>
      <c r="N16" s="1534"/>
      <c r="O16" s="653"/>
      <c r="P16" s="1202"/>
      <c r="Q16" s="1204"/>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7.5" customHeight="1">
      <c r="A17" s="224">
        <v>12</v>
      </c>
      <c r="B17" s="1157"/>
      <c r="C17" s="1157"/>
      <c r="D17" s="1157"/>
      <c r="E17" s="1157"/>
      <c r="F17" s="1157"/>
      <c r="G17" s="57"/>
      <c r="H17" s="42"/>
      <c r="I17" s="652"/>
      <c r="J17" s="645"/>
      <c r="K17" s="1789"/>
      <c r="L17" s="1789"/>
      <c r="M17" s="1534"/>
      <c r="N17" s="1534"/>
      <c r="O17" s="653"/>
      <c r="P17" s="1202"/>
      <c r="Q17" s="1204"/>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7.5" customHeight="1">
      <c r="A18" s="224">
        <v>13</v>
      </c>
      <c r="B18" s="1157"/>
      <c r="C18" s="1157"/>
      <c r="D18" s="1157"/>
      <c r="E18" s="1157"/>
      <c r="F18" s="1157"/>
      <c r="G18" s="57"/>
      <c r="H18" s="42"/>
      <c r="I18" s="652"/>
      <c r="J18" s="645"/>
      <c r="K18" s="1789"/>
      <c r="L18" s="1789"/>
      <c r="M18" s="1534"/>
      <c r="N18" s="1534"/>
      <c r="O18" s="653"/>
      <c r="P18" s="1202"/>
      <c r="Q18" s="1204"/>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7.5" customHeight="1">
      <c r="A19" s="224">
        <v>14</v>
      </c>
      <c r="B19" s="1157"/>
      <c r="C19" s="1157"/>
      <c r="D19" s="1157"/>
      <c r="E19" s="1157"/>
      <c r="F19" s="1157"/>
      <c r="G19" s="57"/>
      <c r="H19" s="42"/>
      <c r="I19" s="652"/>
      <c r="J19" s="645"/>
      <c r="K19" s="1789"/>
      <c r="L19" s="1789"/>
      <c r="M19" s="1534"/>
      <c r="N19" s="1534"/>
      <c r="O19" s="653"/>
      <c r="P19" s="1202"/>
      <c r="Q19" s="1204"/>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7.5" customHeight="1">
      <c r="A20" s="224">
        <v>15</v>
      </c>
      <c r="B20" s="1157"/>
      <c r="C20" s="1157"/>
      <c r="D20" s="1157"/>
      <c r="E20" s="1157"/>
      <c r="F20" s="1157"/>
      <c r="G20" s="57"/>
      <c r="H20" s="42"/>
      <c r="I20" s="652"/>
      <c r="J20" s="645"/>
      <c r="K20" s="1789"/>
      <c r="L20" s="1789"/>
      <c r="M20" s="1534"/>
      <c r="N20" s="1534"/>
      <c r="O20" s="653"/>
      <c r="P20" s="1202"/>
      <c r="Q20" s="1204"/>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37.5" customHeight="1">
      <c r="A21" s="224">
        <v>16</v>
      </c>
      <c r="B21" s="1157"/>
      <c r="C21" s="1157"/>
      <c r="D21" s="1157"/>
      <c r="E21" s="1157"/>
      <c r="F21" s="1157"/>
      <c r="G21" s="57"/>
      <c r="H21" s="42"/>
      <c r="I21" s="652"/>
      <c r="J21" s="645"/>
      <c r="K21" s="1789"/>
      <c r="L21" s="1789"/>
      <c r="M21" s="1534"/>
      <c r="N21" s="1534"/>
      <c r="O21" s="653"/>
      <c r="P21" s="1202"/>
      <c r="Q21" s="1204"/>
      <c r="R21" s="550"/>
      <c r="S21" s="34"/>
      <c r="T21" s="145"/>
      <c r="U21" s="144"/>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7.5" customHeight="1">
      <c r="A22" s="224">
        <v>17</v>
      </c>
      <c r="B22" s="1157"/>
      <c r="C22" s="1157"/>
      <c r="D22" s="1157"/>
      <c r="E22" s="1157"/>
      <c r="F22" s="1157"/>
      <c r="G22" s="57"/>
      <c r="H22" s="42"/>
      <c r="I22" s="652"/>
      <c r="J22" s="645"/>
      <c r="K22" s="1789"/>
      <c r="L22" s="1789"/>
      <c r="M22" s="1534"/>
      <c r="N22" s="1534"/>
      <c r="O22" s="653"/>
      <c r="P22" s="1202"/>
      <c r="Q22" s="1204"/>
      <c r="R22" s="550"/>
      <c r="S22" s="34"/>
      <c r="T22" s="145"/>
      <c r="U22" s="14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7.5" customHeight="1">
      <c r="A23" s="224">
        <v>18</v>
      </c>
      <c r="B23" s="1157"/>
      <c r="C23" s="1157"/>
      <c r="D23" s="1157"/>
      <c r="E23" s="1157"/>
      <c r="F23" s="1157"/>
      <c r="G23" s="57"/>
      <c r="H23" s="42"/>
      <c r="I23" s="652"/>
      <c r="J23" s="645"/>
      <c r="K23" s="1789"/>
      <c r="L23" s="1789"/>
      <c r="M23" s="1534"/>
      <c r="N23" s="1534"/>
      <c r="O23" s="653"/>
      <c r="P23" s="1202"/>
      <c r="Q23" s="1204"/>
      <c r="R23" s="550"/>
      <c r="S23" s="34"/>
      <c r="T23" s="145"/>
      <c r="U23" s="144"/>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37.5" customHeight="1">
      <c r="A24" s="224">
        <v>19</v>
      </c>
      <c r="B24" s="1157"/>
      <c r="C24" s="1157"/>
      <c r="D24" s="1157"/>
      <c r="E24" s="1157"/>
      <c r="F24" s="1157"/>
      <c r="G24" s="57"/>
      <c r="H24" s="42"/>
      <c r="I24" s="652"/>
      <c r="J24" s="645"/>
      <c r="K24" s="1789"/>
      <c r="L24" s="1789"/>
      <c r="M24" s="1534"/>
      <c r="N24" s="1534"/>
      <c r="O24" s="653"/>
      <c r="P24" s="1202"/>
      <c r="Q24" s="1204"/>
      <c r="R24" s="550"/>
      <c r="S24" s="34"/>
      <c r="T24" s="145"/>
      <c r="U24" s="144"/>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37.5" customHeight="1" thickBot="1">
      <c r="A25" s="223">
        <v>20</v>
      </c>
      <c r="B25" s="1157"/>
      <c r="C25" s="1157"/>
      <c r="D25" s="1157"/>
      <c r="E25" s="1157"/>
      <c r="F25" s="1157"/>
      <c r="G25" s="57"/>
      <c r="H25" s="42"/>
      <c r="I25" s="652"/>
      <c r="J25" s="645"/>
      <c r="K25" s="1789"/>
      <c r="L25" s="1789"/>
      <c r="M25" s="1534"/>
      <c r="N25" s="1534"/>
      <c r="O25" s="653"/>
      <c r="P25" s="1202"/>
      <c r="Q25" s="1204"/>
      <c r="R25" s="646"/>
      <c r="S25" s="647"/>
      <c r="T25" s="648"/>
      <c r="U25" s="649"/>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6.25" thickBot="1">
      <c r="A26" s="1143" t="s">
        <v>270</v>
      </c>
      <c r="B26" s="1144"/>
      <c r="C26" s="1144"/>
      <c r="D26" s="1144"/>
      <c r="E26" s="1144"/>
      <c r="F26" s="1144"/>
      <c r="G26" s="1144"/>
      <c r="H26" s="1144"/>
      <c r="I26" s="1144"/>
      <c r="J26" s="1144"/>
      <c r="K26" s="1144"/>
      <c r="L26" s="215">
        <f>SUM(R6:R25)</f>
        <v>0</v>
      </c>
      <c r="M26" s="1189" t="s">
        <v>322</v>
      </c>
      <c r="N26" s="1205"/>
      <c r="O26" s="1205"/>
      <c r="P26" s="1205"/>
      <c r="Q26" s="1205"/>
      <c r="R26" s="216">
        <f>IF(L26&gt;6,6,L26)</f>
        <v>0</v>
      </c>
      <c r="S26" s="217">
        <f>IF(SUM(S6:S25)&gt;6,6,SUM(S6:S25))</f>
        <v>0</v>
      </c>
      <c r="T26" s="48"/>
      <c r="U26" s="177"/>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27.75" customHeight="1">
      <c r="A27" s="1507" t="s">
        <v>31</v>
      </c>
      <c r="B27" s="1508"/>
      <c r="C27" s="1508"/>
      <c r="D27" s="1508"/>
      <c r="E27" s="1508"/>
      <c r="F27" s="1508"/>
      <c r="G27" s="1508"/>
      <c r="H27" s="1430" t="s">
        <v>32</v>
      </c>
      <c r="I27" s="1430"/>
      <c r="J27" s="1430"/>
      <c r="K27" s="1431">
        <f>Q2</f>
        <v>0</v>
      </c>
      <c r="L27" s="1432"/>
      <c r="M27" s="1432"/>
      <c r="N27" s="1432"/>
      <c r="O27" s="1430" t="s">
        <v>33</v>
      </c>
      <c r="P27" s="1430"/>
      <c r="Q27" s="1430"/>
      <c r="R27" s="1432">
        <f>C2</f>
        <v>0</v>
      </c>
      <c r="S27" s="1432"/>
      <c r="T27" s="1432"/>
      <c r="U27" s="1506"/>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7.75" customHeight="1" thickBot="1">
      <c r="A28" s="1437">
        <f>'فرم الف'!A27</f>
        <v>0</v>
      </c>
      <c r="B28" s="1425"/>
      <c r="C28" s="1425"/>
      <c r="D28" s="1425"/>
      <c r="E28" s="1425"/>
      <c r="F28" s="1425"/>
      <c r="G28" s="1425"/>
      <c r="H28" s="1425">
        <f>'فرم الف'!E27</f>
        <v>0</v>
      </c>
      <c r="I28" s="1425"/>
      <c r="J28" s="1425"/>
      <c r="K28" s="1425"/>
      <c r="L28" s="1425"/>
      <c r="M28" s="1425"/>
      <c r="N28" s="1425"/>
      <c r="O28" s="1425" t="str">
        <f>'فرم الف'!J27</f>
        <v/>
      </c>
      <c r="P28" s="1425"/>
      <c r="Q28" s="1425"/>
      <c r="R28" s="1425"/>
      <c r="S28" s="1425"/>
      <c r="T28" s="1425"/>
      <c r="U28" s="1426"/>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20.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17.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20.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17.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20.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17.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20.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17.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20.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17.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20.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17.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ht="20.25" customHeight="1">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2:80" ht="17.25" customHeight="1">
      <c r="V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2:80" ht="20.25" customHeight="1">
      <c r="V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2:80">
      <c r="V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2:80" ht="17.25" customHeight="1">
      <c r="V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2:80" ht="20.25" customHeight="1">
      <c r="V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2:80">
      <c r="V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2:80" ht="17.25" customHeight="1">
      <c r="V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row r="57" spans="22:80" ht="20.25" customHeight="1">
      <c r="V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row>
    <row r="58" spans="22:80">
      <c r="V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row>
    <row r="59" spans="22:80">
      <c r="V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row>
    <row r="61" spans="22:80" ht="26.25" customHeight="1"/>
    <row r="62" spans="22:80" ht="26.25" customHeight="1"/>
  </sheetData>
  <sheetProtection algorithmName="SHA-512" hashValue="YInc9wsyuSEjuwgMVokXdaYiHJvbEEvVjkknmoTmNS4+GaL3xEmKn7oS53HFwCKZumt9uPdO9/kEaIhJ1EA45A==" saltValue="mPXrXNaCV1RLeOsp1QFQRA==" spinCount="100000" sheet="1" objects="1" scenarios="1" formatCells="0" formatRows="0" selectLockedCells="1"/>
  <mergeCells count="112">
    <mergeCell ref="K25:L25"/>
    <mergeCell ref="M25:N25"/>
    <mergeCell ref="P6:Q6"/>
    <mergeCell ref="R4:T4"/>
    <mergeCell ref="U4:U5"/>
    <mergeCell ref="B6:F6"/>
    <mergeCell ref="A3:R3"/>
    <mergeCell ref="S3:U3"/>
    <mergeCell ref="A4:A5"/>
    <mergeCell ref="B4:F5"/>
    <mergeCell ref="P4:Q5"/>
    <mergeCell ref="M6:N6"/>
    <mergeCell ref="K6:L6"/>
    <mergeCell ref="B7:F7"/>
    <mergeCell ref="P7:Q7"/>
    <mergeCell ref="B8:F8"/>
    <mergeCell ref="P8:Q8"/>
    <mergeCell ref="K7:L7"/>
    <mergeCell ref="M7:N7"/>
    <mergeCell ref="K8:L8"/>
    <mergeCell ref="M8:N8"/>
    <mergeCell ref="B9:F9"/>
    <mergeCell ref="P9:Q9"/>
    <mergeCell ref="B10:F10"/>
    <mergeCell ref="A1:B2"/>
    <mergeCell ref="C1:G1"/>
    <mergeCell ref="H1:L1"/>
    <mergeCell ref="M1:P1"/>
    <mergeCell ref="Q1:U1"/>
    <mergeCell ref="C2:G2"/>
    <mergeCell ref="H2:L2"/>
    <mergeCell ref="M2:P2"/>
    <mergeCell ref="Q2:U2"/>
    <mergeCell ref="P10:Q10"/>
    <mergeCell ref="K9:L9"/>
    <mergeCell ref="M9:N9"/>
    <mergeCell ref="K10:L10"/>
    <mergeCell ref="M10:N10"/>
    <mergeCell ref="B11:F11"/>
    <mergeCell ref="P11:Q11"/>
    <mergeCell ref="B12:F12"/>
    <mergeCell ref="P12:Q12"/>
    <mergeCell ref="K11:L11"/>
    <mergeCell ref="M11:N11"/>
    <mergeCell ref="K12:L12"/>
    <mergeCell ref="M12:N12"/>
    <mergeCell ref="B13:F13"/>
    <mergeCell ref="P13:Q13"/>
    <mergeCell ref="B14:F14"/>
    <mergeCell ref="P14:Q14"/>
    <mergeCell ref="K13:L13"/>
    <mergeCell ref="M13:N13"/>
    <mergeCell ref="K14:L14"/>
    <mergeCell ref="M14:N14"/>
    <mergeCell ref="B15:F15"/>
    <mergeCell ref="P15:Q15"/>
    <mergeCell ref="B16:F16"/>
    <mergeCell ref="P16:Q16"/>
    <mergeCell ref="K15:L15"/>
    <mergeCell ref="M15:N15"/>
    <mergeCell ref="K16:L16"/>
    <mergeCell ref="M16:N16"/>
    <mergeCell ref="B17:F17"/>
    <mergeCell ref="P17:Q17"/>
    <mergeCell ref="B18:F18"/>
    <mergeCell ref="P18:Q18"/>
    <mergeCell ref="K17:L17"/>
    <mergeCell ref="M17:N17"/>
    <mergeCell ref="K18:L18"/>
    <mergeCell ref="M18:N18"/>
    <mergeCell ref="P23:Q23"/>
    <mergeCell ref="B24:F24"/>
    <mergeCell ref="P24:Q24"/>
    <mergeCell ref="K23:L23"/>
    <mergeCell ref="M23:N23"/>
    <mergeCell ref="K24:L24"/>
    <mergeCell ref="M24:N24"/>
    <mergeCell ref="B19:F19"/>
    <mergeCell ref="P19:Q19"/>
    <mergeCell ref="B20:F20"/>
    <mergeCell ref="P20:Q20"/>
    <mergeCell ref="K19:L19"/>
    <mergeCell ref="M19:N19"/>
    <mergeCell ref="K20:L20"/>
    <mergeCell ref="M20:N20"/>
    <mergeCell ref="B21:F21"/>
    <mergeCell ref="P21:Q21"/>
    <mergeCell ref="M21:N21"/>
    <mergeCell ref="R27:U27"/>
    <mergeCell ref="A28:G28"/>
    <mergeCell ref="H28:N28"/>
    <mergeCell ref="O28:U28"/>
    <mergeCell ref="G4:G5"/>
    <mergeCell ref="H4:I4"/>
    <mergeCell ref="J4:J5"/>
    <mergeCell ref="K4:L5"/>
    <mergeCell ref="M4:N5"/>
    <mergeCell ref="O4:O5"/>
    <mergeCell ref="A27:G27"/>
    <mergeCell ref="H27:J27"/>
    <mergeCell ref="K27:N27"/>
    <mergeCell ref="O27:Q27"/>
    <mergeCell ref="B25:F25"/>
    <mergeCell ref="P25:Q25"/>
    <mergeCell ref="A26:K26"/>
    <mergeCell ref="M26:Q26"/>
    <mergeCell ref="B23:F23"/>
    <mergeCell ref="B22:F22"/>
    <mergeCell ref="P22:Q22"/>
    <mergeCell ref="K21:L21"/>
    <mergeCell ref="K22:L22"/>
    <mergeCell ref="M22:N22"/>
  </mergeCells>
  <conditionalFormatting sqref="B6 M6 G6:K6 O6:P6 P7:P25">
    <cfRule type="containsBlanks" dxfId="75" priority="3">
      <formula>LEN(TRIM(B6))=0</formula>
    </cfRule>
  </conditionalFormatting>
  <conditionalFormatting sqref="B7:B25 M7:M25 G7:K25 O7:O25">
    <cfRule type="containsBlanks" dxfId="74" priority="1">
      <formula>LEN(TRIM(B7))=0</formula>
    </cfRule>
  </conditionalFormatting>
  <dataValidations count="1">
    <dataValidation type="decimal" allowBlank="1" showInputMessage="1" showErrorMessage="1" errorTitle="خطا در ورود امتياز" error="لطفا يك عدد بين 0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Base'!$B$47:$B$48</xm:f>
          </x14:formula1>
          <xm:sqref>G6:G25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O6" sqref="O6:Q6"/>
    </sheetView>
  </sheetViews>
  <sheetFormatPr defaultColWidth="9.140625" defaultRowHeight="15"/>
  <cols>
    <col min="1" max="1" width="2.85546875" style="19" customWidth="1"/>
    <col min="2" max="2" width="3.7109375" style="19" customWidth="1"/>
    <col min="3" max="6" width="5.42578125" style="19" customWidth="1"/>
    <col min="7" max="8" width="10.28515625" style="19" customWidth="1"/>
    <col min="9" max="11" width="4.42578125" style="19" customWidth="1"/>
    <col min="12" max="12" width="5.710937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8.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37.5" customHeight="1" thickBot="1">
      <c r="A3" s="1528" t="s">
        <v>447</v>
      </c>
      <c r="B3" s="1528"/>
      <c r="C3" s="1529"/>
      <c r="D3" s="1529"/>
      <c r="E3" s="1529"/>
      <c r="F3" s="1529"/>
      <c r="G3" s="1529"/>
      <c r="H3" s="1529"/>
      <c r="I3" s="1529"/>
      <c r="J3" s="1529"/>
      <c r="K3" s="1529"/>
      <c r="L3" s="1529"/>
      <c r="M3" s="1529"/>
      <c r="N3" s="1529"/>
      <c r="O3" s="1529"/>
      <c r="P3" s="1529"/>
      <c r="Q3" s="1529"/>
      <c r="R3" s="1529"/>
      <c r="S3" s="1527" t="s">
        <v>448</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367</v>
      </c>
      <c r="C4" s="1645"/>
      <c r="D4" s="1645"/>
      <c r="E4" s="1645"/>
      <c r="F4" s="1646"/>
      <c r="G4" s="1477" t="s">
        <v>449</v>
      </c>
      <c r="H4" s="1477" t="s">
        <v>450</v>
      </c>
      <c r="I4" s="1650" t="s">
        <v>451</v>
      </c>
      <c r="J4" s="1650"/>
      <c r="K4" s="1454"/>
      <c r="L4" s="1650" t="s">
        <v>243</v>
      </c>
      <c r="M4" s="1650"/>
      <c r="N4" s="1454"/>
      <c r="O4" s="1453" t="s">
        <v>433</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9"/>
      <c r="G5" s="1478"/>
      <c r="H5" s="1478"/>
      <c r="I5" s="1651"/>
      <c r="J5" s="1651"/>
      <c r="K5" s="1456"/>
      <c r="L5" s="1651"/>
      <c r="M5" s="1651"/>
      <c r="N5" s="1456"/>
      <c r="O5" s="1455"/>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3" customHeight="1">
      <c r="A6" s="223">
        <v>1</v>
      </c>
      <c r="B6" s="1160"/>
      <c r="C6" s="1201"/>
      <c r="D6" s="1201"/>
      <c r="E6" s="1201"/>
      <c r="F6" s="1161"/>
      <c r="G6" s="118"/>
      <c r="H6" s="119"/>
      <c r="I6" s="1405"/>
      <c r="J6" s="1406"/>
      <c r="K6" s="1407"/>
      <c r="L6" s="1405"/>
      <c r="M6" s="1406"/>
      <c r="N6" s="1407"/>
      <c r="O6" s="1791"/>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3" customHeight="1">
      <c r="A7" s="224">
        <v>2</v>
      </c>
      <c r="B7" s="1202"/>
      <c r="C7" s="1203"/>
      <c r="D7" s="1203"/>
      <c r="E7" s="1203"/>
      <c r="F7" s="1204"/>
      <c r="G7" s="57"/>
      <c r="H7" s="59"/>
      <c r="I7" s="1384"/>
      <c r="J7" s="1385"/>
      <c r="K7" s="1386"/>
      <c r="L7" s="1384"/>
      <c r="M7" s="1385"/>
      <c r="N7" s="1386"/>
      <c r="O7" s="1792"/>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3" customHeight="1">
      <c r="A8" s="224">
        <v>3</v>
      </c>
      <c r="B8" s="1202"/>
      <c r="C8" s="1203"/>
      <c r="D8" s="1203"/>
      <c r="E8" s="1203"/>
      <c r="F8" s="1204"/>
      <c r="G8" s="57"/>
      <c r="H8" s="59"/>
      <c r="I8" s="1384"/>
      <c r="J8" s="1385"/>
      <c r="K8" s="1386"/>
      <c r="L8" s="1384"/>
      <c r="M8" s="1385"/>
      <c r="N8" s="1386"/>
      <c r="O8" s="1792"/>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3" customHeight="1">
      <c r="A9" s="224">
        <v>4</v>
      </c>
      <c r="B9" s="1202"/>
      <c r="C9" s="1203"/>
      <c r="D9" s="1203"/>
      <c r="E9" s="1203"/>
      <c r="F9" s="1204"/>
      <c r="G9" s="57"/>
      <c r="H9" s="59"/>
      <c r="I9" s="1384"/>
      <c r="J9" s="1385"/>
      <c r="K9" s="1386"/>
      <c r="L9" s="1384"/>
      <c r="M9" s="1385"/>
      <c r="N9" s="1386"/>
      <c r="O9" s="1792"/>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3" customHeight="1">
      <c r="A10" s="224">
        <v>5</v>
      </c>
      <c r="B10" s="1202"/>
      <c r="C10" s="1203"/>
      <c r="D10" s="1203"/>
      <c r="E10" s="1203"/>
      <c r="F10" s="1204"/>
      <c r="G10" s="57"/>
      <c r="H10" s="59"/>
      <c r="I10" s="1384"/>
      <c r="J10" s="1385"/>
      <c r="K10" s="1386"/>
      <c r="L10" s="1384"/>
      <c r="M10" s="1385"/>
      <c r="N10" s="1386"/>
      <c r="O10" s="1792"/>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3" customHeight="1">
      <c r="A11" s="224">
        <v>6</v>
      </c>
      <c r="B11" s="1202"/>
      <c r="C11" s="1203"/>
      <c r="D11" s="1203"/>
      <c r="E11" s="1203"/>
      <c r="F11" s="1204"/>
      <c r="G11" s="57"/>
      <c r="H11" s="59"/>
      <c r="I11" s="1384"/>
      <c r="J11" s="1385"/>
      <c r="K11" s="1386"/>
      <c r="L11" s="1384"/>
      <c r="M11" s="1385"/>
      <c r="N11" s="1386"/>
      <c r="O11" s="1792"/>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3" customHeight="1">
      <c r="A12" s="224">
        <v>7</v>
      </c>
      <c r="B12" s="1202"/>
      <c r="C12" s="1203"/>
      <c r="D12" s="1203"/>
      <c r="E12" s="1203"/>
      <c r="F12" s="1204"/>
      <c r="G12" s="57"/>
      <c r="H12" s="59"/>
      <c r="I12" s="1384"/>
      <c r="J12" s="1385"/>
      <c r="K12" s="1386"/>
      <c r="L12" s="1384"/>
      <c r="M12" s="1385"/>
      <c r="N12" s="1386"/>
      <c r="O12" s="1792"/>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3" customHeight="1">
      <c r="A13" s="224">
        <v>8</v>
      </c>
      <c r="B13" s="1202"/>
      <c r="C13" s="1203"/>
      <c r="D13" s="1203"/>
      <c r="E13" s="1203"/>
      <c r="F13" s="1204"/>
      <c r="G13" s="57"/>
      <c r="H13" s="59"/>
      <c r="I13" s="1384"/>
      <c r="J13" s="1385"/>
      <c r="K13" s="1386"/>
      <c r="L13" s="1384"/>
      <c r="M13" s="1385"/>
      <c r="N13" s="1386"/>
      <c r="O13" s="1792"/>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3" customHeight="1">
      <c r="A14" s="224">
        <v>9</v>
      </c>
      <c r="B14" s="1202"/>
      <c r="C14" s="1203"/>
      <c r="D14" s="1203"/>
      <c r="E14" s="1203"/>
      <c r="F14" s="1204"/>
      <c r="G14" s="57"/>
      <c r="H14" s="59"/>
      <c r="I14" s="1384"/>
      <c r="J14" s="1385"/>
      <c r="K14" s="1386"/>
      <c r="L14" s="1384"/>
      <c r="M14" s="1385"/>
      <c r="N14" s="1386"/>
      <c r="O14" s="1792"/>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3" customHeight="1">
      <c r="A15" s="224">
        <v>10</v>
      </c>
      <c r="B15" s="1202"/>
      <c r="C15" s="1203"/>
      <c r="D15" s="1203"/>
      <c r="E15" s="1203"/>
      <c r="F15" s="1204"/>
      <c r="G15" s="57"/>
      <c r="H15" s="59"/>
      <c r="I15" s="1384"/>
      <c r="J15" s="1385"/>
      <c r="K15" s="1386"/>
      <c r="L15" s="1384"/>
      <c r="M15" s="1385"/>
      <c r="N15" s="1386"/>
      <c r="O15" s="1792"/>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33" customHeight="1">
      <c r="A16" s="224">
        <v>11</v>
      </c>
      <c r="B16" s="1202"/>
      <c r="C16" s="1203"/>
      <c r="D16" s="1203"/>
      <c r="E16" s="1203"/>
      <c r="F16" s="1204"/>
      <c r="G16" s="57"/>
      <c r="H16" s="59"/>
      <c r="I16" s="1384"/>
      <c r="J16" s="1385"/>
      <c r="K16" s="1386"/>
      <c r="L16" s="1384"/>
      <c r="M16" s="1385"/>
      <c r="N16" s="1386"/>
      <c r="O16" s="1792"/>
      <c r="P16" s="1792"/>
      <c r="Q16" s="1783"/>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3" customHeight="1">
      <c r="A17" s="224">
        <v>12</v>
      </c>
      <c r="B17" s="1202"/>
      <c r="C17" s="1203"/>
      <c r="D17" s="1203"/>
      <c r="E17" s="1203"/>
      <c r="F17" s="1204"/>
      <c r="G17" s="57"/>
      <c r="H17" s="59"/>
      <c r="I17" s="1384"/>
      <c r="J17" s="1385"/>
      <c r="K17" s="1386"/>
      <c r="L17" s="1384"/>
      <c r="M17" s="1385"/>
      <c r="N17" s="1386"/>
      <c r="O17" s="1792"/>
      <c r="P17" s="1792"/>
      <c r="Q17" s="1783"/>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3" customHeight="1">
      <c r="A18" s="224">
        <v>13</v>
      </c>
      <c r="B18" s="1202"/>
      <c r="C18" s="1203"/>
      <c r="D18" s="1203"/>
      <c r="E18" s="1203"/>
      <c r="F18" s="1204"/>
      <c r="G18" s="57"/>
      <c r="H18" s="59"/>
      <c r="I18" s="1384"/>
      <c r="J18" s="1385"/>
      <c r="K18" s="1386"/>
      <c r="L18" s="1384"/>
      <c r="M18" s="1385"/>
      <c r="N18" s="1386"/>
      <c r="O18" s="1792"/>
      <c r="P18" s="1792"/>
      <c r="Q18" s="1783"/>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3" customHeight="1">
      <c r="A19" s="224">
        <v>14</v>
      </c>
      <c r="B19" s="1202"/>
      <c r="C19" s="1203"/>
      <c r="D19" s="1203"/>
      <c r="E19" s="1203"/>
      <c r="F19" s="1204"/>
      <c r="G19" s="57"/>
      <c r="H19" s="59"/>
      <c r="I19" s="1384"/>
      <c r="J19" s="1385"/>
      <c r="K19" s="1386"/>
      <c r="L19" s="1384"/>
      <c r="M19" s="1385"/>
      <c r="N19" s="1386"/>
      <c r="O19" s="1792"/>
      <c r="P19" s="1792"/>
      <c r="Q19" s="1783"/>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3" customHeight="1">
      <c r="A20" s="224">
        <v>15</v>
      </c>
      <c r="B20" s="1202"/>
      <c r="C20" s="1203"/>
      <c r="D20" s="1203"/>
      <c r="E20" s="1203"/>
      <c r="F20" s="1204"/>
      <c r="G20" s="57"/>
      <c r="H20" s="59"/>
      <c r="I20" s="1384"/>
      <c r="J20" s="1385"/>
      <c r="K20" s="1386"/>
      <c r="L20" s="1384"/>
      <c r="M20" s="1385"/>
      <c r="N20" s="1386"/>
      <c r="O20" s="1792"/>
      <c r="P20" s="1792"/>
      <c r="Q20" s="1783"/>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33" customHeight="1">
      <c r="A21" s="224">
        <v>16</v>
      </c>
      <c r="B21" s="1202"/>
      <c r="C21" s="1203"/>
      <c r="D21" s="1203"/>
      <c r="E21" s="1203"/>
      <c r="F21" s="1204"/>
      <c r="G21" s="57"/>
      <c r="H21" s="59"/>
      <c r="I21" s="1384"/>
      <c r="J21" s="1385"/>
      <c r="K21" s="1386"/>
      <c r="L21" s="1384"/>
      <c r="M21" s="1385"/>
      <c r="N21" s="1386"/>
      <c r="O21" s="1792"/>
      <c r="P21" s="1792"/>
      <c r="Q21" s="1783"/>
      <c r="R21" s="550"/>
      <c r="S21" s="34"/>
      <c r="T21" s="145"/>
      <c r="U21" s="144"/>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3" customHeight="1">
      <c r="A22" s="224">
        <v>17</v>
      </c>
      <c r="B22" s="1202"/>
      <c r="C22" s="1203"/>
      <c r="D22" s="1203"/>
      <c r="E22" s="1203"/>
      <c r="F22" s="1204"/>
      <c r="G22" s="57"/>
      <c r="H22" s="59"/>
      <c r="I22" s="1384"/>
      <c r="J22" s="1385"/>
      <c r="K22" s="1386"/>
      <c r="L22" s="1384"/>
      <c r="M22" s="1385"/>
      <c r="N22" s="1386"/>
      <c r="O22" s="1792"/>
      <c r="P22" s="1792"/>
      <c r="Q22" s="1783"/>
      <c r="R22" s="550"/>
      <c r="S22" s="34"/>
      <c r="T22" s="145"/>
      <c r="U22" s="14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3" customHeight="1">
      <c r="A23" s="224">
        <v>18</v>
      </c>
      <c r="B23" s="1202"/>
      <c r="C23" s="1203"/>
      <c r="D23" s="1203"/>
      <c r="E23" s="1203"/>
      <c r="F23" s="1204"/>
      <c r="G23" s="57"/>
      <c r="H23" s="59"/>
      <c r="I23" s="1384"/>
      <c r="J23" s="1385"/>
      <c r="K23" s="1386"/>
      <c r="L23" s="1384"/>
      <c r="M23" s="1385"/>
      <c r="N23" s="1386"/>
      <c r="O23" s="1792"/>
      <c r="P23" s="1792"/>
      <c r="Q23" s="1783"/>
      <c r="R23" s="550"/>
      <c r="S23" s="34"/>
      <c r="T23" s="145"/>
      <c r="U23" s="144"/>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33" customHeight="1">
      <c r="A24" s="224">
        <v>19</v>
      </c>
      <c r="B24" s="1202"/>
      <c r="C24" s="1203"/>
      <c r="D24" s="1203"/>
      <c r="E24" s="1203"/>
      <c r="F24" s="1204"/>
      <c r="G24" s="57"/>
      <c r="H24" s="59"/>
      <c r="I24" s="1384"/>
      <c r="J24" s="1385"/>
      <c r="K24" s="1386"/>
      <c r="L24" s="1384"/>
      <c r="M24" s="1385"/>
      <c r="N24" s="1386"/>
      <c r="O24" s="1792"/>
      <c r="P24" s="1792"/>
      <c r="Q24" s="1783"/>
      <c r="R24" s="550"/>
      <c r="S24" s="34"/>
      <c r="T24" s="145"/>
      <c r="U24" s="144"/>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33" customHeight="1" thickBot="1">
      <c r="A25" s="280">
        <v>20</v>
      </c>
      <c r="B25" s="1202"/>
      <c r="C25" s="1203"/>
      <c r="D25" s="1203"/>
      <c r="E25" s="1203"/>
      <c r="F25" s="1204"/>
      <c r="G25" s="57"/>
      <c r="H25" s="59"/>
      <c r="I25" s="1384"/>
      <c r="J25" s="1385"/>
      <c r="K25" s="1386"/>
      <c r="L25" s="1384"/>
      <c r="M25" s="1385"/>
      <c r="N25" s="1386"/>
      <c r="O25" s="1792"/>
      <c r="P25" s="1792"/>
      <c r="Q25" s="1783"/>
      <c r="R25" s="646"/>
      <c r="S25" s="647"/>
      <c r="T25" s="648"/>
      <c r="U25" s="649"/>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6.25" thickBot="1">
      <c r="A26" s="1143" t="s">
        <v>270</v>
      </c>
      <c r="B26" s="1144"/>
      <c r="C26" s="1144"/>
      <c r="D26" s="1144"/>
      <c r="E26" s="1144"/>
      <c r="F26" s="1144"/>
      <c r="G26" s="1144"/>
      <c r="H26" s="1144"/>
      <c r="I26" s="1144"/>
      <c r="J26" s="1144"/>
      <c r="K26" s="1144"/>
      <c r="L26" s="215">
        <f>SUM(R6:R25)</f>
        <v>0</v>
      </c>
      <c r="M26" s="1189" t="s">
        <v>322</v>
      </c>
      <c r="N26" s="1205"/>
      <c r="O26" s="1205"/>
      <c r="P26" s="1205"/>
      <c r="Q26" s="1205"/>
      <c r="R26" s="216">
        <f>IF(L26&gt;8,8,L26)</f>
        <v>0</v>
      </c>
      <c r="S26" s="217">
        <f>IF(SUM(S6:S25)&gt;8,8,SUM(S6:S25))</f>
        <v>0</v>
      </c>
      <c r="T26" s="48"/>
      <c r="U26" s="177"/>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34.5" customHeight="1">
      <c r="A27" s="1507" t="s">
        <v>31</v>
      </c>
      <c r="B27" s="1508"/>
      <c r="C27" s="1508"/>
      <c r="D27" s="1508"/>
      <c r="E27" s="1508"/>
      <c r="F27" s="1508"/>
      <c r="G27" s="1508"/>
      <c r="H27" s="1430" t="s">
        <v>32</v>
      </c>
      <c r="I27" s="1430"/>
      <c r="J27" s="1430"/>
      <c r="K27" s="1431">
        <f>Q2</f>
        <v>0</v>
      </c>
      <c r="L27" s="1432"/>
      <c r="M27" s="1432"/>
      <c r="N27" s="1432"/>
      <c r="O27" s="1430" t="s">
        <v>33</v>
      </c>
      <c r="P27" s="1430"/>
      <c r="Q27" s="1430"/>
      <c r="R27" s="1432">
        <f>C2</f>
        <v>0</v>
      </c>
      <c r="S27" s="1432"/>
      <c r="T27" s="1432"/>
      <c r="U27" s="1506"/>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34.5" customHeight="1" thickBot="1">
      <c r="A28" s="1437">
        <f>'فرم الف'!A27</f>
        <v>0</v>
      </c>
      <c r="B28" s="1425"/>
      <c r="C28" s="1425"/>
      <c r="D28" s="1425"/>
      <c r="E28" s="1425"/>
      <c r="F28" s="1425"/>
      <c r="G28" s="1425"/>
      <c r="H28" s="1425">
        <f>'فرم الف'!E27</f>
        <v>0</v>
      </c>
      <c r="I28" s="1425"/>
      <c r="J28" s="1425"/>
      <c r="K28" s="1425"/>
      <c r="L28" s="1425"/>
      <c r="M28" s="1425"/>
      <c r="N28" s="1425"/>
      <c r="O28" s="1425" t="str">
        <f>'فرم الف'!J27</f>
        <v/>
      </c>
      <c r="P28" s="1425"/>
      <c r="Q28" s="1425"/>
      <c r="R28" s="1425"/>
      <c r="S28" s="1425"/>
      <c r="T28" s="1425"/>
      <c r="U28" s="1426"/>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20.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17.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20.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17.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20.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17.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20.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17.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20.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17.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20.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17.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ht="20.25" customHeight="1">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0" spans="22:80" ht="17.25" customHeight="1">
      <c r="V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row>
    <row r="51" spans="22:80" ht="20.25" customHeight="1">
      <c r="V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row>
    <row r="52" spans="22:80">
      <c r="V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row>
    <row r="53" spans="22:80" ht="17.25" customHeight="1">
      <c r="V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row>
    <row r="54" spans="22:80" ht="20.25" customHeight="1">
      <c r="V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row>
    <row r="55" spans="22:80">
      <c r="V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row>
    <row r="56" spans="22:80" ht="17.25" customHeight="1">
      <c r="V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row>
    <row r="57" spans="22:80" ht="20.25" customHeight="1">
      <c r="V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row>
    <row r="58" spans="22:80">
      <c r="V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row>
    <row r="59" spans="22:80">
      <c r="V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row>
    <row r="61" spans="22:80" ht="26.25" customHeight="1"/>
    <row r="62" spans="22:80" ht="26.25" customHeight="1"/>
  </sheetData>
  <sheetProtection algorithmName="SHA-512" hashValue="6y37t4J4xGyIFuZfcURtahq+S9g6jU3ikce8nEexoDRz7lPM/Zzp7DOLsdgccI0sqnvY1+TnGsxbn949SBMt9w==" saltValue="slFH6qmdEoE+01kbIszhAg==" spinCount="100000" sheet="1" objects="1" scenarios="1" formatCells="0" formatRows="0" selectLockedCells="1"/>
  <mergeCells count="110">
    <mergeCell ref="I23:K23"/>
    <mergeCell ref="L23:N23"/>
    <mergeCell ref="O23:Q23"/>
    <mergeCell ref="I24:K24"/>
    <mergeCell ref="L24:N24"/>
    <mergeCell ref="O24:Q24"/>
    <mergeCell ref="I21:K21"/>
    <mergeCell ref="L21:N21"/>
    <mergeCell ref="O21:Q21"/>
    <mergeCell ref="I22:K22"/>
    <mergeCell ref="L22:N22"/>
    <mergeCell ref="O22:Q22"/>
    <mergeCell ref="I19:K19"/>
    <mergeCell ref="L19:N19"/>
    <mergeCell ref="O19:Q19"/>
    <mergeCell ref="I20:K20"/>
    <mergeCell ref="L20:N20"/>
    <mergeCell ref="O20:Q20"/>
    <mergeCell ref="I17:K17"/>
    <mergeCell ref="L17:N17"/>
    <mergeCell ref="O17:Q17"/>
    <mergeCell ref="I18:K18"/>
    <mergeCell ref="L18:N18"/>
    <mergeCell ref="O18:Q18"/>
    <mergeCell ref="I16:K16"/>
    <mergeCell ref="L16:N16"/>
    <mergeCell ref="O16:Q16"/>
    <mergeCell ref="I13:K13"/>
    <mergeCell ref="L13:N13"/>
    <mergeCell ref="O13:Q13"/>
    <mergeCell ref="I14:K14"/>
    <mergeCell ref="L14:N14"/>
    <mergeCell ref="O14:Q14"/>
    <mergeCell ref="O12:Q12"/>
    <mergeCell ref="I9:K9"/>
    <mergeCell ref="L9:N9"/>
    <mergeCell ref="O9:Q9"/>
    <mergeCell ref="I10:K10"/>
    <mergeCell ref="L10:N10"/>
    <mergeCell ref="O10:Q10"/>
    <mergeCell ref="I15:K15"/>
    <mergeCell ref="L15:N15"/>
    <mergeCell ref="O15:Q15"/>
    <mergeCell ref="I7:K7"/>
    <mergeCell ref="L7:N7"/>
    <mergeCell ref="O7:Q7"/>
    <mergeCell ref="I8:K8"/>
    <mergeCell ref="L8:N8"/>
    <mergeCell ref="O8:Q8"/>
    <mergeCell ref="R27:U27"/>
    <mergeCell ref="A28:G28"/>
    <mergeCell ref="H28:N28"/>
    <mergeCell ref="O28:U28"/>
    <mergeCell ref="B16:F16"/>
    <mergeCell ref="B13:F13"/>
    <mergeCell ref="B14:F14"/>
    <mergeCell ref="B11:F11"/>
    <mergeCell ref="B12:F12"/>
    <mergeCell ref="B9:F9"/>
    <mergeCell ref="B10:F10"/>
    <mergeCell ref="B7:F7"/>
    <mergeCell ref="B8:F8"/>
    <mergeCell ref="I11:K11"/>
    <mergeCell ref="L11:N11"/>
    <mergeCell ref="O11:Q11"/>
    <mergeCell ref="I12:K12"/>
    <mergeCell ref="L12:N12"/>
    <mergeCell ref="B23:F23"/>
    <mergeCell ref="B24:F24"/>
    <mergeCell ref="B21:F21"/>
    <mergeCell ref="B22:F22"/>
    <mergeCell ref="B19:F19"/>
    <mergeCell ref="B20:F20"/>
    <mergeCell ref="B17:F17"/>
    <mergeCell ref="B18:F18"/>
    <mergeCell ref="B15:F15"/>
    <mergeCell ref="A27:G27"/>
    <mergeCell ref="H27:J27"/>
    <mergeCell ref="K27:N27"/>
    <mergeCell ref="O27:Q27"/>
    <mergeCell ref="B25:F25"/>
    <mergeCell ref="A26:K26"/>
    <mergeCell ref="M26:Q26"/>
    <mergeCell ref="I25:K25"/>
    <mergeCell ref="L25:N25"/>
    <mergeCell ref="O25:Q25"/>
    <mergeCell ref="R4:T4"/>
    <mergeCell ref="U4:U5"/>
    <mergeCell ref="B6:F6"/>
    <mergeCell ref="I6:K6"/>
    <mergeCell ref="O6:Q6"/>
    <mergeCell ref="L6:N6"/>
    <mergeCell ref="A3:R3"/>
    <mergeCell ref="S3:U3"/>
    <mergeCell ref="A4:A5"/>
    <mergeCell ref="B4:F5"/>
    <mergeCell ref="L4:N5"/>
    <mergeCell ref="G4:G5"/>
    <mergeCell ref="H4:H5"/>
    <mergeCell ref="O4:Q5"/>
    <mergeCell ref="I4:K5"/>
    <mergeCell ref="A1:B2"/>
    <mergeCell ref="C1:G1"/>
    <mergeCell ref="H1:L1"/>
    <mergeCell ref="M1:P1"/>
    <mergeCell ref="Q1:U1"/>
    <mergeCell ref="C2:G2"/>
    <mergeCell ref="H2:L2"/>
    <mergeCell ref="M2:P2"/>
    <mergeCell ref="Q2:U2"/>
  </mergeCells>
  <conditionalFormatting sqref="B6:I6 L6 O6">
    <cfRule type="containsBlanks" dxfId="73" priority="4">
      <formula>LEN(TRIM(B6))=0</formula>
    </cfRule>
  </conditionalFormatting>
  <conditionalFormatting sqref="B7:I25 L7:L25 O7:O25">
    <cfRule type="containsBlanks" dxfId="72" priority="1">
      <formula>LEN(TRIM(B7))=0</formula>
    </cfRule>
  </conditionalFormatting>
  <dataValidations count="3">
    <dataValidation type="decimal" allowBlank="1" showInputMessage="1" showErrorMessage="1" errorTitle="خطا در ورود امتياز" error="لطفا يك عدد بين صفر تا 4 وارد نماييد" sqref="T6:T25">
      <formula1>0</formula1>
      <formula2>4</formula2>
    </dataValidation>
    <dataValidation allowBlank="1" showInputMessage="1" showErrorMessage="1" promptTitle="توجه:" prompt="ارائه گواهی موافقت اصولی یا قطعی شورای گسترش آموزش عالي وزارت و یا سایر مراجع قانونی به همراه تأیید بالاترین مقام اجرایی الزامی می باشد" sqref="L6:N25"/>
    <dataValidation type="decimal" allowBlank="1" showInputMessage="1" showErrorMessage="1" errorTitle="خطا در ورود امتياز" error="لطفا يك عدد بين صفر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7" width="5.42578125" style="19" customWidth="1"/>
    <col min="8" max="10" width="6.5703125" style="19" customWidth="1"/>
    <col min="11" max="12" width="5.28515625" style="19" customWidth="1"/>
    <col min="13" max="13" width="3.28515625" style="19" customWidth="1"/>
    <col min="14" max="15" width="8.42578125" style="19" customWidth="1"/>
    <col min="16" max="17" width="7.42578125" style="19" customWidth="1"/>
    <col min="18" max="20" width="5.42578125" style="19" customWidth="1"/>
    <col min="21" max="21" width="9.570312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4.75" customHeight="1" thickBot="1">
      <c r="A3" s="1528" t="s">
        <v>452</v>
      </c>
      <c r="B3" s="1528"/>
      <c r="C3" s="1529"/>
      <c r="D3" s="1529"/>
      <c r="E3" s="1529"/>
      <c r="F3" s="1529"/>
      <c r="G3" s="1529"/>
      <c r="H3" s="1529"/>
      <c r="I3" s="1529"/>
      <c r="J3" s="1529"/>
      <c r="K3" s="1529"/>
      <c r="L3" s="1529"/>
      <c r="M3" s="1529"/>
      <c r="N3" s="1529"/>
      <c r="O3" s="1529"/>
      <c r="P3" s="1529"/>
      <c r="Q3" s="1529"/>
      <c r="R3" s="1529"/>
      <c r="S3" s="1527" t="s">
        <v>453</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454</v>
      </c>
      <c r="C4" s="1645"/>
      <c r="D4" s="1645"/>
      <c r="E4" s="1645"/>
      <c r="F4" s="1645"/>
      <c r="G4" s="1646"/>
      <c r="H4" s="1453" t="s">
        <v>456</v>
      </c>
      <c r="I4" s="1650"/>
      <c r="J4" s="1454"/>
      <c r="K4" s="1453" t="s">
        <v>457</v>
      </c>
      <c r="L4" s="1650"/>
      <c r="M4" s="1650"/>
      <c r="N4" s="1453" t="s">
        <v>458</v>
      </c>
      <c r="O4" s="1454"/>
      <c r="P4" s="1650" t="s">
        <v>455</v>
      </c>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455"/>
      <c r="I5" s="1651"/>
      <c r="J5" s="1456"/>
      <c r="K5" s="1455"/>
      <c r="L5" s="1651"/>
      <c r="M5" s="1651"/>
      <c r="N5" s="212" t="s">
        <v>301</v>
      </c>
      <c r="O5" s="213" t="s">
        <v>302</v>
      </c>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3" customHeight="1">
      <c r="A6" s="223">
        <v>1</v>
      </c>
      <c r="B6" s="1160"/>
      <c r="C6" s="1201"/>
      <c r="D6" s="1201"/>
      <c r="E6" s="1201"/>
      <c r="F6" s="1201"/>
      <c r="G6" s="1161"/>
      <c r="H6" s="1160"/>
      <c r="I6" s="1201"/>
      <c r="J6" s="1161"/>
      <c r="K6" s="1405"/>
      <c r="L6" s="1406"/>
      <c r="M6" s="1407"/>
      <c r="N6" s="654"/>
      <c r="O6" s="651"/>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3" customHeight="1">
      <c r="A7" s="224">
        <v>2</v>
      </c>
      <c r="B7" s="1202"/>
      <c r="C7" s="1203"/>
      <c r="D7" s="1203"/>
      <c r="E7" s="1203"/>
      <c r="F7" s="1203"/>
      <c r="G7" s="1204"/>
      <c r="H7" s="1202"/>
      <c r="I7" s="1203"/>
      <c r="J7" s="1204"/>
      <c r="K7" s="1384"/>
      <c r="L7" s="1385"/>
      <c r="M7" s="1386"/>
      <c r="N7" s="655"/>
      <c r="O7" s="653"/>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3" customHeight="1">
      <c r="A8" s="224">
        <v>3</v>
      </c>
      <c r="B8" s="1202"/>
      <c r="C8" s="1203"/>
      <c r="D8" s="1203"/>
      <c r="E8" s="1203"/>
      <c r="F8" s="1203"/>
      <c r="G8" s="1204"/>
      <c r="H8" s="1202"/>
      <c r="I8" s="1203"/>
      <c r="J8" s="1204"/>
      <c r="K8" s="1384"/>
      <c r="L8" s="1385"/>
      <c r="M8" s="1386"/>
      <c r="N8" s="655"/>
      <c r="O8" s="653"/>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3" customHeight="1">
      <c r="A9" s="224">
        <v>4</v>
      </c>
      <c r="B9" s="1202"/>
      <c r="C9" s="1203"/>
      <c r="D9" s="1203"/>
      <c r="E9" s="1203"/>
      <c r="F9" s="1203"/>
      <c r="G9" s="1204"/>
      <c r="H9" s="1202"/>
      <c r="I9" s="1203"/>
      <c r="J9" s="1204"/>
      <c r="K9" s="1384"/>
      <c r="L9" s="1385"/>
      <c r="M9" s="1386"/>
      <c r="N9" s="655"/>
      <c r="O9" s="653"/>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3" customHeight="1">
      <c r="A10" s="224">
        <v>5</v>
      </c>
      <c r="B10" s="1202"/>
      <c r="C10" s="1203"/>
      <c r="D10" s="1203"/>
      <c r="E10" s="1203"/>
      <c r="F10" s="1203"/>
      <c r="G10" s="1204"/>
      <c r="H10" s="1202"/>
      <c r="I10" s="1203"/>
      <c r="J10" s="1204"/>
      <c r="K10" s="1384"/>
      <c r="L10" s="1385"/>
      <c r="M10" s="1386"/>
      <c r="N10" s="655"/>
      <c r="O10" s="653"/>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3" customHeight="1">
      <c r="A11" s="224">
        <v>6</v>
      </c>
      <c r="B11" s="1202"/>
      <c r="C11" s="1203"/>
      <c r="D11" s="1203"/>
      <c r="E11" s="1203"/>
      <c r="F11" s="1203"/>
      <c r="G11" s="1204"/>
      <c r="H11" s="1202"/>
      <c r="I11" s="1203"/>
      <c r="J11" s="1204"/>
      <c r="K11" s="1384"/>
      <c r="L11" s="1385"/>
      <c r="M11" s="1386"/>
      <c r="N11" s="655"/>
      <c r="O11" s="653"/>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3" customHeight="1">
      <c r="A12" s="224">
        <v>7</v>
      </c>
      <c r="B12" s="1202"/>
      <c r="C12" s="1203"/>
      <c r="D12" s="1203"/>
      <c r="E12" s="1203"/>
      <c r="F12" s="1203"/>
      <c r="G12" s="1204"/>
      <c r="H12" s="1202"/>
      <c r="I12" s="1203"/>
      <c r="J12" s="1204"/>
      <c r="K12" s="1384"/>
      <c r="L12" s="1385"/>
      <c r="M12" s="1386"/>
      <c r="N12" s="655"/>
      <c r="O12" s="653"/>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3" customHeight="1">
      <c r="A13" s="224">
        <v>8</v>
      </c>
      <c r="B13" s="1202"/>
      <c r="C13" s="1203"/>
      <c r="D13" s="1203"/>
      <c r="E13" s="1203"/>
      <c r="F13" s="1203"/>
      <c r="G13" s="1204"/>
      <c r="H13" s="1202"/>
      <c r="I13" s="1203"/>
      <c r="J13" s="1204"/>
      <c r="K13" s="1384"/>
      <c r="L13" s="1385"/>
      <c r="M13" s="1386"/>
      <c r="N13" s="655"/>
      <c r="O13" s="653"/>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3" customHeight="1">
      <c r="A14" s="224">
        <v>9</v>
      </c>
      <c r="B14" s="1202"/>
      <c r="C14" s="1203"/>
      <c r="D14" s="1203"/>
      <c r="E14" s="1203"/>
      <c r="F14" s="1203"/>
      <c r="G14" s="1204"/>
      <c r="H14" s="1202"/>
      <c r="I14" s="1203"/>
      <c r="J14" s="1204"/>
      <c r="K14" s="1384"/>
      <c r="L14" s="1385"/>
      <c r="M14" s="1386"/>
      <c r="N14" s="655"/>
      <c r="O14" s="653"/>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3" customHeight="1" thickBot="1">
      <c r="A15" s="224">
        <v>10</v>
      </c>
      <c r="B15" s="1202"/>
      <c r="C15" s="1203"/>
      <c r="D15" s="1203"/>
      <c r="E15" s="1203"/>
      <c r="F15" s="1203"/>
      <c r="G15" s="1204"/>
      <c r="H15" s="1202"/>
      <c r="I15" s="1203"/>
      <c r="J15" s="1204"/>
      <c r="K15" s="1384"/>
      <c r="L15" s="1385"/>
      <c r="M15" s="1386"/>
      <c r="N15" s="655"/>
      <c r="O15" s="653"/>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6.25" thickBot="1">
      <c r="A16" s="1143" t="s">
        <v>270</v>
      </c>
      <c r="B16" s="1144"/>
      <c r="C16" s="1144"/>
      <c r="D16" s="1144"/>
      <c r="E16" s="1144"/>
      <c r="F16" s="1144"/>
      <c r="G16" s="1144"/>
      <c r="H16" s="1144"/>
      <c r="I16" s="1144"/>
      <c r="J16" s="1144"/>
      <c r="K16" s="1144"/>
      <c r="L16" s="215">
        <f>SUM(R6:R15)</f>
        <v>0</v>
      </c>
      <c r="M16" s="1189" t="s">
        <v>840</v>
      </c>
      <c r="N16" s="1205"/>
      <c r="O16" s="1205"/>
      <c r="P16" s="1205"/>
      <c r="Q16" s="1205"/>
      <c r="R16" s="216">
        <f>IF(L16&gt;12,12,L16)</f>
        <v>0</v>
      </c>
      <c r="S16" s="217">
        <f>IF(SUM(S6:S15)&gt;12,12,SUM(S6:S15))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4.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4.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17.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20.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17.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20.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1" spans="22:80" ht="26.25" customHeight="1"/>
    <row r="52" spans="22:80" ht="26.25" customHeight="1"/>
  </sheetData>
  <sheetProtection algorithmName="SHA-512" hashValue="6xPPW6HfBwSQMEEo5qH4dQOxIKqkn/BgvxX7UrcTtNd/NL+ejS2PPbfSVsgXtZS/h9sgc8PpMyJnH2EwgofnAQ==" saltValue="jOKrf1ZGOcNMewgIi77TKg==" spinCount="100000" sheet="1" objects="1" scenarios="1" formatCells="0" formatRows="0" selectLockedCells="1"/>
  <mergeCells count="69">
    <mergeCell ref="K15:M15"/>
    <mergeCell ref="P15:Q15"/>
    <mergeCell ref="K13:M13"/>
    <mergeCell ref="P13:Q13"/>
    <mergeCell ref="B14:G14"/>
    <mergeCell ref="H14:J14"/>
    <mergeCell ref="K14:M14"/>
    <mergeCell ref="P14:Q14"/>
    <mergeCell ref="B13:G13"/>
    <mergeCell ref="H13:J13"/>
    <mergeCell ref="K11:M11"/>
    <mergeCell ref="P11:Q11"/>
    <mergeCell ref="B12:G12"/>
    <mergeCell ref="H12:J12"/>
    <mergeCell ref="K12:M12"/>
    <mergeCell ref="P12:Q12"/>
    <mergeCell ref="B11:G11"/>
    <mergeCell ref="H11:J11"/>
    <mergeCell ref="K9:M9"/>
    <mergeCell ref="P9:Q9"/>
    <mergeCell ref="B10:G10"/>
    <mergeCell ref="H10:J10"/>
    <mergeCell ref="K10:M10"/>
    <mergeCell ref="P10:Q10"/>
    <mergeCell ref="B9:G9"/>
    <mergeCell ref="H9:J9"/>
    <mergeCell ref="B8:G8"/>
    <mergeCell ref="H8:J8"/>
    <mergeCell ref="K8:M8"/>
    <mergeCell ref="P8:Q8"/>
    <mergeCell ref="H4:J5"/>
    <mergeCell ref="B6:G6"/>
    <mergeCell ref="H6:J6"/>
    <mergeCell ref="K6:M6"/>
    <mergeCell ref="P6:Q6"/>
    <mergeCell ref="B7:G7"/>
    <mergeCell ref="H7:J7"/>
    <mergeCell ref="K7:M7"/>
    <mergeCell ref="P7:Q7"/>
    <mergeCell ref="R17:U17"/>
    <mergeCell ref="A18:G18"/>
    <mergeCell ref="H18:N18"/>
    <mergeCell ref="O18:U18"/>
    <mergeCell ref="P4:Q5"/>
    <mergeCell ref="N4:O4"/>
    <mergeCell ref="K4:M5"/>
    <mergeCell ref="B4:G5"/>
    <mergeCell ref="A16:K16"/>
    <mergeCell ref="M16:Q16"/>
    <mergeCell ref="A17:G17"/>
    <mergeCell ref="H17:J17"/>
    <mergeCell ref="K17:N17"/>
    <mergeCell ref="O17:Q17"/>
    <mergeCell ref="B15:G15"/>
    <mergeCell ref="H15:J15"/>
    <mergeCell ref="U4:U5"/>
    <mergeCell ref="A3:R3"/>
    <mergeCell ref="S3:U3"/>
    <mergeCell ref="A4:A5"/>
    <mergeCell ref="R4:T4"/>
    <mergeCell ref="A1:B2"/>
    <mergeCell ref="C1:G1"/>
    <mergeCell ref="H1:L1"/>
    <mergeCell ref="M1:P1"/>
    <mergeCell ref="Q1:U1"/>
    <mergeCell ref="C2:G2"/>
    <mergeCell ref="H2:L2"/>
    <mergeCell ref="M2:P2"/>
    <mergeCell ref="Q2:U2"/>
  </mergeCells>
  <conditionalFormatting sqref="B6:Q6">
    <cfRule type="containsBlanks" dxfId="71" priority="3">
      <formula>LEN(TRIM(B6))=0</formula>
    </cfRule>
  </conditionalFormatting>
  <conditionalFormatting sqref="B7:Q15">
    <cfRule type="containsBlanks" dxfId="70" priority="1">
      <formula>LEN(TRIM(B7))=0</formula>
    </cfRule>
  </conditionalFormatting>
  <dataValidations count="2">
    <dataValidation allowBlank="1" showInputMessage="1" showErrorMessage="1" promptTitle="توجه:" prompt="ارائه مستندات مربوطه الزامی است" sqref="P6:Q15"/>
    <dataValidation allowBlank="1" showInputMessage="1" showErrorMessage="1" promptTitle="توجه:" prompt="تا 3 امتياز به ازای هر سال" sqref="R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Base'!$G$53:$G$56</xm:f>
          </x14:formula1>
          <xm:sqref>H6:J15</xm:sqref>
        </x14:dataValidation>
        <x14:dataValidation type="list" allowBlank="1" showInputMessage="1" showErrorMessage="1" errorTitle="خطا در ورود اطلاعات" error="لطفا از موارد ليست شده انتخاب نماييد">
          <x14:formula1>
            <xm:f>'Data Base'!$I$53:$I$56</xm:f>
          </x14:formula1>
          <xm:sqref>K6:M15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L7" sqref="L7"/>
    </sheetView>
  </sheetViews>
  <sheetFormatPr defaultColWidth="9.140625" defaultRowHeight="15"/>
  <cols>
    <col min="1" max="1" width="2.85546875" style="19" customWidth="1"/>
    <col min="2" max="2" width="3.7109375" style="19" customWidth="1"/>
    <col min="3" max="6" width="5.42578125" style="19" customWidth="1"/>
    <col min="7" max="7" width="4.85546875" style="19" customWidth="1"/>
    <col min="8" max="8" width="10.28515625" style="19" customWidth="1"/>
    <col min="9" max="11" width="4.140625" style="19" customWidth="1"/>
    <col min="12" max="12" width="5.28515625" style="19" customWidth="1"/>
    <col min="13" max="13" width="6" style="19" customWidth="1"/>
    <col min="14" max="15" width="8.42578125" style="19" customWidth="1"/>
    <col min="16" max="17" width="7.42578125" style="19" customWidth="1"/>
    <col min="18" max="20" width="5.42578125" style="19" customWidth="1"/>
    <col min="21" max="21" width="9.4257812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468</v>
      </c>
      <c r="B3" s="1528"/>
      <c r="C3" s="1529"/>
      <c r="D3" s="1529"/>
      <c r="E3" s="1529"/>
      <c r="F3" s="1529"/>
      <c r="G3" s="1529"/>
      <c r="H3" s="1529"/>
      <c r="I3" s="1529"/>
      <c r="J3" s="1529"/>
      <c r="K3" s="1529"/>
      <c r="L3" s="1529"/>
      <c r="M3" s="1529"/>
      <c r="N3" s="1529"/>
      <c r="O3" s="1529"/>
      <c r="P3" s="1529"/>
      <c r="Q3" s="1529"/>
      <c r="R3" s="1529"/>
      <c r="S3" s="1527" t="s">
        <v>469</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471</v>
      </c>
      <c r="C4" s="1645"/>
      <c r="D4" s="1645"/>
      <c r="E4" s="1645"/>
      <c r="F4" s="1646"/>
      <c r="G4" s="1453" t="s">
        <v>472</v>
      </c>
      <c r="H4" s="1454"/>
      <c r="I4" s="1453" t="s">
        <v>473</v>
      </c>
      <c r="J4" s="1650"/>
      <c r="K4" s="1454"/>
      <c r="L4" s="1650" t="s">
        <v>470</v>
      </c>
      <c r="M4" s="1650"/>
      <c r="N4" s="1453" t="s">
        <v>458</v>
      </c>
      <c r="O4" s="1454"/>
      <c r="P4" s="1650" t="s">
        <v>455</v>
      </c>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9"/>
      <c r="G5" s="1455"/>
      <c r="H5" s="1456"/>
      <c r="I5" s="1455"/>
      <c r="J5" s="1651"/>
      <c r="K5" s="1456"/>
      <c r="L5" s="1651"/>
      <c r="M5" s="1651"/>
      <c r="N5" s="212" t="s">
        <v>301</v>
      </c>
      <c r="O5" s="213" t="s">
        <v>302</v>
      </c>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3" customHeight="1">
      <c r="A6" s="223">
        <v>1</v>
      </c>
      <c r="B6" s="1160"/>
      <c r="C6" s="1201"/>
      <c r="D6" s="1201"/>
      <c r="E6" s="1201"/>
      <c r="F6" s="1161"/>
      <c r="G6" s="1160"/>
      <c r="H6" s="1161"/>
      <c r="I6" s="1160"/>
      <c r="J6" s="1201"/>
      <c r="K6" s="1161"/>
      <c r="L6" s="656"/>
      <c r="M6" s="654"/>
      <c r="N6" s="654"/>
      <c r="O6" s="651"/>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3" customHeight="1">
      <c r="A7" s="224">
        <v>2</v>
      </c>
      <c r="B7" s="1202"/>
      <c r="C7" s="1203"/>
      <c r="D7" s="1203"/>
      <c r="E7" s="1203"/>
      <c r="F7" s="1204"/>
      <c r="G7" s="1202"/>
      <c r="H7" s="1204"/>
      <c r="I7" s="1202"/>
      <c r="J7" s="1203"/>
      <c r="K7" s="1204"/>
      <c r="L7" s="657"/>
      <c r="M7" s="655"/>
      <c r="N7" s="655"/>
      <c r="O7" s="653"/>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3" customHeight="1">
      <c r="A8" s="224">
        <v>3</v>
      </c>
      <c r="B8" s="1202"/>
      <c r="C8" s="1203"/>
      <c r="D8" s="1203"/>
      <c r="E8" s="1203"/>
      <c r="F8" s="1204"/>
      <c r="G8" s="1202"/>
      <c r="H8" s="1204"/>
      <c r="I8" s="1202"/>
      <c r="J8" s="1203"/>
      <c r="K8" s="1204"/>
      <c r="L8" s="657"/>
      <c r="M8" s="655"/>
      <c r="N8" s="655"/>
      <c r="O8" s="653"/>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3" customHeight="1">
      <c r="A9" s="224">
        <v>4</v>
      </c>
      <c r="B9" s="1202"/>
      <c r="C9" s="1203"/>
      <c r="D9" s="1203"/>
      <c r="E9" s="1203"/>
      <c r="F9" s="1204"/>
      <c r="G9" s="1202"/>
      <c r="H9" s="1204"/>
      <c r="I9" s="1202"/>
      <c r="J9" s="1203"/>
      <c r="K9" s="1204"/>
      <c r="L9" s="657"/>
      <c r="M9" s="655"/>
      <c r="N9" s="655"/>
      <c r="O9" s="653"/>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3" customHeight="1">
      <c r="A10" s="224">
        <v>5</v>
      </c>
      <c r="B10" s="1202"/>
      <c r="C10" s="1203"/>
      <c r="D10" s="1203"/>
      <c r="E10" s="1203"/>
      <c r="F10" s="1204"/>
      <c r="G10" s="1202"/>
      <c r="H10" s="1204"/>
      <c r="I10" s="1202"/>
      <c r="J10" s="1203"/>
      <c r="K10" s="1204"/>
      <c r="L10" s="657"/>
      <c r="M10" s="655"/>
      <c r="N10" s="655"/>
      <c r="O10" s="653"/>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3" customHeight="1">
      <c r="A11" s="224">
        <v>6</v>
      </c>
      <c r="B11" s="1202"/>
      <c r="C11" s="1203"/>
      <c r="D11" s="1203"/>
      <c r="E11" s="1203"/>
      <c r="F11" s="1204"/>
      <c r="G11" s="1202"/>
      <c r="H11" s="1204"/>
      <c r="I11" s="1202"/>
      <c r="J11" s="1203"/>
      <c r="K11" s="1204"/>
      <c r="L11" s="657"/>
      <c r="M11" s="655"/>
      <c r="N11" s="655"/>
      <c r="O11" s="653"/>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3" customHeight="1">
      <c r="A12" s="224">
        <v>7</v>
      </c>
      <c r="B12" s="1202"/>
      <c r="C12" s="1203"/>
      <c r="D12" s="1203"/>
      <c r="E12" s="1203"/>
      <c r="F12" s="1204"/>
      <c r="G12" s="1202"/>
      <c r="H12" s="1204"/>
      <c r="I12" s="1202"/>
      <c r="J12" s="1203"/>
      <c r="K12" s="1204"/>
      <c r="L12" s="657"/>
      <c r="M12" s="655"/>
      <c r="N12" s="655"/>
      <c r="O12" s="653"/>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3" customHeight="1">
      <c r="A13" s="224">
        <v>8</v>
      </c>
      <c r="B13" s="1202"/>
      <c r="C13" s="1203"/>
      <c r="D13" s="1203"/>
      <c r="E13" s="1203"/>
      <c r="F13" s="1204"/>
      <c r="G13" s="1202"/>
      <c r="H13" s="1204"/>
      <c r="I13" s="1202"/>
      <c r="J13" s="1203"/>
      <c r="K13" s="1204"/>
      <c r="L13" s="657"/>
      <c r="M13" s="655"/>
      <c r="N13" s="655"/>
      <c r="O13" s="653"/>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3" customHeight="1">
      <c r="A14" s="224">
        <v>9</v>
      </c>
      <c r="B14" s="1202"/>
      <c r="C14" s="1203"/>
      <c r="D14" s="1203"/>
      <c r="E14" s="1203"/>
      <c r="F14" s="1204"/>
      <c r="G14" s="1202"/>
      <c r="H14" s="1204"/>
      <c r="I14" s="1202"/>
      <c r="J14" s="1203"/>
      <c r="K14" s="1204"/>
      <c r="L14" s="657"/>
      <c r="M14" s="655"/>
      <c r="N14" s="655"/>
      <c r="O14" s="653"/>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3" customHeight="1" thickBot="1">
      <c r="A15" s="224">
        <v>10</v>
      </c>
      <c r="B15" s="1202"/>
      <c r="C15" s="1203"/>
      <c r="D15" s="1203"/>
      <c r="E15" s="1203"/>
      <c r="F15" s="1204"/>
      <c r="G15" s="1202"/>
      <c r="H15" s="1204"/>
      <c r="I15" s="1202"/>
      <c r="J15" s="1203"/>
      <c r="K15" s="1204"/>
      <c r="L15" s="657"/>
      <c r="M15" s="655"/>
      <c r="N15" s="655"/>
      <c r="O15" s="653"/>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6.25" thickBot="1">
      <c r="A16" s="1143" t="s">
        <v>270</v>
      </c>
      <c r="B16" s="1144"/>
      <c r="C16" s="1144"/>
      <c r="D16" s="1144"/>
      <c r="E16" s="1144"/>
      <c r="F16" s="1144"/>
      <c r="G16" s="1144"/>
      <c r="H16" s="1144"/>
      <c r="I16" s="1144"/>
      <c r="J16" s="1144"/>
      <c r="K16" s="1144"/>
      <c r="L16" s="215">
        <f>SUM(R6:R15)</f>
        <v>0</v>
      </c>
      <c r="M16" s="1189" t="s">
        <v>841</v>
      </c>
      <c r="N16" s="1205"/>
      <c r="O16" s="1205"/>
      <c r="P16" s="1205"/>
      <c r="Q16" s="1205"/>
      <c r="R16" s="216">
        <f>IF(L16&gt;4,4,L16)</f>
        <v>0</v>
      </c>
      <c r="S16" s="217">
        <f>IF(SUM(S6:S15)&gt;4,4,SUM(S6:S15))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4.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4.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17.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20.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17.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20.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1" spans="22:80" ht="26.25" customHeight="1"/>
    <row r="52" spans="22:80" ht="26.25" customHeight="1"/>
  </sheetData>
  <sheetProtection algorithmName="SHA-512" hashValue="lzFoUIYf67B0cQIUilQnuHhoH1NpICng62RcN1oR5Cz1b2zqV0+9PyQFmepBFs2Op9L68rNI71z1mrq8cndX6w==" saltValue="9oIi0o5GCOB1njAnl6Zgvw==" spinCount="100000" sheet="1" objects="1" scenarios="1" formatCells="0" formatRows="0" selectLockedCells="1"/>
  <mergeCells count="70">
    <mergeCell ref="B14:F14"/>
    <mergeCell ref="G14:H14"/>
    <mergeCell ref="I14:K14"/>
    <mergeCell ref="B15:F15"/>
    <mergeCell ref="G15:H15"/>
    <mergeCell ref="I15:K15"/>
    <mergeCell ref="P14:Q14"/>
    <mergeCell ref="P15:Q15"/>
    <mergeCell ref="P12:Q12"/>
    <mergeCell ref="G7:H7"/>
    <mergeCell ref="I7:K7"/>
    <mergeCell ref="G8:H8"/>
    <mergeCell ref="I8:K8"/>
    <mergeCell ref="I10:K10"/>
    <mergeCell ref="G11:H11"/>
    <mergeCell ref="I11:K11"/>
    <mergeCell ref="G12:H12"/>
    <mergeCell ref="I12:K12"/>
    <mergeCell ref="I13:K13"/>
    <mergeCell ref="P13:Q13"/>
    <mergeCell ref="P8:Q8"/>
    <mergeCell ref="P9:Q9"/>
    <mergeCell ref="R17:U17"/>
    <mergeCell ref="A18:G18"/>
    <mergeCell ref="H18:N18"/>
    <mergeCell ref="O18:U18"/>
    <mergeCell ref="A16:K16"/>
    <mergeCell ref="M16:Q16"/>
    <mergeCell ref="A17:G17"/>
    <mergeCell ref="H17:J17"/>
    <mergeCell ref="K17:N17"/>
    <mergeCell ref="O17:Q17"/>
    <mergeCell ref="B9:F9"/>
    <mergeCell ref="G9:H9"/>
    <mergeCell ref="I9:K9"/>
    <mergeCell ref="B8:F8"/>
    <mergeCell ref="B7:F7"/>
    <mergeCell ref="B13:F13"/>
    <mergeCell ref="G13:H13"/>
    <mergeCell ref="P10:Q10"/>
    <mergeCell ref="P11:Q11"/>
    <mergeCell ref="B10:F10"/>
    <mergeCell ref="G10:H10"/>
    <mergeCell ref="B11:F11"/>
    <mergeCell ref="B12:F12"/>
    <mergeCell ref="P6:Q6"/>
    <mergeCell ref="P7:Q7"/>
    <mergeCell ref="I6:K6"/>
    <mergeCell ref="A3:R3"/>
    <mergeCell ref="S3:U3"/>
    <mergeCell ref="A4:A5"/>
    <mergeCell ref="N4:O4"/>
    <mergeCell ref="P4:Q5"/>
    <mergeCell ref="R4:T4"/>
    <mergeCell ref="U4:U5"/>
    <mergeCell ref="B4:F5"/>
    <mergeCell ref="G4:H5"/>
    <mergeCell ref="L4:M5"/>
    <mergeCell ref="I4:K5"/>
    <mergeCell ref="B6:F6"/>
    <mergeCell ref="G6:H6"/>
    <mergeCell ref="A1:B2"/>
    <mergeCell ref="C1:G1"/>
    <mergeCell ref="H1:L1"/>
    <mergeCell ref="M1:P1"/>
    <mergeCell ref="Q1:U1"/>
    <mergeCell ref="C2:G2"/>
    <mergeCell ref="H2:L2"/>
    <mergeCell ref="M2:P2"/>
    <mergeCell ref="Q2:U2"/>
  </mergeCells>
  <conditionalFormatting sqref="B6 G6 I6 L6:Q6">
    <cfRule type="containsBlanks" dxfId="69" priority="3">
      <formula>LEN(TRIM(B6))=0</formula>
    </cfRule>
  </conditionalFormatting>
  <conditionalFormatting sqref="B7:B15 G7:G15 I7:I15 L7:Q15">
    <cfRule type="containsBlanks" dxfId="68" priority="1">
      <formula>LEN(TRIM(B7))=0</formula>
    </cfRule>
  </conditionalFormatting>
  <dataValidations count="2">
    <dataValidation allowBlank="1" showInputMessage="1" showErrorMessage="1" promptTitle="توجه:" prompt="يك امتياز به ازای هر سال " sqref="R6:S15"/>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7109375" style="19" customWidth="1"/>
    <col min="7" max="7" width="6.140625" style="19" customWidth="1"/>
    <col min="8" max="8" width="8.28515625" style="19" customWidth="1"/>
    <col min="9" max="11" width="4.42578125" style="19" customWidth="1"/>
    <col min="12" max="12" width="4.28515625" style="19" customWidth="1"/>
    <col min="13" max="13" width="4" style="19" customWidth="1"/>
    <col min="14" max="15" width="9" style="19" customWidth="1"/>
    <col min="16" max="17" width="6.28515625" style="19" customWidth="1"/>
    <col min="18" max="20" width="5.42578125" style="19" customWidth="1"/>
    <col min="21" max="21" width="9.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822</v>
      </c>
      <c r="B3" s="1528"/>
      <c r="C3" s="1529"/>
      <c r="D3" s="1529"/>
      <c r="E3" s="1529"/>
      <c r="F3" s="1529"/>
      <c r="G3" s="1529"/>
      <c r="H3" s="1529"/>
      <c r="I3" s="1529"/>
      <c r="J3" s="1529"/>
      <c r="K3" s="1529"/>
      <c r="L3" s="1529"/>
      <c r="M3" s="1529"/>
      <c r="N3" s="1529"/>
      <c r="O3" s="1529"/>
      <c r="P3" s="1529"/>
      <c r="Q3" s="1529"/>
      <c r="R3" s="1529"/>
      <c r="S3" s="1527" t="s">
        <v>474</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475</v>
      </c>
      <c r="C4" s="1645"/>
      <c r="D4" s="1645"/>
      <c r="E4" s="1645"/>
      <c r="F4" s="1646"/>
      <c r="G4" s="1453" t="s">
        <v>472</v>
      </c>
      <c r="H4" s="1454"/>
      <c r="I4" s="1453" t="s">
        <v>476</v>
      </c>
      <c r="J4" s="1650"/>
      <c r="K4" s="1454"/>
      <c r="L4" s="1650" t="s">
        <v>470</v>
      </c>
      <c r="M4" s="1650"/>
      <c r="N4" s="1453" t="s">
        <v>458</v>
      </c>
      <c r="O4" s="1454"/>
      <c r="P4" s="1650" t="s">
        <v>455</v>
      </c>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9"/>
      <c r="G5" s="1455"/>
      <c r="H5" s="1456"/>
      <c r="I5" s="1455"/>
      <c r="J5" s="1651"/>
      <c r="K5" s="1456"/>
      <c r="L5" s="1651"/>
      <c r="M5" s="1651"/>
      <c r="N5" s="212" t="s">
        <v>301</v>
      </c>
      <c r="O5" s="213" t="s">
        <v>302</v>
      </c>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3" customHeight="1">
      <c r="A6" s="223">
        <v>1</v>
      </c>
      <c r="B6" s="1160"/>
      <c r="C6" s="1201"/>
      <c r="D6" s="1201"/>
      <c r="E6" s="1201"/>
      <c r="F6" s="1161"/>
      <c r="G6" s="1160"/>
      <c r="H6" s="1161"/>
      <c r="I6" s="1160"/>
      <c r="J6" s="1201"/>
      <c r="K6" s="1161"/>
      <c r="L6" s="656"/>
      <c r="M6" s="654"/>
      <c r="N6" s="654"/>
      <c r="O6" s="651"/>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3" customHeight="1">
      <c r="A7" s="224">
        <v>2</v>
      </c>
      <c r="B7" s="1202"/>
      <c r="C7" s="1203"/>
      <c r="D7" s="1203"/>
      <c r="E7" s="1203"/>
      <c r="F7" s="1204"/>
      <c r="G7" s="1202"/>
      <c r="H7" s="1204"/>
      <c r="I7" s="1202"/>
      <c r="J7" s="1203"/>
      <c r="K7" s="1204"/>
      <c r="L7" s="657"/>
      <c r="M7" s="655"/>
      <c r="N7" s="655"/>
      <c r="O7" s="653"/>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3" customHeight="1">
      <c r="A8" s="224">
        <v>3</v>
      </c>
      <c r="B8" s="1202"/>
      <c r="C8" s="1203"/>
      <c r="D8" s="1203"/>
      <c r="E8" s="1203"/>
      <c r="F8" s="1204"/>
      <c r="G8" s="1202"/>
      <c r="H8" s="1204"/>
      <c r="I8" s="1202"/>
      <c r="J8" s="1203"/>
      <c r="K8" s="1204"/>
      <c r="L8" s="657"/>
      <c r="M8" s="655"/>
      <c r="N8" s="655"/>
      <c r="O8" s="653"/>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3" customHeight="1">
      <c r="A9" s="224">
        <v>4</v>
      </c>
      <c r="B9" s="1202"/>
      <c r="C9" s="1203"/>
      <c r="D9" s="1203"/>
      <c r="E9" s="1203"/>
      <c r="F9" s="1204"/>
      <c r="G9" s="1202"/>
      <c r="H9" s="1204"/>
      <c r="I9" s="1202"/>
      <c r="J9" s="1203"/>
      <c r="K9" s="1204"/>
      <c r="L9" s="657"/>
      <c r="M9" s="655"/>
      <c r="N9" s="655"/>
      <c r="O9" s="653"/>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3" customHeight="1">
      <c r="A10" s="224">
        <v>5</v>
      </c>
      <c r="B10" s="1202"/>
      <c r="C10" s="1203"/>
      <c r="D10" s="1203"/>
      <c r="E10" s="1203"/>
      <c r="F10" s="1204"/>
      <c r="G10" s="1202"/>
      <c r="H10" s="1204"/>
      <c r="I10" s="1202"/>
      <c r="J10" s="1203"/>
      <c r="K10" s="1204"/>
      <c r="L10" s="657"/>
      <c r="M10" s="655"/>
      <c r="N10" s="655"/>
      <c r="O10" s="653"/>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3" customHeight="1">
      <c r="A11" s="224">
        <v>6</v>
      </c>
      <c r="B11" s="1202"/>
      <c r="C11" s="1203"/>
      <c r="D11" s="1203"/>
      <c r="E11" s="1203"/>
      <c r="F11" s="1204"/>
      <c r="G11" s="1202"/>
      <c r="H11" s="1204"/>
      <c r="I11" s="1202"/>
      <c r="J11" s="1203"/>
      <c r="K11" s="1204"/>
      <c r="L11" s="657"/>
      <c r="M11" s="655"/>
      <c r="N11" s="655"/>
      <c r="O11" s="653"/>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3" customHeight="1">
      <c r="A12" s="224">
        <v>7</v>
      </c>
      <c r="B12" s="1202"/>
      <c r="C12" s="1203"/>
      <c r="D12" s="1203"/>
      <c r="E12" s="1203"/>
      <c r="F12" s="1204"/>
      <c r="G12" s="1202"/>
      <c r="H12" s="1204"/>
      <c r="I12" s="1202"/>
      <c r="J12" s="1203"/>
      <c r="K12" s="1204"/>
      <c r="L12" s="657"/>
      <c r="M12" s="655"/>
      <c r="N12" s="655"/>
      <c r="O12" s="653"/>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3" customHeight="1">
      <c r="A13" s="224">
        <v>8</v>
      </c>
      <c r="B13" s="1202"/>
      <c r="C13" s="1203"/>
      <c r="D13" s="1203"/>
      <c r="E13" s="1203"/>
      <c r="F13" s="1204"/>
      <c r="G13" s="1202"/>
      <c r="H13" s="1204"/>
      <c r="I13" s="1202"/>
      <c r="J13" s="1203"/>
      <c r="K13" s="1204"/>
      <c r="L13" s="657"/>
      <c r="M13" s="655"/>
      <c r="N13" s="655"/>
      <c r="O13" s="653"/>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3" customHeight="1">
      <c r="A14" s="224">
        <v>9</v>
      </c>
      <c r="B14" s="1202"/>
      <c r="C14" s="1203"/>
      <c r="D14" s="1203"/>
      <c r="E14" s="1203"/>
      <c r="F14" s="1204"/>
      <c r="G14" s="1202"/>
      <c r="H14" s="1204"/>
      <c r="I14" s="1202"/>
      <c r="J14" s="1203"/>
      <c r="K14" s="1204"/>
      <c r="L14" s="657"/>
      <c r="M14" s="655"/>
      <c r="N14" s="655"/>
      <c r="O14" s="653"/>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3" customHeight="1" thickBot="1">
      <c r="A15" s="224">
        <v>10</v>
      </c>
      <c r="B15" s="1202"/>
      <c r="C15" s="1203"/>
      <c r="D15" s="1203"/>
      <c r="E15" s="1203"/>
      <c r="F15" s="1204"/>
      <c r="G15" s="1202"/>
      <c r="H15" s="1204"/>
      <c r="I15" s="1202"/>
      <c r="J15" s="1203"/>
      <c r="K15" s="1204"/>
      <c r="L15" s="657"/>
      <c r="M15" s="655"/>
      <c r="N15" s="655"/>
      <c r="O15" s="653"/>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6.25" thickBot="1">
      <c r="A16" s="1143" t="s">
        <v>270</v>
      </c>
      <c r="B16" s="1144"/>
      <c r="C16" s="1144"/>
      <c r="D16" s="1144"/>
      <c r="E16" s="1144"/>
      <c r="F16" s="1144"/>
      <c r="G16" s="1144"/>
      <c r="H16" s="1144"/>
      <c r="I16" s="1144"/>
      <c r="J16" s="1144"/>
      <c r="K16" s="1144"/>
      <c r="L16" s="215">
        <f>SUM(R6:R15)</f>
        <v>0</v>
      </c>
      <c r="M16" s="1189" t="s">
        <v>842</v>
      </c>
      <c r="N16" s="1205"/>
      <c r="O16" s="1205"/>
      <c r="P16" s="1205"/>
      <c r="Q16" s="1205"/>
      <c r="R16" s="216">
        <f>IF(L16&gt;4,4,L16)</f>
        <v>0</v>
      </c>
      <c r="S16" s="217">
        <f>IF(SUM(S6:S15)&gt;4,4,SUM(S6:S15))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4.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4.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17.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20.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17.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20.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1" spans="22:80" ht="26.25" customHeight="1"/>
    <row r="52" spans="22:80" ht="26.25" customHeight="1"/>
  </sheetData>
  <sheetProtection algorithmName="SHA-512" hashValue="1X44+cxZxaTr+u1kEkkMcMX851JLtAFyeh38LuEDr+d48AwmW33nL9fRCOt8shBuPoE3W1qLKZR19L9e90SxTQ==" saltValue="w/GLHPE7k2JLUeVXlp9nKg==" spinCount="100000" sheet="1" objects="1" scenarios="1" formatCells="0" formatRows="0" selectLockedCells="1"/>
  <mergeCells count="70">
    <mergeCell ref="R17:U17"/>
    <mergeCell ref="A18:G18"/>
    <mergeCell ref="H18:N18"/>
    <mergeCell ref="O18:U18"/>
    <mergeCell ref="A16:K16"/>
    <mergeCell ref="M16:Q16"/>
    <mergeCell ref="A17:G17"/>
    <mergeCell ref="H17:J17"/>
    <mergeCell ref="K17:N17"/>
    <mergeCell ref="O17:Q17"/>
    <mergeCell ref="B14:F14"/>
    <mergeCell ref="G14:H14"/>
    <mergeCell ref="I14:K14"/>
    <mergeCell ref="P14:Q14"/>
    <mergeCell ref="B15:F15"/>
    <mergeCell ref="G15:H15"/>
    <mergeCell ref="I15:K15"/>
    <mergeCell ref="P15:Q15"/>
    <mergeCell ref="B12:F12"/>
    <mergeCell ref="G12:H12"/>
    <mergeCell ref="I12:K12"/>
    <mergeCell ref="P12:Q12"/>
    <mergeCell ref="B13:F13"/>
    <mergeCell ref="G13:H13"/>
    <mergeCell ref="I13:K13"/>
    <mergeCell ref="P13:Q13"/>
    <mergeCell ref="B10:F10"/>
    <mergeCell ref="G10:H10"/>
    <mergeCell ref="I10:K10"/>
    <mergeCell ref="P10:Q10"/>
    <mergeCell ref="B11:F11"/>
    <mergeCell ref="G11:H11"/>
    <mergeCell ref="I11:K11"/>
    <mergeCell ref="P11:Q11"/>
    <mergeCell ref="B8:F8"/>
    <mergeCell ref="G8:H8"/>
    <mergeCell ref="I8:K8"/>
    <mergeCell ref="P8:Q8"/>
    <mergeCell ref="B9:F9"/>
    <mergeCell ref="G9:H9"/>
    <mergeCell ref="I9:K9"/>
    <mergeCell ref="P9:Q9"/>
    <mergeCell ref="B7:F7"/>
    <mergeCell ref="G7:H7"/>
    <mergeCell ref="I7:K7"/>
    <mergeCell ref="P7:Q7"/>
    <mergeCell ref="A3:R3"/>
    <mergeCell ref="B6:F6"/>
    <mergeCell ref="G6:H6"/>
    <mergeCell ref="I6:K6"/>
    <mergeCell ref="P6:Q6"/>
    <mergeCell ref="S3:U3"/>
    <mergeCell ref="A4:A5"/>
    <mergeCell ref="B4:F5"/>
    <mergeCell ref="G4:H5"/>
    <mergeCell ref="I4:K5"/>
    <mergeCell ref="L4:M5"/>
    <mergeCell ref="N4:O4"/>
    <mergeCell ref="P4:Q5"/>
    <mergeCell ref="R4:T4"/>
    <mergeCell ref="U4:U5"/>
    <mergeCell ref="A1:B2"/>
    <mergeCell ref="C1:G1"/>
    <mergeCell ref="H1:L1"/>
    <mergeCell ref="M1:P1"/>
    <mergeCell ref="Q1:U1"/>
    <mergeCell ref="C2:G2"/>
    <mergeCell ref="H2:L2"/>
    <mergeCell ref="M2:P2"/>
    <mergeCell ref="Q2:U2"/>
  </mergeCells>
  <conditionalFormatting sqref="B6 G6 I6 L6:Q6">
    <cfRule type="containsBlanks" dxfId="67" priority="2">
      <formula>LEN(TRIM(B6))=0</formula>
    </cfRule>
  </conditionalFormatting>
  <conditionalFormatting sqref="B7:B15 G7:G15 I7:I15 L7:Q15">
    <cfRule type="containsBlanks" dxfId="66" priority="1">
      <formula>LEN(TRIM(B7))=0</formula>
    </cfRule>
  </conditionalFormatting>
  <dataValidations count="2">
    <dataValidation allowBlank="1" showInputMessage="1" showErrorMessage="1" promptTitle="توجه:" prompt="ارائه مستندات مربوط به فعالیت با تأیید مرکز برگزارکننده فعالیت الزامی است." sqref="P6:Q15"/>
    <dataValidation allowBlank="1" showInputMessage="1" showErrorMessage="1" promptTitle="توجه:" prompt="به ازای هر 50 ساعت حضور 1 امتیاز" sqref="R6:S15"/>
  </dataValidations>
  <printOptions horizontalCentered="1" verticalCentered="1"/>
  <pageMargins left="0" right="0" top="0.5" bottom="0" header="0" footer="0"/>
  <pageSetup orientation="landscape" blackAndWhite="1" errors="blank"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cols>
    <col min="1" max="1" width="2.85546875" style="19" customWidth="1"/>
    <col min="2" max="2" width="3.7109375" style="19" customWidth="1"/>
    <col min="3" max="7" width="6.140625" style="19" customWidth="1"/>
    <col min="8" max="8" width="8.140625" style="19" customWidth="1"/>
    <col min="9" max="10" width="5.7109375" style="19" customWidth="1"/>
    <col min="11" max="12" width="5.28515625" style="19" customWidth="1"/>
    <col min="13" max="13" width="6" style="19" customWidth="1"/>
    <col min="14" max="16" width="7" style="19" customWidth="1"/>
    <col min="17" max="17" width="5.5703125" style="19" customWidth="1"/>
    <col min="18" max="20" width="5.42578125" style="19" customWidth="1"/>
    <col min="21" max="21" width="8"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477</v>
      </c>
      <c r="B3" s="1528"/>
      <c r="C3" s="1529"/>
      <c r="D3" s="1529"/>
      <c r="E3" s="1529"/>
      <c r="F3" s="1529"/>
      <c r="G3" s="1529"/>
      <c r="H3" s="1529"/>
      <c r="I3" s="1529"/>
      <c r="J3" s="1529"/>
      <c r="K3" s="1529"/>
      <c r="L3" s="1529"/>
      <c r="M3" s="1529"/>
      <c r="N3" s="1529"/>
      <c r="O3" s="1529"/>
      <c r="P3" s="1529"/>
      <c r="Q3" s="1529"/>
      <c r="R3" s="1529"/>
      <c r="S3" s="1527" t="s">
        <v>478</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9.5">
      <c r="A4" s="1479" t="s">
        <v>9</v>
      </c>
      <c r="B4" s="1644" t="s">
        <v>480</v>
      </c>
      <c r="C4" s="1645"/>
      <c r="D4" s="1645"/>
      <c r="E4" s="1645"/>
      <c r="F4" s="1645"/>
      <c r="G4" s="1645"/>
      <c r="H4" s="1646"/>
      <c r="I4" s="1453" t="s">
        <v>481</v>
      </c>
      <c r="J4" s="1650"/>
      <c r="K4" s="1454"/>
      <c r="L4" s="1453" t="s">
        <v>479</v>
      </c>
      <c r="M4" s="1650"/>
      <c r="N4" s="1454"/>
      <c r="O4" s="1650" t="s">
        <v>455</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8"/>
      <c r="H5" s="1649"/>
      <c r="I5" s="1455"/>
      <c r="J5" s="1651"/>
      <c r="K5" s="1456"/>
      <c r="L5" s="1455"/>
      <c r="M5" s="1651"/>
      <c r="N5" s="1456"/>
      <c r="O5" s="1651"/>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1.5" customHeight="1">
      <c r="A6" s="223">
        <v>1</v>
      </c>
      <c r="B6" s="1160"/>
      <c r="C6" s="1201"/>
      <c r="D6" s="1201"/>
      <c r="E6" s="1201"/>
      <c r="F6" s="1201"/>
      <c r="G6" s="1201"/>
      <c r="H6" s="1161"/>
      <c r="I6" s="1160"/>
      <c r="J6" s="1201"/>
      <c r="K6" s="1161"/>
      <c r="L6" s="1406"/>
      <c r="M6" s="1406"/>
      <c r="N6" s="1407"/>
      <c r="O6" s="1784"/>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1.5" customHeight="1">
      <c r="A7" s="224">
        <v>2</v>
      </c>
      <c r="B7" s="1202"/>
      <c r="C7" s="1203"/>
      <c r="D7" s="1203"/>
      <c r="E7" s="1203"/>
      <c r="F7" s="1203"/>
      <c r="G7" s="1203"/>
      <c r="H7" s="1204"/>
      <c r="I7" s="1202"/>
      <c r="J7" s="1203"/>
      <c r="K7" s="1204"/>
      <c r="L7" s="1385"/>
      <c r="M7" s="1385"/>
      <c r="N7" s="1386"/>
      <c r="O7" s="1782"/>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1.5" customHeight="1">
      <c r="A8" s="224">
        <v>3</v>
      </c>
      <c r="B8" s="1202"/>
      <c r="C8" s="1203"/>
      <c r="D8" s="1203"/>
      <c r="E8" s="1203"/>
      <c r="F8" s="1203"/>
      <c r="G8" s="1203"/>
      <c r="H8" s="1204"/>
      <c r="I8" s="1202"/>
      <c r="J8" s="1203"/>
      <c r="K8" s="1204"/>
      <c r="L8" s="1385"/>
      <c r="M8" s="1385"/>
      <c r="N8" s="1386"/>
      <c r="O8" s="1782"/>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1.5" customHeight="1">
      <c r="A9" s="224">
        <v>4</v>
      </c>
      <c r="B9" s="1202"/>
      <c r="C9" s="1203"/>
      <c r="D9" s="1203"/>
      <c r="E9" s="1203"/>
      <c r="F9" s="1203"/>
      <c r="G9" s="1203"/>
      <c r="H9" s="1204"/>
      <c r="I9" s="1202"/>
      <c r="J9" s="1203"/>
      <c r="K9" s="1204"/>
      <c r="L9" s="1385"/>
      <c r="M9" s="1385"/>
      <c r="N9" s="1386"/>
      <c r="O9" s="1782"/>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1.5" customHeight="1">
      <c r="A10" s="224">
        <v>5</v>
      </c>
      <c r="B10" s="1202"/>
      <c r="C10" s="1203"/>
      <c r="D10" s="1203"/>
      <c r="E10" s="1203"/>
      <c r="F10" s="1203"/>
      <c r="G10" s="1203"/>
      <c r="H10" s="1204"/>
      <c r="I10" s="1202"/>
      <c r="J10" s="1203"/>
      <c r="K10" s="1204"/>
      <c r="L10" s="1385"/>
      <c r="M10" s="1385"/>
      <c r="N10" s="1386"/>
      <c r="O10" s="1782"/>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1.5" customHeight="1">
      <c r="A11" s="224">
        <v>6</v>
      </c>
      <c r="B11" s="1202"/>
      <c r="C11" s="1203"/>
      <c r="D11" s="1203"/>
      <c r="E11" s="1203"/>
      <c r="F11" s="1203"/>
      <c r="G11" s="1203"/>
      <c r="H11" s="1204"/>
      <c r="I11" s="1202"/>
      <c r="J11" s="1203"/>
      <c r="K11" s="1204"/>
      <c r="L11" s="1385"/>
      <c r="M11" s="1385"/>
      <c r="N11" s="1386"/>
      <c r="O11" s="1782"/>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1.5" customHeight="1">
      <c r="A12" s="224">
        <v>7</v>
      </c>
      <c r="B12" s="1202"/>
      <c r="C12" s="1203"/>
      <c r="D12" s="1203"/>
      <c r="E12" s="1203"/>
      <c r="F12" s="1203"/>
      <c r="G12" s="1203"/>
      <c r="H12" s="1204"/>
      <c r="I12" s="1202"/>
      <c r="J12" s="1203"/>
      <c r="K12" s="1204"/>
      <c r="L12" s="1385"/>
      <c r="M12" s="1385"/>
      <c r="N12" s="1386"/>
      <c r="O12" s="1782"/>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1.5" customHeight="1">
      <c r="A13" s="224">
        <v>8</v>
      </c>
      <c r="B13" s="1202"/>
      <c r="C13" s="1203"/>
      <c r="D13" s="1203"/>
      <c r="E13" s="1203"/>
      <c r="F13" s="1203"/>
      <c r="G13" s="1203"/>
      <c r="H13" s="1204"/>
      <c r="I13" s="1202"/>
      <c r="J13" s="1203"/>
      <c r="K13" s="1204"/>
      <c r="L13" s="1385"/>
      <c r="M13" s="1385"/>
      <c r="N13" s="1386"/>
      <c r="O13" s="1782"/>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1.5" customHeight="1">
      <c r="A14" s="224">
        <v>9</v>
      </c>
      <c r="B14" s="1202"/>
      <c r="C14" s="1203"/>
      <c r="D14" s="1203"/>
      <c r="E14" s="1203"/>
      <c r="F14" s="1203"/>
      <c r="G14" s="1203"/>
      <c r="H14" s="1204"/>
      <c r="I14" s="1202"/>
      <c r="J14" s="1203"/>
      <c r="K14" s="1204"/>
      <c r="L14" s="1385"/>
      <c r="M14" s="1385"/>
      <c r="N14" s="1386"/>
      <c r="O14" s="1782"/>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1.5" customHeight="1" thickBot="1">
      <c r="A15" s="225">
        <v>10</v>
      </c>
      <c r="B15" s="1244"/>
      <c r="C15" s="1245"/>
      <c r="D15" s="1245"/>
      <c r="E15" s="1245"/>
      <c r="F15" s="1245"/>
      <c r="G15" s="1245"/>
      <c r="H15" s="1246"/>
      <c r="I15" s="1244"/>
      <c r="J15" s="1245"/>
      <c r="K15" s="1246"/>
      <c r="L15" s="1793"/>
      <c r="M15" s="1793"/>
      <c r="N15" s="1794"/>
      <c r="O15" s="1795"/>
      <c r="P15" s="1796"/>
      <c r="Q15" s="1797"/>
      <c r="R15" s="552"/>
      <c r="S15" s="176"/>
      <c r="T15" s="147"/>
      <c r="U15" s="146"/>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6.25" thickBot="1">
      <c r="A16" s="1143" t="s">
        <v>270</v>
      </c>
      <c r="B16" s="1144"/>
      <c r="C16" s="1144"/>
      <c r="D16" s="1144"/>
      <c r="E16" s="1144"/>
      <c r="F16" s="1144"/>
      <c r="G16" s="1144"/>
      <c r="H16" s="1144"/>
      <c r="I16" s="1144"/>
      <c r="J16" s="1144"/>
      <c r="K16" s="1144"/>
      <c r="L16" s="1144"/>
      <c r="M16" s="215">
        <f>SUM(R6:R15)</f>
        <v>0</v>
      </c>
      <c r="N16" s="1188" t="s">
        <v>824</v>
      </c>
      <c r="O16" s="1188"/>
      <c r="P16" s="1188"/>
      <c r="Q16" s="1189"/>
      <c r="R16" s="216">
        <f>IF(M16&gt;6,6,M16)</f>
        <v>0</v>
      </c>
      <c r="S16" s="217">
        <f>IF(SUM(S6:S15)&gt;6,6,SUM(S6:S15))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4.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4.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17.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20.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17.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20.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1" spans="22:80" ht="26.25" customHeight="1"/>
    <row r="52" spans="22:80" ht="26.25" customHeight="1"/>
  </sheetData>
  <sheetProtection algorithmName="SHA-512" hashValue="LC/BQbiQykRR4YEReFxDNOa0p8i2TCIXShSmGhMsNighAY8PFVj/gUu3l75u8D2uI+Nb5sBWqPdyqsuuTOTEIg==" saltValue="/u2KoG+fCXuFnZQHLthvPA==" spinCount="100000" sheet="1" objects="1" scenarios="1" formatCells="0" formatRows="0" selectLockedCells="1"/>
  <mergeCells count="68">
    <mergeCell ref="N16:Q16"/>
    <mergeCell ref="A16:L16"/>
    <mergeCell ref="L14:N14"/>
    <mergeCell ref="O14:Q14"/>
    <mergeCell ref="B15:H15"/>
    <mergeCell ref="I15:K15"/>
    <mergeCell ref="L15:N15"/>
    <mergeCell ref="O15:Q15"/>
    <mergeCell ref="L12:N12"/>
    <mergeCell ref="O12:Q12"/>
    <mergeCell ref="B13:H13"/>
    <mergeCell ref="I13:K13"/>
    <mergeCell ref="L13:N13"/>
    <mergeCell ref="O13:Q13"/>
    <mergeCell ref="B12:H12"/>
    <mergeCell ref="I12:K12"/>
    <mergeCell ref="L10:N10"/>
    <mergeCell ref="O10:Q10"/>
    <mergeCell ref="B11:H11"/>
    <mergeCell ref="I11:K11"/>
    <mergeCell ref="L11:N11"/>
    <mergeCell ref="O11:Q11"/>
    <mergeCell ref="B10:H10"/>
    <mergeCell ref="I10:K10"/>
    <mergeCell ref="L8:N8"/>
    <mergeCell ref="O8:Q8"/>
    <mergeCell ref="B9:H9"/>
    <mergeCell ref="I9:K9"/>
    <mergeCell ref="L9:N9"/>
    <mergeCell ref="O9:Q9"/>
    <mergeCell ref="B8:H8"/>
    <mergeCell ref="I8:K8"/>
    <mergeCell ref="B7:H7"/>
    <mergeCell ref="I7:K7"/>
    <mergeCell ref="L7:N7"/>
    <mergeCell ref="O7:Q7"/>
    <mergeCell ref="B6:H6"/>
    <mergeCell ref="I6:K6"/>
    <mergeCell ref="R17:U17"/>
    <mergeCell ref="A18:G18"/>
    <mergeCell ref="H18:N18"/>
    <mergeCell ref="O18:U18"/>
    <mergeCell ref="B4:H5"/>
    <mergeCell ref="I4:K5"/>
    <mergeCell ref="O4:Q5"/>
    <mergeCell ref="L4:N5"/>
    <mergeCell ref="A17:G17"/>
    <mergeCell ref="H17:J17"/>
    <mergeCell ref="K17:N17"/>
    <mergeCell ref="O17:Q17"/>
    <mergeCell ref="B14:H14"/>
    <mergeCell ref="I14:K14"/>
    <mergeCell ref="L6:N6"/>
    <mergeCell ref="O6:Q6"/>
    <mergeCell ref="A3:R3"/>
    <mergeCell ref="S3:U3"/>
    <mergeCell ref="A4:A5"/>
    <mergeCell ref="R4:T4"/>
    <mergeCell ref="U4:U5"/>
    <mergeCell ref="A1:B2"/>
    <mergeCell ref="C1:G1"/>
    <mergeCell ref="H1:L1"/>
    <mergeCell ref="M1:P1"/>
    <mergeCell ref="Q1:U1"/>
    <mergeCell ref="C2:G2"/>
    <mergeCell ref="H2:L2"/>
    <mergeCell ref="M2:P2"/>
    <mergeCell ref="Q2:U2"/>
  </mergeCells>
  <conditionalFormatting sqref="B6 I6 L6 O6">
    <cfRule type="containsBlanks" dxfId="65" priority="3">
      <formula>LEN(TRIM(B6))=0</formula>
    </cfRule>
  </conditionalFormatting>
  <conditionalFormatting sqref="B7:B15 I7:I15 L7:L15 O7:O15">
    <cfRule type="containsBlanks" dxfId="64"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1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تا 2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Base'!$L$53:$L$55</xm:f>
          </x14:formula1>
          <xm:sqref>I6:K15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7" width="5" style="19" customWidth="1"/>
    <col min="8" max="9" width="7.140625" style="19" customWidth="1"/>
    <col min="10" max="12" width="7" style="19" customWidth="1"/>
    <col min="13" max="14" width="8.140625" style="19" customWidth="1"/>
    <col min="15" max="20" width="5.42578125" style="19" customWidth="1"/>
    <col min="21" max="21" width="9.4257812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2.5"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483</v>
      </c>
      <c r="B3" s="1528"/>
      <c r="C3" s="1529"/>
      <c r="D3" s="1529"/>
      <c r="E3" s="1529"/>
      <c r="F3" s="1529"/>
      <c r="G3" s="1529"/>
      <c r="H3" s="1529"/>
      <c r="I3" s="1529"/>
      <c r="J3" s="1529"/>
      <c r="K3" s="1529"/>
      <c r="L3" s="1529"/>
      <c r="M3" s="1529"/>
      <c r="N3" s="1529"/>
      <c r="O3" s="1529"/>
      <c r="P3" s="1529"/>
      <c r="Q3" s="1529"/>
      <c r="R3" s="1529"/>
      <c r="S3" s="1527" t="s">
        <v>484</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9.5">
      <c r="A4" s="1479" t="s">
        <v>9</v>
      </c>
      <c r="B4" s="1644" t="s">
        <v>486</v>
      </c>
      <c r="C4" s="1645"/>
      <c r="D4" s="1645"/>
      <c r="E4" s="1645"/>
      <c r="F4" s="1645"/>
      <c r="G4" s="1646"/>
      <c r="H4" s="1453" t="s">
        <v>490</v>
      </c>
      <c r="I4" s="1650"/>
      <c r="J4" s="1650"/>
      <c r="K4" s="1650"/>
      <c r="L4" s="1650"/>
      <c r="M4" s="1453" t="s">
        <v>458</v>
      </c>
      <c r="N4" s="1454"/>
      <c r="O4" s="1650" t="s">
        <v>485</v>
      </c>
      <c r="P4" s="1650"/>
      <c r="Q4" s="1454"/>
      <c r="R4" s="1476"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7.75" customHeight="1" thickBot="1">
      <c r="A5" s="1480"/>
      <c r="B5" s="1647"/>
      <c r="C5" s="1648"/>
      <c r="D5" s="1648"/>
      <c r="E5" s="1648"/>
      <c r="F5" s="1648"/>
      <c r="G5" s="1649"/>
      <c r="H5" s="210" t="s">
        <v>487</v>
      </c>
      <c r="I5" s="211" t="s">
        <v>488</v>
      </c>
      <c r="J5" s="1629" t="s">
        <v>489</v>
      </c>
      <c r="K5" s="1798"/>
      <c r="L5" s="1798"/>
      <c r="M5" s="212" t="s">
        <v>491</v>
      </c>
      <c r="N5" s="213" t="s">
        <v>492</v>
      </c>
      <c r="O5" s="237" t="s">
        <v>230</v>
      </c>
      <c r="P5" s="237" t="s">
        <v>231</v>
      </c>
      <c r="Q5" s="213" t="s">
        <v>16</v>
      </c>
      <c r="R5" s="281"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1.75" customHeight="1">
      <c r="A6" s="223">
        <v>1</v>
      </c>
      <c r="B6" s="1404"/>
      <c r="C6" s="1404"/>
      <c r="D6" s="1404"/>
      <c r="E6" s="1404"/>
      <c r="F6" s="1404"/>
      <c r="G6" s="1404"/>
      <c r="H6" s="118"/>
      <c r="I6" s="118"/>
      <c r="J6" s="1404"/>
      <c r="K6" s="1404"/>
      <c r="L6" s="1404"/>
      <c r="M6" s="120"/>
      <c r="N6" s="120"/>
      <c r="O6" s="651"/>
      <c r="P6" s="651"/>
      <c r="Q6" s="65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1.75" customHeight="1">
      <c r="A7" s="224">
        <v>2</v>
      </c>
      <c r="B7" s="1157"/>
      <c r="C7" s="1157"/>
      <c r="D7" s="1157"/>
      <c r="E7" s="1157"/>
      <c r="F7" s="1157"/>
      <c r="G7" s="1157"/>
      <c r="H7" s="57"/>
      <c r="I7" s="57"/>
      <c r="J7" s="1157"/>
      <c r="K7" s="1157"/>
      <c r="L7" s="1157"/>
      <c r="M7" s="56"/>
      <c r="N7" s="56"/>
      <c r="O7" s="653"/>
      <c r="P7" s="653"/>
      <c r="Q7" s="65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1.75" customHeight="1">
      <c r="A8" s="224">
        <v>3</v>
      </c>
      <c r="B8" s="1157"/>
      <c r="C8" s="1157"/>
      <c r="D8" s="1157"/>
      <c r="E8" s="1157"/>
      <c r="F8" s="1157"/>
      <c r="G8" s="1157"/>
      <c r="H8" s="57"/>
      <c r="I8" s="57"/>
      <c r="J8" s="1157"/>
      <c r="K8" s="1157"/>
      <c r="L8" s="1157"/>
      <c r="M8" s="56"/>
      <c r="N8" s="56"/>
      <c r="O8" s="653"/>
      <c r="P8" s="653"/>
      <c r="Q8" s="65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1.75" customHeight="1">
      <c r="A9" s="224">
        <v>4</v>
      </c>
      <c r="B9" s="1157"/>
      <c r="C9" s="1157"/>
      <c r="D9" s="1157"/>
      <c r="E9" s="1157"/>
      <c r="F9" s="1157"/>
      <c r="G9" s="1157"/>
      <c r="H9" s="57"/>
      <c r="I9" s="57"/>
      <c r="J9" s="1157"/>
      <c r="K9" s="1157"/>
      <c r="L9" s="1157"/>
      <c r="M9" s="56"/>
      <c r="N9" s="56"/>
      <c r="O9" s="653"/>
      <c r="P9" s="653"/>
      <c r="Q9" s="65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1.75" customHeight="1">
      <c r="A10" s="224">
        <v>5</v>
      </c>
      <c r="B10" s="1157"/>
      <c r="C10" s="1157"/>
      <c r="D10" s="1157"/>
      <c r="E10" s="1157"/>
      <c r="F10" s="1157"/>
      <c r="G10" s="1157"/>
      <c r="H10" s="57"/>
      <c r="I10" s="57"/>
      <c r="J10" s="1157"/>
      <c r="K10" s="1157"/>
      <c r="L10" s="1157"/>
      <c r="M10" s="56"/>
      <c r="N10" s="56"/>
      <c r="O10" s="653"/>
      <c r="P10" s="653"/>
      <c r="Q10" s="65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1.75" customHeight="1">
      <c r="A11" s="224">
        <v>6</v>
      </c>
      <c r="B11" s="1157"/>
      <c r="C11" s="1157"/>
      <c r="D11" s="1157"/>
      <c r="E11" s="1157"/>
      <c r="F11" s="1157"/>
      <c r="G11" s="1157"/>
      <c r="H11" s="57"/>
      <c r="I11" s="57"/>
      <c r="J11" s="1157"/>
      <c r="K11" s="1157"/>
      <c r="L11" s="1157"/>
      <c r="M11" s="56"/>
      <c r="N11" s="56"/>
      <c r="O11" s="653"/>
      <c r="P11" s="653"/>
      <c r="Q11" s="65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1.75" customHeight="1">
      <c r="A12" s="224">
        <v>7</v>
      </c>
      <c r="B12" s="1157"/>
      <c r="C12" s="1157"/>
      <c r="D12" s="1157"/>
      <c r="E12" s="1157"/>
      <c r="F12" s="1157"/>
      <c r="G12" s="1157"/>
      <c r="H12" s="57"/>
      <c r="I12" s="57"/>
      <c r="J12" s="1157"/>
      <c r="K12" s="1157"/>
      <c r="L12" s="1157"/>
      <c r="M12" s="56"/>
      <c r="N12" s="56"/>
      <c r="O12" s="653"/>
      <c r="P12" s="653"/>
      <c r="Q12" s="65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1.75" customHeight="1">
      <c r="A13" s="224">
        <v>8</v>
      </c>
      <c r="B13" s="1157"/>
      <c r="C13" s="1157"/>
      <c r="D13" s="1157"/>
      <c r="E13" s="1157"/>
      <c r="F13" s="1157"/>
      <c r="G13" s="1157"/>
      <c r="H13" s="57"/>
      <c r="I13" s="57"/>
      <c r="J13" s="1157"/>
      <c r="K13" s="1157"/>
      <c r="L13" s="1157"/>
      <c r="M13" s="56"/>
      <c r="N13" s="56"/>
      <c r="O13" s="653"/>
      <c r="P13" s="653"/>
      <c r="Q13" s="65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1.75" customHeight="1">
      <c r="A14" s="224">
        <v>9</v>
      </c>
      <c r="B14" s="1157"/>
      <c r="C14" s="1157"/>
      <c r="D14" s="1157"/>
      <c r="E14" s="1157"/>
      <c r="F14" s="1157"/>
      <c r="G14" s="1157"/>
      <c r="H14" s="57"/>
      <c r="I14" s="57"/>
      <c r="J14" s="1157"/>
      <c r="K14" s="1157"/>
      <c r="L14" s="1157"/>
      <c r="M14" s="56"/>
      <c r="N14" s="56"/>
      <c r="O14" s="653"/>
      <c r="P14" s="653"/>
      <c r="Q14" s="65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1.75" customHeight="1">
      <c r="A15" s="224">
        <v>10</v>
      </c>
      <c r="B15" s="1157"/>
      <c r="C15" s="1157"/>
      <c r="D15" s="1157"/>
      <c r="E15" s="1157"/>
      <c r="F15" s="1157"/>
      <c r="G15" s="1157"/>
      <c r="H15" s="57"/>
      <c r="I15" s="57"/>
      <c r="J15" s="1157"/>
      <c r="K15" s="1157"/>
      <c r="L15" s="1157"/>
      <c r="M15" s="56"/>
      <c r="N15" s="56"/>
      <c r="O15" s="653"/>
      <c r="P15" s="653"/>
      <c r="Q15" s="65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1.75" customHeight="1">
      <c r="A16" s="224">
        <v>11</v>
      </c>
      <c r="B16" s="1157"/>
      <c r="C16" s="1157"/>
      <c r="D16" s="1157"/>
      <c r="E16" s="1157"/>
      <c r="F16" s="1157"/>
      <c r="G16" s="1157"/>
      <c r="H16" s="57"/>
      <c r="I16" s="57"/>
      <c r="J16" s="1157"/>
      <c r="K16" s="1157"/>
      <c r="L16" s="1157"/>
      <c r="M16" s="56"/>
      <c r="N16" s="56"/>
      <c r="O16" s="653"/>
      <c r="P16" s="653"/>
      <c r="Q16" s="653"/>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1.75" customHeight="1">
      <c r="A17" s="224">
        <v>12</v>
      </c>
      <c r="B17" s="1157"/>
      <c r="C17" s="1157"/>
      <c r="D17" s="1157"/>
      <c r="E17" s="1157"/>
      <c r="F17" s="1157"/>
      <c r="G17" s="1157"/>
      <c r="H17" s="57"/>
      <c r="I17" s="57"/>
      <c r="J17" s="1157"/>
      <c r="K17" s="1157"/>
      <c r="L17" s="1157"/>
      <c r="M17" s="56"/>
      <c r="N17" s="56"/>
      <c r="O17" s="653"/>
      <c r="P17" s="653"/>
      <c r="Q17" s="653"/>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1.75" customHeight="1">
      <c r="A18" s="224">
        <v>13</v>
      </c>
      <c r="B18" s="1157"/>
      <c r="C18" s="1157"/>
      <c r="D18" s="1157"/>
      <c r="E18" s="1157"/>
      <c r="F18" s="1157"/>
      <c r="G18" s="1157"/>
      <c r="H18" s="57"/>
      <c r="I18" s="57"/>
      <c r="J18" s="1157"/>
      <c r="K18" s="1157"/>
      <c r="L18" s="1157"/>
      <c r="M18" s="56"/>
      <c r="N18" s="56"/>
      <c r="O18" s="653"/>
      <c r="P18" s="653"/>
      <c r="Q18" s="653"/>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21.75" customHeight="1">
      <c r="A19" s="224">
        <v>14</v>
      </c>
      <c r="B19" s="1157"/>
      <c r="C19" s="1157"/>
      <c r="D19" s="1157"/>
      <c r="E19" s="1157"/>
      <c r="F19" s="1157"/>
      <c r="G19" s="1157"/>
      <c r="H19" s="57"/>
      <c r="I19" s="57"/>
      <c r="J19" s="1157"/>
      <c r="K19" s="1157"/>
      <c r="L19" s="1157"/>
      <c r="M19" s="56"/>
      <c r="N19" s="56"/>
      <c r="O19" s="653"/>
      <c r="P19" s="653"/>
      <c r="Q19" s="653"/>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1.75" customHeight="1" thickBot="1">
      <c r="A20" s="224">
        <v>15</v>
      </c>
      <c r="B20" s="1157"/>
      <c r="C20" s="1157"/>
      <c r="D20" s="1157"/>
      <c r="E20" s="1157"/>
      <c r="F20" s="1157"/>
      <c r="G20" s="1157"/>
      <c r="H20" s="57"/>
      <c r="I20" s="57"/>
      <c r="J20" s="1157"/>
      <c r="K20" s="1157"/>
      <c r="L20" s="1157"/>
      <c r="M20" s="56"/>
      <c r="N20" s="56"/>
      <c r="O20" s="653"/>
      <c r="P20" s="653"/>
      <c r="Q20" s="653"/>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27.75" customHeight="1" thickBot="1">
      <c r="A21" s="1143" t="s">
        <v>493</v>
      </c>
      <c r="B21" s="1144"/>
      <c r="C21" s="1144"/>
      <c r="D21" s="1144"/>
      <c r="E21" s="1144"/>
      <c r="F21" s="1144"/>
      <c r="G21" s="1144"/>
      <c r="H21" s="1144"/>
      <c r="I21" s="1144"/>
      <c r="J21" s="1144"/>
      <c r="K21" s="1144"/>
      <c r="L21" s="1144"/>
      <c r="M21" s="1144"/>
      <c r="N21" s="1144"/>
      <c r="O21" s="1144"/>
      <c r="P21" s="1144"/>
      <c r="Q21" s="1145"/>
      <c r="R21" s="216">
        <f>SUM(R6:R20)</f>
        <v>0</v>
      </c>
      <c r="S21" s="217">
        <f>SUM(S6:S20)</f>
        <v>0</v>
      </c>
      <c r="T21" s="48"/>
      <c r="U21" s="177"/>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0" customHeight="1">
      <c r="A22" s="1507" t="s">
        <v>31</v>
      </c>
      <c r="B22" s="1508"/>
      <c r="C22" s="1508"/>
      <c r="D22" s="1508"/>
      <c r="E22" s="1508"/>
      <c r="F22" s="1508"/>
      <c r="G22" s="1508"/>
      <c r="H22" s="1430" t="s">
        <v>32</v>
      </c>
      <c r="I22" s="1430"/>
      <c r="J22" s="1430"/>
      <c r="K22" s="1431">
        <f>Q2</f>
        <v>0</v>
      </c>
      <c r="L22" s="1432"/>
      <c r="M22" s="1432"/>
      <c r="N22" s="1432"/>
      <c r="O22" s="1430" t="s">
        <v>33</v>
      </c>
      <c r="P22" s="1430"/>
      <c r="Q22" s="1430"/>
      <c r="R22" s="1432">
        <f>C2</f>
        <v>0</v>
      </c>
      <c r="S22" s="1432"/>
      <c r="T22" s="1432"/>
      <c r="U22" s="1506"/>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0" customHeight="1" thickBot="1">
      <c r="A23" s="1437">
        <f>'فرم الف'!A27</f>
        <v>0</v>
      </c>
      <c r="B23" s="1425"/>
      <c r="C23" s="1425"/>
      <c r="D23" s="1425"/>
      <c r="E23" s="1425"/>
      <c r="F23" s="1425"/>
      <c r="G23" s="1425"/>
      <c r="H23" s="1425">
        <f>'فرم الف'!E27</f>
        <v>0</v>
      </c>
      <c r="I23" s="1425"/>
      <c r="J23" s="1425"/>
      <c r="K23" s="1425"/>
      <c r="L23" s="1425"/>
      <c r="M23" s="1425"/>
      <c r="N23" s="1425"/>
      <c r="O23" s="1425" t="str">
        <f>'فرم الف'!J27</f>
        <v/>
      </c>
      <c r="P23" s="1425"/>
      <c r="Q23" s="1425"/>
      <c r="R23" s="1425"/>
      <c r="S23" s="1425"/>
      <c r="T23" s="1425"/>
      <c r="U23" s="1426"/>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17.25" customHeight="1">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20.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17.25" customHeight="1">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0.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0.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17.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20.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17.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20.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17.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20.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17.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20.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17.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20.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50" ht="26.25" customHeight="1"/>
    <row r="51" ht="26.25" customHeight="1"/>
  </sheetData>
  <sheetProtection algorithmName="SHA-512" hashValue="y3yg6Qa48/QI1wImTfqH7gDsv4a7BVzGwxPqJDSDHMbJ1cNEAnPj4PbrTBd31MWTSEQ800+BRwJExeaV5zh6YQ==" saltValue="dmj06/QUKbagxHMoCgLqbw==" spinCount="100000" sheet="1" objects="1" scenarios="1" formatCells="0" formatRows="0" selectLockedCells="1"/>
  <mergeCells count="58">
    <mergeCell ref="A21:Q21"/>
    <mergeCell ref="B18:G18"/>
    <mergeCell ref="J18:L18"/>
    <mergeCell ref="B19:G19"/>
    <mergeCell ref="J19:L19"/>
    <mergeCell ref="B20:G20"/>
    <mergeCell ref="J20:L20"/>
    <mergeCell ref="B15:G15"/>
    <mergeCell ref="J15:L15"/>
    <mergeCell ref="B16:G16"/>
    <mergeCell ref="J16:L16"/>
    <mergeCell ref="B17:G17"/>
    <mergeCell ref="J17:L17"/>
    <mergeCell ref="B11:G11"/>
    <mergeCell ref="J11:L11"/>
    <mergeCell ref="B12:G12"/>
    <mergeCell ref="J12:L12"/>
    <mergeCell ref="B13:G13"/>
    <mergeCell ref="J13:L13"/>
    <mergeCell ref="R22:U22"/>
    <mergeCell ref="A23:G23"/>
    <mergeCell ref="H23:N23"/>
    <mergeCell ref="O23:U23"/>
    <mergeCell ref="O4:Q4"/>
    <mergeCell ref="M4:N4"/>
    <mergeCell ref="B4:G5"/>
    <mergeCell ref="J5:L5"/>
    <mergeCell ref="H4:L4"/>
    <mergeCell ref="A22:G22"/>
    <mergeCell ref="H22:J22"/>
    <mergeCell ref="K22:N22"/>
    <mergeCell ref="O22:Q22"/>
    <mergeCell ref="B14:G14"/>
    <mergeCell ref="J14:L14"/>
    <mergeCell ref="B10:G10"/>
    <mergeCell ref="J10:L10"/>
    <mergeCell ref="J6:L6"/>
    <mergeCell ref="B6:G6"/>
    <mergeCell ref="A3:R3"/>
    <mergeCell ref="S3:U3"/>
    <mergeCell ref="A4:A5"/>
    <mergeCell ref="R4:T4"/>
    <mergeCell ref="U4:U5"/>
    <mergeCell ref="B7:G7"/>
    <mergeCell ref="J7:L7"/>
    <mergeCell ref="B8:G8"/>
    <mergeCell ref="J8:L8"/>
    <mergeCell ref="B9:G9"/>
    <mergeCell ref="J9:L9"/>
    <mergeCell ref="A1:B2"/>
    <mergeCell ref="C1:G1"/>
    <mergeCell ref="H1:L1"/>
    <mergeCell ref="M1:P1"/>
    <mergeCell ref="Q1:U1"/>
    <mergeCell ref="C2:G2"/>
    <mergeCell ref="H2:L2"/>
    <mergeCell ref="M2:P2"/>
    <mergeCell ref="Q2:U2"/>
  </mergeCells>
  <conditionalFormatting sqref="B6:Q6">
    <cfRule type="containsBlanks" dxfId="63" priority="4">
      <formula>LEN(TRIM(B6))=0</formula>
    </cfRule>
  </conditionalFormatting>
  <conditionalFormatting sqref="B7:Q15">
    <cfRule type="containsBlanks" dxfId="62" priority="2">
      <formula>LEN(TRIM(B7))=0</formula>
    </cfRule>
  </conditionalFormatting>
  <conditionalFormatting sqref="B16:Q20">
    <cfRule type="containsBlanks" dxfId="61"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در هر سال حداکثر  4 تا 14 امتیاز در واحد کار" sqref="R6:S20">
      <formula1>0</formula1>
    </dataValidation>
  </dataValidations>
  <printOptions horizontalCentered="1" verticalCentered="1"/>
  <pageMargins left="0" right="0" top="0.5" bottom="0" header="0" footer="0"/>
  <pageSetup orientation="landscape" blackAndWhite="1" errors="blank"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J9" sqref="J9"/>
    </sheetView>
  </sheetViews>
  <sheetFormatPr defaultColWidth="9.140625" defaultRowHeight="15"/>
  <cols>
    <col min="1" max="1" width="2.85546875" style="11" customWidth="1"/>
    <col min="2" max="2" width="3.7109375" style="11" customWidth="1"/>
    <col min="3" max="7" width="5" style="11" customWidth="1"/>
    <col min="8" max="8" width="19.5703125" style="11" customWidth="1"/>
    <col min="9" max="9" width="15.7109375" style="11" customWidth="1"/>
    <col min="10" max="10" width="6.42578125" style="11" customWidth="1"/>
    <col min="11" max="12" width="6" style="11" customWidth="1"/>
    <col min="13" max="14" width="6.140625" style="11" customWidth="1"/>
    <col min="15" max="16" width="6.28515625" style="11" customWidth="1"/>
    <col min="17" max="17" width="5.7109375" style="11" customWidth="1"/>
    <col min="18" max="18" width="6.5703125" style="11" customWidth="1"/>
    <col min="19" max="19" width="7.140625" style="11" customWidth="1"/>
    <col min="20" max="21" width="2.85546875" style="11" customWidth="1"/>
    <col min="22" max="16384" width="9.140625" style="11"/>
  </cols>
  <sheetData>
    <row r="1" spans="1:80" ht="15" customHeight="1">
      <c r="A1" s="1109" t="s">
        <v>550</v>
      </c>
      <c r="B1" s="1110"/>
      <c r="C1" s="1093" t="s">
        <v>0</v>
      </c>
      <c r="D1" s="1091"/>
      <c r="E1" s="1091"/>
      <c r="F1" s="1091"/>
      <c r="G1" s="1091"/>
      <c r="H1" s="839"/>
      <c r="I1" s="1091" t="s">
        <v>1</v>
      </c>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5"/>
      <c r="I2" s="1092">
        <f>'فرم الف'!A27</f>
        <v>0</v>
      </c>
      <c r="J2" s="1092"/>
      <c r="K2" s="1092"/>
      <c r="L2" s="1092"/>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174" t="s">
        <v>554</v>
      </c>
      <c r="B3" s="1174"/>
      <c r="C3" s="1118"/>
      <c r="D3" s="1118"/>
      <c r="E3" s="1118"/>
      <c r="F3" s="1118"/>
      <c r="G3" s="1118"/>
      <c r="H3" s="1118"/>
      <c r="I3" s="1118"/>
      <c r="J3" s="1118"/>
      <c r="K3" s="1118"/>
      <c r="L3" s="1118"/>
      <c r="M3" s="1118"/>
      <c r="N3" s="1118"/>
      <c r="O3" s="1118"/>
      <c r="P3" s="1118"/>
      <c r="Q3" s="1118"/>
      <c r="R3" s="1118"/>
      <c r="S3" s="1119" t="s">
        <v>555</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556</v>
      </c>
      <c r="C4" s="1123"/>
      <c r="D4" s="1123"/>
      <c r="E4" s="1123"/>
      <c r="F4" s="1123"/>
      <c r="G4" s="1124"/>
      <c r="H4" s="1122" t="s">
        <v>557</v>
      </c>
      <c r="I4" s="1136"/>
      <c r="J4" s="1136" t="s">
        <v>1176</v>
      </c>
      <c r="K4" s="1128" t="s">
        <v>458</v>
      </c>
      <c r="L4" s="1136" t="s">
        <v>1180</v>
      </c>
      <c r="M4" s="1122" t="s">
        <v>501</v>
      </c>
      <c r="N4" s="1136"/>
      <c r="O4" s="1122" t="s">
        <v>1272</v>
      </c>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121"/>
      <c r="B5" s="1125"/>
      <c r="C5" s="1126"/>
      <c r="D5" s="1126"/>
      <c r="E5" s="1126"/>
      <c r="F5" s="1126"/>
      <c r="G5" s="1127"/>
      <c r="H5" s="1131"/>
      <c r="I5" s="1137"/>
      <c r="J5" s="1137"/>
      <c r="K5" s="1129"/>
      <c r="L5" s="1137"/>
      <c r="M5" s="1131"/>
      <c r="N5" s="1137"/>
      <c r="O5" s="1131"/>
      <c r="P5" s="1132"/>
      <c r="Q5" s="847" t="s">
        <v>1268</v>
      </c>
      <c r="R5" s="826" t="s">
        <v>1163</v>
      </c>
      <c r="S5" s="826"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0.25" customHeight="1">
      <c r="A6" s="154">
        <v>1</v>
      </c>
      <c r="B6" s="1175"/>
      <c r="C6" s="1176"/>
      <c r="D6" s="1176"/>
      <c r="E6" s="1176"/>
      <c r="F6" s="1176"/>
      <c r="G6" s="1177"/>
      <c r="H6" s="1180"/>
      <c r="I6" s="1181"/>
      <c r="J6" s="774"/>
      <c r="K6" s="778"/>
      <c r="L6" s="774"/>
      <c r="M6" s="1178" t="str">
        <f>IF(H6='Data Base'!$Q$67,'Data Base'!$V$67,IF(H6='Data Base'!$Q$68,'Data Base'!$V$68,IF(H6='Data Base'!$Q$69,'Data Base'!$V$69,IF(H6='Data Base'!$Q$70,'Data Base'!$V$70,IF(H6='Data Base'!$Q$71,'Data Base'!$V$71,IF(H6='Data Base'!$Q$72,'Data Base'!$V$72,""))))))</f>
        <v/>
      </c>
      <c r="N6" s="1179"/>
      <c r="O6" s="1180"/>
      <c r="P6" s="1181"/>
      <c r="Q6" s="811">
        <f>IF(R6='Data Base'!$Q$79,0,IF(AND(H6='Data Base'!$Q$67,J6='Data Base'!$R$66),'Data Base'!$R$67,IF(AND(H6='Data Base'!$Q$67,J6='Data Base'!$S$66),'Data Base'!$S$67,IF(AND(H6='Data Base'!$Q$67,J6='Data Base'!$T$66),'Data Base'!$T$67,IF(AND(H6='Data Base'!$Q$67,J6='Data Base'!$U$66),'Data Base'!$U$67,IF(AND(H6='Data Base'!$Q$68,J6='Data Base'!$R$66),'Data Base'!$R$68,IF(AND(H6='Data Base'!$Q$68,J6='Data Base'!$S$66),'Data Base'!$S$68,IF(AND(H6='Data Base'!$Q$68,J6='Data Base'!$T$66),'Data Base'!$T$68,IF(AND(H6='Data Base'!$Q$68,J6='Data Base'!$U$66),'Data Base'!$U$68,IF(H6='Data Base'!$Q$69,'Data Base'!$R$69,IF(H6='Data Base'!$Q$70,'Data Base'!$R$70,IF(AND(H6='Data Base'!$Q$71,J6='Data Base'!$R$66),'Data Base'!$R$71,IF(AND(H6='Data Base'!$Q$71,J6='Data Base'!$S$66),'Data Base'!$S$71,IF(AND(H6='Data Base'!$Q$71,J6='Data Base'!$T$66),'Data Base'!$T$71,IF(AND(H6='Data Base'!$Q$71,J6='Data Base'!$U$66),'Data Base'!$U$71,IF(AND(H6='Data Base'!$Q$72,J6='Data Base'!$R$66),L6/'Data Base'!$R$73*'Data Base'!$R$72,IF(AND(H6='Data Base'!$Q$72,J6='Data Base'!$S$66),L6/'Data Base'!$S$73*'Data Base'!$S$72,IF(AND(H6='Data Base'!$Q$72,J6='Data Base'!$T$66),L6/'Data Base'!$T$73*'Data Base'!$T$72,IF(AND(H6='Data Base'!$Q$72,J6='Data Base'!$U$66),'Data Base'!$U$72,)))))))))))))))))))</f>
        <v>0</v>
      </c>
      <c r="R6" s="841"/>
      <c r="S6" s="771"/>
      <c r="T6" s="1172"/>
      <c r="U6" s="1173"/>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0.25">
      <c r="A7" s="152">
        <v>2</v>
      </c>
      <c r="B7" s="1164"/>
      <c r="C7" s="1164"/>
      <c r="D7" s="1164"/>
      <c r="E7" s="1164"/>
      <c r="F7" s="1164"/>
      <c r="G7" s="1164"/>
      <c r="H7" s="1157"/>
      <c r="I7" s="1157"/>
      <c r="J7" s="773"/>
      <c r="K7" s="773"/>
      <c r="L7" s="773"/>
      <c r="M7" s="1165" t="str">
        <f>IF(H7='Data Base'!$Q$67,'Data Base'!$V$67,IF(H7='Data Base'!$Q$68,'Data Base'!$V$68,IF(H7='Data Base'!$Q$69,'Data Base'!$V$69,IF(H7='Data Base'!$Q$70,'Data Base'!$V$70,IF(H7='Data Base'!$Q$71,'Data Base'!$V$71,IF(H7='Data Base'!$Q$72,'Data Base'!$V$72,""))))))</f>
        <v/>
      </c>
      <c r="N7" s="1166"/>
      <c r="O7" s="1157"/>
      <c r="P7" s="1157"/>
      <c r="Q7" s="809">
        <f>IF(R7='Data Base'!$Q$79,0,IF(AND(H7='Data Base'!$Q$67,J7='Data Base'!$R$66),'Data Base'!$R$67,IF(AND(H7='Data Base'!$Q$67,J7='Data Base'!$S$66),'Data Base'!$S$67,IF(AND(H7='Data Base'!$Q$67,J7='Data Base'!$T$66),'Data Base'!$T$67,IF(AND(H7='Data Base'!$Q$67,J7='Data Base'!$U$66),'Data Base'!$U$67,IF(AND(H7='Data Base'!$Q$68,J7='Data Base'!$R$66),'Data Base'!$R$68,IF(AND(H7='Data Base'!$Q$68,J7='Data Base'!$S$66),'Data Base'!$S$68,IF(AND(H7='Data Base'!$Q$68,J7='Data Base'!$T$66),'Data Base'!$T$68,IF(AND(H7='Data Base'!$Q$68,J7='Data Base'!$U$66),'Data Base'!$U$68,IF(H7='Data Base'!$Q$69,'Data Base'!$R$69,IF(H7='Data Base'!$Q$70,'Data Base'!$R$70,IF(AND(H7='Data Base'!$Q$71,J7='Data Base'!$R$66),'Data Base'!$R$71,IF(AND(H7='Data Base'!$Q$71,J7='Data Base'!$S$66),'Data Base'!$S$71,IF(AND(H7='Data Base'!$Q$71,J7='Data Base'!$T$66),'Data Base'!$T$71,IF(AND(H7='Data Base'!$Q$71,J7='Data Base'!$U$66),'Data Base'!$U$71,IF(AND(H7='Data Base'!$Q$72,J7='Data Base'!$R$66),L7/'Data Base'!$R$73*'Data Base'!$R$72,IF(AND(H7='Data Base'!$Q$72,J7='Data Base'!$S$66),L7/'Data Base'!$S$73*'Data Base'!$S$72,IF(AND(H7='Data Base'!$Q$72,J7='Data Base'!$T$66),L7/'Data Base'!$T$73*'Data Base'!$T$72,IF(AND(H7='Data Base'!$Q$72,J7='Data Base'!$U$66),'Data Base'!$U$72,)))))))))))))))))))</f>
        <v>0</v>
      </c>
      <c r="R7" s="842"/>
      <c r="S7" s="767"/>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0.25">
      <c r="A8" s="152">
        <v>3</v>
      </c>
      <c r="B8" s="1164"/>
      <c r="C8" s="1164"/>
      <c r="D8" s="1164"/>
      <c r="E8" s="1164"/>
      <c r="F8" s="1164"/>
      <c r="G8" s="1164"/>
      <c r="H8" s="1157"/>
      <c r="I8" s="1157"/>
      <c r="J8" s="773"/>
      <c r="K8" s="773"/>
      <c r="L8" s="773"/>
      <c r="M8" s="1165" t="str">
        <f>IF(H8='Data Base'!$Q$67,'Data Base'!$V$67,IF(H8='Data Base'!$Q$68,'Data Base'!$V$68,IF(H8='Data Base'!$Q$69,'Data Base'!$V$69,IF(H8='Data Base'!$Q$70,'Data Base'!$V$70,IF(H8='Data Base'!$Q$71,'Data Base'!$V$71,IF(H8='Data Base'!$Q$72,'Data Base'!$V$72,""))))))</f>
        <v/>
      </c>
      <c r="N8" s="1166"/>
      <c r="O8" s="1157"/>
      <c r="P8" s="1157"/>
      <c r="Q8" s="809">
        <f>IF(R8='Data Base'!$Q$79,0,IF(AND(H8='Data Base'!$Q$67,J8='Data Base'!$R$66),'Data Base'!$R$67,IF(AND(H8='Data Base'!$Q$67,J8='Data Base'!$S$66),'Data Base'!$S$67,IF(AND(H8='Data Base'!$Q$67,J8='Data Base'!$T$66),'Data Base'!$T$67,IF(AND(H8='Data Base'!$Q$67,J8='Data Base'!$U$66),'Data Base'!$U$67,IF(AND(H8='Data Base'!$Q$68,J8='Data Base'!$R$66),'Data Base'!$R$68,IF(AND(H8='Data Base'!$Q$68,J8='Data Base'!$S$66),'Data Base'!$S$68,IF(AND(H8='Data Base'!$Q$68,J8='Data Base'!$T$66),'Data Base'!$T$68,IF(AND(H8='Data Base'!$Q$68,J8='Data Base'!$U$66),'Data Base'!$U$68,IF(H8='Data Base'!$Q$69,'Data Base'!$R$69,IF(H8='Data Base'!$Q$70,'Data Base'!$R$70,IF(AND(H8='Data Base'!$Q$71,J8='Data Base'!$R$66),'Data Base'!$R$71,IF(AND(H8='Data Base'!$Q$71,J8='Data Base'!$S$66),'Data Base'!$S$71,IF(AND(H8='Data Base'!$Q$71,J8='Data Base'!$T$66),'Data Base'!$T$71,IF(AND(H8='Data Base'!$Q$71,J8='Data Base'!$U$66),'Data Base'!$U$71,IF(AND(H8='Data Base'!$Q$72,J8='Data Base'!$R$66),L8/'Data Base'!$R$73*'Data Base'!$R$72,IF(AND(H8='Data Base'!$Q$72,J8='Data Base'!$S$66),L8/'Data Base'!$S$73*'Data Base'!$S$72,IF(AND(H8='Data Base'!$Q$72,J8='Data Base'!$T$66),L8/'Data Base'!$T$73*'Data Base'!$T$72,IF(AND(H8='Data Base'!$Q$72,J8='Data Base'!$U$66),'Data Base'!$U$72,)))))))))))))))))))</f>
        <v>0</v>
      </c>
      <c r="R8" s="842"/>
      <c r="S8" s="767"/>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20.25">
      <c r="A9" s="152">
        <v>4</v>
      </c>
      <c r="B9" s="1164"/>
      <c r="C9" s="1164"/>
      <c r="D9" s="1164"/>
      <c r="E9" s="1164"/>
      <c r="F9" s="1164"/>
      <c r="G9" s="1164"/>
      <c r="H9" s="1157"/>
      <c r="I9" s="1157"/>
      <c r="J9" s="773"/>
      <c r="K9" s="773"/>
      <c r="L9" s="773"/>
      <c r="M9" s="1165" t="str">
        <f>IF(H9='Data Base'!$Q$67,'Data Base'!$V$67,IF(H9='Data Base'!$Q$68,'Data Base'!$V$68,IF(H9='Data Base'!$Q$69,'Data Base'!$V$69,IF(H9='Data Base'!$Q$70,'Data Base'!$V$70,IF(H9='Data Base'!$Q$71,'Data Base'!$V$71,IF(H9='Data Base'!$Q$72,'Data Base'!$V$72,""))))))</f>
        <v/>
      </c>
      <c r="N9" s="1166"/>
      <c r="O9" s="1157"/>
      <c r="P9" s="1157"/>
      <c r="Q9" s="809">
        <f>IF(R9='Data Base'!$Q$79,0,IF(AND(H9='Data Base'!$Q$67,J9='Data Base'!$R$66),'Data Base'!$R$67,IF(AND(H9='Data Base'!$Q$67,J9='Data Base'!$S$66),'Data Base'!$S$67,IF(AND(H9='Data Base'!$Q$67,J9='Data Base'!$T$66),'Data Base'!$T$67,IF(AND(H9='Data Base'!$Q$67,J9='Data Base'!$U$66),'Data Base'!$U$67,IF(AND(H9='Data Base'!$Q$68,J9='Data Base'!$R$66),'Data Base'!$R$68,IF(AND(H9='Data Base'!$Q$68,J9='Data Base'!$S$66),'Data Base'!$S$68,IF(AND(H9='Data Base'!$Q$68,J9='Data Base'!$T$66),'Data Base'!$T$68,IF(AND(H9='Data Base'!$Q$68,J9='Data Base'!$U$66),'Data Base'!$U$68,IF(H9='Data Base'!$Q$69,'Data Base'!$R$69,IF(H9='Data Base'!$Q$70,'Data Base'!$R$70,IF(AND(H9='Data Base'!$Q$71,J9='Data Base'!$R$66),'Data Base'!$R$71,IF(AND(H9='Data Base'!$Q$71,J9='Data Base'!$S$66),'Data Base'!$S$71,IF(AND(H9='Data Base'!$Q$71,J9='Data Base'!$T$66),'Data Base'!$T$71,IF(AND(H9='Data Base'!$Q$71,J9='Data Base'!$U$66),'Data Base'!$U$71,IF(AND(H9='Data Base'!$Q$72,J9='Data Base'!$R$66),L9/'Data Base'!$R$73*'Data Base'!$R$72,IF(AND(H9='Data Base'!$Q$72,J9='Data Base'!$S$66),L9/'Data Base'!$S$73*'Data Base'!$S$72,IF(AND(H9='Data Base'!$Q$72,J9='Data Base'!$T$66),L9/'Data Base'!$T$73*'Data Base'!$T$72,IF(AND(H9='Data Base'!$Q$72,J9='Data Base'!$U$66),'Data Base'!$U$72,)))))))))))))))))))</f>
        <v>0</v>
      </c>
      <c r="R9" s="842"/>
      <c r="S9" s="767"/>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0.25">
      <c r="A10" s="152">
        <v>5</v>
      </c>
      <c r="B10" s="1164"/>
      <c r="C10" s="1164"/>
      <c r="D10" s="1164"/>
      <c r="E10" s="1164"/>
      <c r="F10" s="1164"/>
      <c r="G10" s="1164"/>
      <c r="H10" s="1157"/>
      <c r="I10" s="1157"/>
      <c r="J10" s="773"/>
      <c r="K10" s="773"/>
      <c r="L10" s="773"/>
      <c r="M10" s="1165" t="str">
        <f>IF(H10='Data Base'!$Q$67,'Data Base'!$V$67,IF(H10='Data Base'!$Q$68,'Data Base'!$V$68,IF(H10='Data Base'!$Q$69,'Data Base'!$V$69,IF(H10='Data Base'!$Q$70,'Data Base'!$V$70,IF(H10='Data Base'!$Q$71,'Data Base'!$V$71,IF(H10='Data Base'!$Q$72,'Data Base'!$V$72,""))))))</f>
        <v/>
      </c>
      <c r="N10" s="1166"/>
      <c r="O10" s="1157"/>
      <c r="P10" s="1157"/>
      <c r="Q10" s="809">
        <f>IF(R10='Data Base'!$Q$79,0,IF(AND(H10='Data Base'!$Q$67,J10='Data Base'!$R$66),'Data Base'!$R$67,IF(AND(H10='Data Base'!$Q$67,J10='Data Base'!$S$66),'Data Base'!$S$67,IF(AND(H10='Data Base'!$Q$67,J10='Data Base'!$T$66),'Data Base'!$T$67,IF(AND(H10='Data Base'!$Q$67,J10='Data Base'!$U$66),'Data Base'!$U$67,IF(AND(H10='Data Base'!$Q$68,J10='Data Base'!$R$66),'Data Base'!$R$68,IF(AND(H10='Data Base'!$Q$68,J10='Data Base'!$S$66),'Data Base'!$S$68,IF(AND(H10='Data Base'!$Q$68,J10='Data Base'!$T$66),'Data Base'!$T$68,IF(AND(H10='Data Base'!$Q$68,J10='Data Base'!$U$66),'Data Base'!$U$68,IF(H10='Data Base'!$Q$69,'Data Base'!$R$69,IF(H10='Data Base'!$Q$70,'Data Base'!$R$70,IF(AND(H10='Data Base'!$Q$71,J10='Data Base'!$R$66),'Data Base'!$R$71,IF(AND(H10='Data Base'!$Q$71,J10='Data Base'!$S$66),'Data Base'!$S$71,IF(AND(H10='Data Base'!$Q$71,J10='Data Base'!$T$66),'Data Base'!$T$71,IF(AND(H10='Data Base'!$Q$71,J10='Data Base'!$U$66),'Data Base'!$U$71,IF(AND(H10='Data Base'!$Q$72,J10='Data Base'!$R$66),L10/'Data Base'!$R$73*'Data Base'!$R$72,IF(AND(H10='Data Base'!$Q$72,J10='Data Base'!$S$66),L10/'Data Base'!$S$73*'Data Base'!$S$72,IF(AND(H10='Data Base'!$Q$72,J10='Data Base'!$T$66),L10/'Data Base'!$T$73*'Data Base'!$T$72,IF(AND(H10='Data Base'!$Q$72,J10='Data Base'!$U$66),'Data Base'!$U$72,)))))))))))))))))))</f>
        <v>0</v>
      </c>
      <c r="R10" s="842"/>
      <c r="S10" s="767"/>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0.25">
      <c r="A11" s="152">
        <v>6</v>
      </c>
      <c r="B11" s="1164"/>
      <c r="C11" s="1164"/>
      <c r="D11" s="1164"/>
      <c r="E11" s="1164"/>
      <c r="F11" s="1164"/>
      <c r="G11" s="1164"/>
      <c r="H11" s="1157"/>
      <c r="I11" s="1157"/>
      <c r="J11" s="773"/>
      <c r="K11" s="773"/>
      <c r="L11" s="773"/>
      <c r="M11" s="1165" t="str">
        <f>IF(H11='Data Base'!$Q$67,'Data Base'!$V$67,IF(H11='Data Base'!$Q$68,'Data Base'!$V$68,IF(H11='Data Base'!$Q$69,'Data Base'!$V$69,IF(H11='Data Base'!$Q$70,'Data Base'!$V$70,IF(H11='Data Base'!$Q$71,'Data Base'!$V$71,IF(H11='Data Base'!$Q$72,'Data Base'!$V$72,""))))))</f>
        <v/>
      </c>
      <c r="N11" s="1166"/>
      <c r="O11" s="1157"/>
      <c r="P11" s="1157"/>
      <c r="Q11" s="809">
        <f>IF(R11='Data Base'!$Q$79,0,IF(AND(H11='Data Base'!$Q$67,J11='Data Base'!$R$66),'Data Base'!$R$67,IF(AND(H11='Data Base'!$Q$67,J11='Data Base'!$S$66),'Data Base'!$S$67,IF(AND(H11='Data Base'!$Q$67,J11='Data Base'!$T$66),'Data Base'!$T$67,IF(AND(H11='Data Base'!$Q$67,J11='Data Base'!$U$66),'Data Base'!$U$67,IF(AND(H11='Data Base'!$Q$68,J11='Data Base'!$R$66),'Data Base'!$R$68,IF(AND(H11='Data Base'!$Q$68,J11='Data Base'!$S$66),'Data Base'!$S$68,IF(AND(H11='Data Base'!$Q$68,J11='Data Base'!$T$66),'Data Base'!$T$68,IF(AND(H11='Data Base'!$Q$68,J11='Data Base'!$U$66),'Data Base'!$U$68,IF(H11='Data Base'!$Q$69,'Data Base'!$R$69,IF(H11='Data Base'!$Q$70,'Data Base'!$R$70,IF(AND(H11='Data Base'!$Q$71,J11='Data Base'!$R$66),'Data Base'!$R$71,IF(AND(H11='Data Base'!$Q$71,J11='Data Base'!$S$66),'Data Base'!$S$71,IF(AND(H11='Data Base'!$Q$71,J11='Data Base'!$T$66),'Data Base'!$T$71,IF(AND(H11='Data Base'!$Q$71,J11='Data Base'!$U$66),'Data Base'!$U$71,IF(AND(H11='Data Base'!$Q$72,J11='Data Base'!$R$66),L11/'Data Base'!$R$73*'Data Base'!$R$72,IF(AND(H11='Data Base'!$Q$72,J11='Data Base'!$S$66),L11/'Data Base'!$S$73*'Data Base'!$S$72,IF(AND(H11='Data Base'!$Q$72,J11='Data Base'!$T$66),L11/'Data Base'!$T$73*'Data Base'!$T$72,IF(AND(H11='Data Base'!$Q$72,J11='Data Base'!$U$66),'Data Base'!$U$72,)))))))))))))))))))</f>
        <v>0</v>
      </c>
      <c r="R11" s="842"/>
      <c r="S11" s="767"/>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0.25">
      <c r="A12" s="152">
        <v>7</v>
      </c>
      <c r="B12" s="1164"/>
      <c r="C12" s="1164"/>
      <c r="D12" s="1164"/>
      <c r="E12" s="1164"/>
      <c r="F12" s="1164"/>
      <c r="G12" s="1164"/>
      <c r="H12" s="1157"/>
      <c r="I12" s="1157"/>
      <c r="J12" s="773"/>
      <c r="K12" s="773"/>
      <c r="L12" s="773"/>
      <c r="M12" s="1165" t="str">
        <f>IF(H12='Data Base'!$Q$67,'Data Base'!$V$67,IF(H12='Data Base'!$Q$68,'Data Base'!$V$68,IF(H12='Data Base'!$Q$69,'Data Base'!$V$69,IF(H12='Data Base'!$Q$70,'Data Base'!$V$70,IF(H12='Data Base'!$Q$71,'Data Base'!$V$71,IF(H12='Data Base'!$Q$72,'Data Base'!$V$72,""))))))</f>
        <v/>
      </c>
      <c r="N12" s="1166"/>
      <c r="O12" s="1157"/>
      <c r="P12" s="1157"/>
      <c r="Q12" s="809">
        <f>IF(R12='Data Base'!$Q$79,0,IF(AND(H12='Data Base'!$Q$67,J12='Data Base'!$R$66),'Data Base'!$R$67,IF(AND(H12='Data Base'!$Q$67,J12='Data Base'!$S$66),'Data Base'!$S$67,IF(AND(H12='Data Base'!$Q$67,J12='Data Base'!$T$66),'Data Base'!$T$67,IF(AND(H12='Data Base'!$Q$67,J12='Data Base'!$U$66),'Data Base'!$U$67,IF(AND(H12='Data Base'!$Q$68,J12='Data Base'!$R$66),'Data Base'!$R$68,IF(AND(H12='Data Base'!$Q$68,J12='Data Base'!$S$66),'Data Base'!$S$68,IF(AND(H12='Data Base'!$Q$68,J12='Data Base'!$T$66),'Data Base'!$T$68,IF(AND(H12='Data Base'!$Q$68,J12='Data Base'!$U$66),'Data Base'!$U$68,IF(H12='Data Base'!$Q$69,'Data Base'!$R$69,IF(H12='Data Base'!$Q$70,'Data Base'!$R$70,IF(AND(H12='Data Base'!$Q$71,J12='Data Base'!$R$66),'Data Base'!$R$71,IF(AND(H12='Data Base'!$Q$71,J12='Data Base'!$S$66),'Data Base'!$S$71,IF(AND(H12='Data Base'!$Q$71,J12='Data Base'!$T$66),'Data Base'!$T$71,IF(AND(H12='Data Base'!$Q$71,J12='Data Base'!$U$66),'Data Base'!$U$71,IF(AND(H12='Data Base'!$Q$72,J12='Data Base'!$R$66),L12/'Data Base'!$R$73*'Data Base'!$R$72,IF(AND(H12='Data Base'!$Q$72,J12='Data Base'!$S$66),L12/'Data Base'!$S$73*'Data Base'!$S$72,IF(AND(H12='Data Base'!$Q$72,J12='Data Base'!$T$66),L12/'Data Base'!$T$73*'Data Base'!$T$72,IF(AND(H12='Data Base'!$Q$72,J12='Data Base'!$U$66),'Data Base'!$U$72,)))))))))))))))))))</f>
        <v>0</v>
      </c>
      <c r="R12" s="842"/>
      <c r="S12" s="767"/>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0.25">
      <c r="A13" s="152">
        <v>8</v>
      </c>
      <c r="B13" s="1164"/>
      <c r="C13" s="1164"/>
      <c r="D13" s="1164"/>
      <c r="E13" s="1164"/>
      <c r="F13" s="1164"/>
      <c r="G13" s="1164"/>
      <c r="H13" s="1157"/>
      <c r="I13" s="1157"/>
      <c r="J13" s="773"/>
      <c r="K13" s="773"/>
      <c r="L13" s="773"/>
      <c r="M13" s="1165" t="str">
        <f>IF(H13='Data Base'!$Q$67,'Data Base'!$V$67,IF(H13='Data Base'!$Q$68,'Data Base'!$V$68,IF(H13='Data Base'!$Q$69,'Data Base'!$V$69,IF(H13='Data Base'!$Q$70,'Data Base'!$V$70,IF(H13='Data Base'!$Q$71,'Data Base'!$V$71,IF(H13='Data Base'!$Q$72,'Data Base'!$V$72,""))))))</f>
        <v/>
      </c>
      <c r="N13" s="1166"/>
      <c r="O13" s="1157"/>
      <c r="P13" s="1157"/>
      <c r="Q13" s="809">
        <f>IF(R13='Data Base'!$Q$79,0,IF(AND(H13='Data Base'!$Q$67,J13='Data Base'!$R$66),'Data Base'!$R$67,IF(AND(H13='Data Base'!$Q$67,J13='Data Base'!$S$66),'Data Base'!$S$67,IF(AND(H13='Data Base'!$Q$67,J13='Data Base'!$T$66),'Data Base'!$T$67,IF(AND(H13='Data Base'!$Q$67,J13='Data Base'!$U$66),'Data Base'!$U$67,IF(AND(H13='Data Base'!$Q$68,J13='Data Base'!$R$66),'Data Base'!$R$68,IF(AND(H13='Data Base'!$Q$68,J13='Data Base'!$S$66),'Data Base'!$S$68,IF(AND(H13='Data Base'!$Q$68,J13='Data Base'!$T$66),'Data Base'!$T$68,IF(AND(H13='Data Base'!$Q$68,J13='Data Base'!$U$66),'Data Base'!$U$68,IF(H13='Data Base'!$Q$69,'Data Base'!$R$69,IF(H13='Data Base'!$Q$70,'Data Base'!$R$70,IF(AND(H13='Data Base'!$Q$71,J13='Data Base'!$R$66),'Data Base'!$R$71,IF(AND(H13='Data Base'!$Q$71,J13='Data Base'!$S$66),'Data Base'!$S$71,IF(AND(H13='Data Base'!$Q$71,J13='Data Base'!$T$66),'Data Base'!$T$71,IF(AND(H13='Data Base'!$Q$71,J13='Data Base'!$U$66),'Data Base'!$U$71,IF(AND(H13='Data Base'!$Q$72,J13='Data Base'!$R$66),L13/'Data Base'!$R$73*'Data Base'!$R$72,IF(AND(H13='Data Base'!$Q$72,J13='Data Base'!$S$66),L13/'Data Base'!$S$73*'Data Base'!$S$72,IF(AND(H13='Data Base'!$Q$72,J13='Data Base'!$T$66),L13/'Data Base'!$T$73*'Data Base'!$T$72,IF(AND(H13='Data Base'!$Q$72,J13='Data Base'!$U$66),'Data Base'!$U$72,)))))))))))))))))))</f>
        <v>0</v>
      </c>
      <c r="R13" s="842"/>
      <c r="S13" s="767"/>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0.25">
      <c r="A14" s="152">
        <v>9</v>
      </c>
      <c r="B14" s="1164"/>
      <c r="C14" s="1164"/>
      <c r="D14" s="1164"/>
      <c r="E14" s="1164"/>
      <c r="F14" s="1164"/>
      <c r="G14" s="1164"/>
      <c r="H14" s="1157"/>
      <c r="I14" s="1157"/>
      <c r="J14" s="773"/>
      <c r="K14" s="773"/>
      <c r="L14" s="773"/>
      <c r="M14" s="1165" t="str">
        <f>IF(H14='Data Base'!$Q$67,'Data Base'!$V$67,IF(H14='Data Base'!$Q$68,'Data Base'!$V$68,IF(H14='Data Base'!$Q$69,'Data Base'!$V$69,IF(H14='Data Base'!$Q$70,'Data Base'!$V$70,IF(H14='Data Base'!$Q$71,'Data Base'!$V$71,IF(H14='Data Base'!$Q$72,'Data Base'!$V$72,""))))))</f>
        <v/>
      </c>
      <c r="N14" s="1166"/>
      <c r="O14" s="1157"/>
      <c r="P14" s="1157"/>
      <c r="Q14" s="809">
        <f>IF(R14='Data Base'!$Q$79,0,IF(AND(H14='Data Base'!$Q$67,J14='Data Base'!$R$66),'Data Base'!$R$67,IF(AND(H14='Data Base'!$Q$67,J14='Data Base'!$S$66),'Data Base'!$S$67,IF(AND(H14='Data Base'!$Q$67,J14='Data Base'!$T$66),'Data Base'!$T$67,IF(AND(H14='Data Base'!$Q$67,J14='Data Base'!$U$66),'Data Base'!$U$67,IF(AND(H14='Data Base'!$Q$68,J14='Data Base'!$R$66),'Data Base'!$R$68,IF(AND(H14='Data Base'!$Q$68,J14='Data Base'!$S$66),'Data Base'!$S$68,IF(AND(H14='Data Base'!$Q$68,J14='Data Base'!$T$66),'Data Base'!$T$68,IF(AND(H14='Data Base'!$Q$68,J14='Data Base'!$U$66),'Data Base'!$U$68,IF(H14='Data Base'!$Q$69,'Data Base'!$R$69,IF(H14='Data Base'!$Q$70,'Data Base'!$R$70,IF(AND(H14='Data Base'!$Q$71,J14='Data Base'!$R$66),'Data Base'!$R$71,IF(AND(H14='Data Base'!$Q$71,J14='Data Base'!$S$66),'Data Base'!$S$71,IF(AND(H14='Data Base'!$Q$71,J14='Data Base'!$T$66),'Data Base'!$T$71,IF(AND(H14='Data Base'!$Q$71,J14='Data Base'!$U$66),'Data Base'!$U$71,IF(AND(H14='Data Base'!$Q$72,J14='Data Base'!$R$66),L14/'Data Base'!$R$73*'Data Base'!$R$72,IF(AND(H14='Data Base'!$Q$72,J14='Data Base'!$S$66),L14/'Data Base'!$S$73*'Data Base'!$S$72,IF(AND(H14='Data Base'!$Q$72,J14='Data Base'!$T$66),L14/'Data Base'!$T$73*'Data Base'!$T$72,IF(AND(H14='Data Base'!$Q$72,J14='Data Base'!$U$66),'Data Base'!$U$72,)))))))))))))))))))</f>
        <v>0</v>
      </c>
      <c r="R14" s="842"/>
      <c r="S14" s="767"/>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1" thickBot="1">
      <c r="A15" s="775">
        <v>10</v>
      </c>
      <c r="B15" s="1167"/>
      <c r="C15" s="1168"/>
      <c r="D15" s="1168"/>
      <c r="E15" s="1168"/>
      <c r="F15" s="1168"/>
      <c r="G15" s="1169"/>
      <c r="H15" s="1182"/>
      <c r="I15" s="1182"/>
      <c r="J15" s="777"/>
      <c r="K15" s="779"/>
      <c r="L15" s="777"/>
      <c r="M15" s="1170" t="str">
        <f>IF(H15='Data Base'!$Q$67,'Data Base'!$V$67,IF(H15='Data Base'!$Q$68,'Data Base'!$V$68,IF(H15='Data Base'!$Q$69,'Data Base'!$V$69,IF(H15='Data Base'!$Q$70,'Data Base'!$V$70,IF(H15='Data Base'!$Q$71,'Data Base'!$V$71,IF(H15='Data Base'!$Q$72,'Data Base'!$V$72,""))))))</f>
        <v/>
      </c>
      <c r="N15" s="1171"/>
      <c r="O15" s="1160"/>
      <c r="P15" s="1161"/>
      <c r="Q15" s="813">
        <f>IF(R15='Data Base'!$Q$79,0,IF(AND(H15='Data Base'!$Q$67,J15='Data Base'!$R$66),'Data Base'!$R$67,IF(AND(H15='Data Base'!$Q$67,J15='Data Base'!$S$66),'Data Base'!$S$67,IF(AND(H15='Data Base'!$Q$67,J15='Data Base'!$T$66),'Data Base'!$T$67,IF(AND(H15='Data Base'!$Q$67,J15='Data Base'!$U$66),'Data Base'!$U$67,IF(AND(H15='Data Base'!$Q$68,J15='Data Base'!$R$66),'Data Base'!$R$68,IF(AND(H15='Data Base'!$Q$68,J15='Data Base'!$S$66),'Data Base'!$S$68,IF(AND(H15='Data Base'!$Q$68,J15='Data Base'!$T$66),'Data Base'!$T$68,IF(AND(H15='Data Base'!$Q$68,J15='Data Base'!$U$66),'Data Base'!$U$68,IF(H15='Data Base'!$Q$69,'Data Base'!$R$69,IF(H15='Data Base'!$Q$70,'Data Base'!$R$70,IF(AND(H15='Data Base'!$Q$71,J15='Data Base'!$R$66),'Data Base'!$R$71,IF(AND(H15='Data Base'!$Q$71,J15='Data Base'!$S$66),'Data Base'!$S$71,IF(AND(H15='Data Base'!$Q$71,J15='Data Base'!$T$66),'Data Base'!$T$71,IF(AND(H15='Data Base'!$Q$71,J15='Data Base'!$U$66),'Data Base'!$U$71,IF(AND(H15='Data Base'!$Q$72,J15='Data Base'!$R$66),L15/'Data Base'!$R$73*'Data Base'!$R$72,IF(AND(H15='Data Base'!$Q$72,J15='Data Base'!$S$66),L15/'Data Base'!$S$73*'Data Base'!$S$72,IF(AND(H15='Data Base'!$Q$72,J15='Data Base'!$T$66),L15/'Data Base'!$T$73*'Data Base'!$T$72,IF(AND(H15='Data Base'!$Q$72,J15='Data Base'!$U$66),'Data Base'!$U$72,)))))))))))))))))))</f>
        <v>0</v>
      </c>
      <c r="R15" s="843"/>
      <c r="S15" s="776"/>
      <c r="T15" s="1158"/>
      <c r="U15" s="1159"/>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378</v>
      </c>
      <c r="B16" s="1144"/>
      <c r="C16" s="1144"/>
      <c r="D16" s="1144"/>
      <c r="E16" s="1144"/>
      <c r="F16" s="1144"/>
      <c r="G16" s="1144"/>
      <c r="H16" s="1144"/>
      <c r="I16" s="1144"/>
      <c r="J16" s="1144"/>
      <c r="K16" s="1144"/>
      <c r="L16" s="1144"/>
      <c r="M16" s="1144"/>
      <c r="N16" s="1144"/>
      <c r="O16" s="1144"/>
      <c r="P16" s="1144"/>
      <c r="Q16" s="1145"/>
      <c r="R16" s="238">
        <f>SUM(Q6:Q15)</f>
        <v>0</v>
      </c>
      <c r="S16" s="238">
        <f>SUM(S6:S15)</f>
        <v>0</v>
      </c>
      <c r="T16" s="1162"/>
      <c r="U16" s="116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096" t="s">
        <v>558</v>
      </c>
      <c r="B19" s="1097"/>
      <c r="C19" s="1097"/>
      <c r="D19" s="1097"/>
      <c r="E19" s="1097"/>
      <c r="F19" s="1097"/>
      <c r="G19" s="1097"/>
      <c r="H19" s="1097"/>
      <c r="I19" s="1097"/>
      <c r="J19" s="1097"/>
      <c r="K19" s="1097"/>
      <c r="L19" s="1097"/>
      <c r="M19" s="1097"/>
      <c r="N19" s="1097"/>
      <c r="O19" s="1097"/>
      <c r="P19" s="1097"/>
      <c r="Q19" s="1097"/>
      <c r="R19" s="1097"/>
      <c r="S19" s="1097"/>
      <c r="T19" s="1097"/>
      <c r="U19" s="1097"/>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K4L4HYYJwETMutH3SxKKcOpUOA6cCLFvPei7OY08Yqx/DHcqTOExJcON2F4QLs5JednaEmxAvm1Pl1GPtKLxVg==" saltValue="iLI4nZGA2ZgxYN9iRLQThA==" spinCount="100000" sheet="1" objects="1" scenarios="1" formatCells="0" formatRows="0" selectLockedCells="1"/>
  <mergeCells count="78">
    <mergeCell ref="H14:I14"/>
    <mergeCell ref="H15:I15"/>
    <mergeCell ref="O11:P11"/>
    <mergeCell ref="H4:I5"/>
    <mergeCell ref="H6:I6"/>
    <mergeCell ref="H8:I8"/>
    <mergeCell ref="O9:P9"/>
    <mergeCell ref="O10:P10"/>
    <mergeCell ref="Q4:U4"/>
    <mergeCell ref="O6:P6"/>
    <mergeCell ref="O7:P7"/>
    <mergeCell ref="O8:P8"/>
    <mergeCell ref="J4:J5"/>
    <mergeCell ref="L4:L5"/>
    <mergeCell ref="K4:K5"/>
    <mergeCell ref="T8:U8"/>
    <mergeCell ref="O4:P5"/>
    <mergeCell ref="A17:K17"/>
    <mergeCell ref="L17:U17"/>
    <mergeCell ref="A18:K18"/>
    <mergeCell ref="L18:U18"/>
    <mergeCell ref="A3:R3"/>
    <mergeCell ref="S3:U3"/>
    <mergeCell ref="A4:A5"/>
    <mergeCell ref="B4:G5"/>
    <mergeCell ref="M4:N5"/>
    <mergeCell ref="B6:G6"/>
    <mergeCell ref="M6:N6"/>
    <mergeCell ref="B7:G7"/>
    <mergeCell ref="M7:N7"/>
    <mergeCell ref="B8:G8"/>
    <mergeCell ref="M8:N8"/>
    <mergeCell ref="H7:I7"/>
    <mergeCell ref="A1:B2"/>
    <mergeCell ref="C1:G1"/>
    <mergeCell ref="M1:P1"/>
    <mergeCell ref="Q1:U1"/>
    <mergeCell ref="M2:P2"/>
    <mergeCell ref="Q2:U2"/>
    <mergeCell ref="C2:H2"/>
    <mergeCell ref="I2:L2"/>
    <mergeCell ref="I1:L1"/>
    <mergeCell ref="B13:G13"/>
    <mergeCell ref="M13:N13"/>
    <mergeCell ref="H12:I12"/>
    <mergeCell ref="H13:I13"/>
    <mergeCell ref="B9:G9"/>
    <mergeCell ref="M9:N9"/>
    <mergeCell ref="H9:I9"/>
    <mergeCell ref="B10:G10"/>
    <mergeCell ref="M10:N10"/>
    <mergeCell ref="H10:I10"/>
    <mergeCell ref="M11:N11"/>
    <mergeCell ref="H11:I11"/>
    <mergeCell ref="T16:U16"/>
    <mergeCell ref="A19:U19"/>
    <mergeCell ref="T5:U5"/>
    <mergeCell ref="A16:Q16"/>
    <mergeCell ref="B14:G14"/>
    <mergeCell ref="M14:N14"/>
    <mergeCell ref="B15:G15"/>
    <mergeCell ref="M15:N15"/>
    <mergeCell ref="T11:U11"/>
    <mergeCell ref="T12:U12"/>
    <mergeCell ref="T13:U13"/>
    <mergeCell ref="T6:U6"/>
    <mergeCell ref="B11:G11"/>
    <mergeCell ref="T7:U7"/>
    <mergeCell ref="B12:G12"/>
    <mergeCell ref="M12:N12"/>
    <mergeCell ref="T9:U9"/>
    <mergeCell ref="T10:U10"/>
    <mergeCell ref="T14:U14"/>
    <mergeCell ref="O12:P12"/>
    <mergeCell ref="T15:U15"/>
    <mergeCell ref="O13:P13"/>
    <mergeCell ref="O14:P14"/>
    <mergeCell ref="O15:P15"/>
  </mergeCells>
  <conditionalFormatting sqref="B6:H6 O6 J6:L6">
    <cfRule type="containsBlanks" dxfId="245" priority="17">
      <formula>LEN(TRIM(B6))=0</formula>
    </cfRule>
  </conditionalFormatting>
  <conditionalFormatting sqref="B7:G15 K7:K15">
    <cfRule type="containsBlanks" dxfId="244" priority="15">
      <formula>LEN(TRIM(B7))=0</formula>
    </cfRule>
  </conditionalFormatting>
  <conditionalFormatting sqref="H7:H15">
    <cfRule type="containsBlanks" dxfId="243" priority="9">
      <formula>LEN(TRIM(H7))=0</formula>
    </cfRule>
  </conditionalFormatting>
  <conditionalFormatting sqref="J7:J15">
    <cfRule type="containsBlanks" dxfId="242" priority="8">
      <formula>LEN(TRIM(J7))=0</formula>
    </cfRule>
  </conditionalFormatting>
  <conditionalFormatting sqref="L7:L15">
    <cfRule type="containsBlanks" dxfId="241" priority="3">
      <formula>LEN(TRIM(L7))=0</formula>
    </cfRule>
  </conditionalFormatting>
  <conditionalFormatting sqref="O7:O15">
    <cfRule type="containsBlanks" dxfId="240" priority="1">
      <formula>LEN(TRIM(O7))=0</formula>
    </cfRule>
  </conditionalFormatting>
  <dataValidations count="3">
    <dataValidation type="decimal" allowBlank="1" showInputMessage="1" showErrorMessage="1" errorTitle="خطا در ورود امتياز" error="لطفا يك عدد بين صفر و 3 وارد نماييد" promptTitle="توجه:" prompt="حداكثر امتياز در واحد كار تا 3 امتياز" sqref="S6:S15">
      <formula1>0</formula1>
      <formula2>3</formula2>
    </dataValidation>
    <dataValidation allowBlank="1" showInputMessage="1" showErrorMessage="1" errorTitle="توجه:" error="لطفا عنوان هر فعالیت را به تفکیک هر نیم سال وارد فرمایید" sqref="B7:G15"/>
    <dataValidation allowBlank="1" showInputMessage="1" showErrorMessage="1" promptTitle="توجه:" prompt="لطفا عنوان هر فعالیت را به تفکیک هر نیم سال وارد فرمایید" sqref="B6:G6"/>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expression" priority="11" id="{BFE11776-071C-4D5F-8588-43C93F563D3C}">
            <xm:f>H6='Data Base'!$Q$70</xm:f>
            <x14:dxf>
              <fill>
                <patternFill patternType="darkGrid"/>
              </fill>
            </x14:dxf>
          </x14:cfRule>
          <x14:cfRule type="expression" priority="12" id="{FCC94564-660E-4E02-8094-A6F212C83CED}">
            <xm:f>$H$6='Data Base'!$Q$69</xm:f>
            <x14:dxf>
              <fill>
                <patternFill patternType="darkGrid"/>
              </fill>
            </x14:dxf>
          </x14:cfRule>
          <xm:sqref>J6</xm:sqref>
        </x14:conditionalFormatting>
        <x14:conditionalFormatting xmlns:xm="http://schemas.microsoft.com/office/excel/2006/main">
          <x14:cfRule type="expression" priority="10" id="{AA2EA8E6-56DF-4348-8E94-545F115DA14B}">
            <xm:f>H6&lt;&gt;'Data Base'!$Q$72</xm:f>
            <x14:dxf>
              <fill>
                <patternFill patternType="darkGrid"/>
              </fill>
            </x14:dxf>
          </x14:cfRule>
          <xm:sqref>L6</xm:sqref>
        </x14:conditionalFormatting>
        <x14:conditionalFormatting xmlns:xm="http://schemas.microsoft.com/office/excel/2006/main">
          <x14:cfRule type="expression" priority="6" id="{81B4E5A3-E7AE-489D-9346-6A111EE74072}">
            <xm:f>H7='Data Base'!$Q$70</xm:f>
            <x14:dxf>
              <fill>
                <patternFill patternType="darkGrid"/>
              </fill>
            </x14:dxf>
          </x14:cfRule>
          <x14:cfRule type="expression" priority="7" id="{900F95BD-72C2-456E-9DB9-3E9EF069F705}">
            <xm:f>H7='Data Base'!$Q$69</xm:f>
            <x14:dxf>
              <fill>
                <patternFill patternType="darkGrid"/>
              </fill>
            </x14:dxf>
          </x14:cfRule>
          <xm:sqref>J7</xm:sqref>
        </x14:conditionalFormatting>
        <x14:conditionalFormatting xmlns:xm="http://schemas.microsoft.com/office/excel/2006/main">
          <x14:cfRule type="expression" priority="4" id="{26906D9A-513D-4A3F-BC38-34943984FA17}">
            <xm:f>H8='Data Base'!$Q$70</xm:f>
            <x14:dxf>
              <fill>
                <patternFill patternType="darkGrid"/>
              </fill>
            </x14:dxf>
          </x14:cfRule>
          <x14:cfRule type="expression" priority="5" id="{D876897D-68D9-42C3-A93C-E27A69CC0D7B}">
            <xm:f>H8='Data Base'!$Q$69</xm:f>
            <x14:dxf>
              <fill>
                <patternFill patternType="darkGrid"/>
              </fill>
            </x14:dxf>
          </x14:cfRule>
          <xm:sqref>J8:J15</xm:sqref>
        </x14:conditionalFormatting>
        <x14:conditionalFormatting xmlns:xm="http://schemas.microsoft.com/office/excel/2006/main">
          <x14:cfRule type="expression" priority="2" id="{75B60CC9-E6D9-45A6-9AC8-B917227389FA}">
            <xm:f>H7&lt;&gt;'Data Base'!$Q$72</xm:f>
            <x14:dxf>
              <fill>
                <patternFill patternType="darkGrid"/>
              </fill>
            </x14:dxf>
          </x14:cfRule>
          <xm:sqref>L7:L15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Base'!$R$66:$U$66</xm:f>
          </x14:formula1>
          <xm:sqref>J6:J15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Base'!$Q$67:$Q$72</xm:f>
          </x14:formula1>
          <xm:sqref>H6:I15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249977111117893"/>
  </sheetPr>
  <dimension ref="A1:CB50"/>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6.7109375" style="19" customWidth="1"/>
    <col min="8" max="9" width="7.140625" style="19" customWidth="1"/>
    <col min="10" max="11" width="7" style="19" customWidth="1"/>
    <col min="12" max="12" width="5.42578125" style="19" customWidth="1"/>
    <col min="13" max="14" width="8.140625" style="19" customWidth="1"/>
    <col min="15" max="17" width="4.85546875" style="19" customWidth="1"/>
    <col min="18" max="20" width="5.42578125" style="19" customWidth="1"/>
    <col min="21" max="21" width="8.4257812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35.25" customHeight="1" thickBot="1">
      <c r="A3" s="1528" t="s">
        <v>947</v>
      </c>
      <c r="B3" s="1528"/>
      <c r="C3" s="1529"/>
      <c r="D3" s="1529"/>
      <c r="E3" s="1529"/>
      <c r="F3" s="1529"/>
      <c r="G3" s="1529"/>
      <c r="H3" s="1529"/>
      <c r="I3" s="1529"/>
      <c r="J3" s="1529"/>
      <c r="K3" s="1529"/>
      <c r="L3" s="1529"/>
      <c r="M3" s="1529"/>
      <c r="N3" s="1529"/>
      <c r="O3" s="1529"/>
      <c r="P3" s="1529"/>
      <c r="Q3" s="1529"/>
      <c r="R3" s="1529"/>
      <c r="S3" s="1527" t="s">
        <v>494</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495</v>
      </c>
      <c r="C4" s="1645"/>
      <c r="D4" s="1645"/>
      <c r="E4" s="1645"/>
      <c r="F4" s="1645"/>
      <c r="G4" s="1646"/>
      <c r="H4" s="1453" t="s">
        <v>496</v>
      </c>
      <c r="I4" s="1650"/>
      <c r="J4" s="1650"/>
      <c r="K4" s="1650"/>
      <c r="L4" s="1650"/>
      <c r="M4" s="1453" t="s">
        <v>458</v>
      </c>
      <c r="N4" s="1650"/>
      <c r="O4" s="1453" t="s">
        <v>485</v>
      </c>
      <c r="P4" s="1650"/>
      <c r="Q4" s="1454"/>
      <c r="R4" s="1476"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210" t="s">
        <v>487</v>
      </c>
      <c r="I5" s="211" t="s">
        <v>488</v>
      </c>
      <c r="J5" s="1629" t="s">
        <v>489</v>
      </c>
      <c r="K5" s="1798"/>
      <c r="L5" s="1798"/>
      <c r="M5" s="212" t="s">
        <v>491</v>
      </c>
      <c r="N5" s="237" t="s">
        <v>492</v>
      </c>
      <c r="O5" s="211" t="s">
        <v>230</v>
      </c>
      <c r="P5" s="211" t="s">
        <v>231</v>
      </c>
      <c r="Q5" s="211" t="s">
        <v>16</v>
      </c>
      <c r="R5" s="281"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7.5" customHeight="1">
      <c r="A6" s="223">
        <v>1</v>
      </c>
      <c r="B6" s="1404"/>
      <c r="C6" s="1404"/>
      <c r="D6" s="1404"/>
      <c r="E6" s="1404"/>
      <c r="F6" s="1404"/>
      <c r="G6" s="1404"/>
      <c r="H6" s="118"/>
      <c r="I6" s="118"/>
      <c r="J6" s="1404"/>
      <c r="K6" s="1404"/>
      <c r="L6" s="1404"/>
      <c r="M6" s="120"/>
      <c r="N6" s="120"/>
      <c r="O6" s="651"/>
      <c r="P6" s="651"/>
      <c r="Q6" s="65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7.5" customHeight="1">
      <c r="A7" s="224">
        <v>2</v>
      </c>
      <c r="B7" s="1157"/>
      <c r="C7" s="1157"/>
      <c r="D7" s="1157"/>
      <c r="E7" s="1157"/>
      <c r="F7" s="1157"/>
      <c r="G7" s="1157"/>
      <c r="H7" s="57"/>
      <c r="I7" s="57"/>
      <c r="J7" s="1157"/>
      <c r="K7" s="1157"/>
      <c r="L7" s="1157"/>
      <c r="M7" s="56"/>
      <c r="N7" s="56"/>
      <c r="O7" s="653"/>
      <c r="P7" s="653"/>
      <c r="Q7" s="65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7.5" customHeight="1">
      <c r="A8" s="224">
        <v>3</v>
      </c>
      <c r="B8" s="1157"/>
      <c r="C8" s="1157"/>
      <c r="D8" s="1157"/>
      <c r="E8" s="1157"/>
      <c r="F8" s="1157"/>
      <c r="G8" s="1157"/>
      <c r="H8" s="57"/>
      <c r="I8" s="57"/>
      <c r="J8" s="1157"/>
      <c r="K8" s="1157"/>
      <c r="L8" s="1157"/>
      <c r="M8" s="56"/>
      <c r="N8" s="56"/>
      <c r="O8" s="653"/>
      <c r="P8" s="653"/>
      <c r="Q8" s="65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7.5" customHeight="1">
      <c r="A9" s="224">
        <v>4</v>
      </c>
      <c r="B9" s="1157"/>
      <c r="C9" s="1157"/>
      <c r="D9" s="1157"/>
      <c r="E9" s="1157"/>
      <c r="F9" s="1157"/>
      <c r="G9" s="1157"/>
      <c r="H9" s="57"/>
      <c r="I9" s="57"/>
      <c r="J9" s="1157"/>
      <c r="K9" s="1157"/>
      <c r="L9" s="1157"/>
      <c r="M9" s="56"/>
      <c r="N9" s="56"/>
      <c r="O9" s="653"/>
      <c r="P9" s="653"/>
      <c r="Q9" s="65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7.5" customHeight="1">
      <c r="A10" s="224">
        <v>5</v>
      </c>
      <c r="B10" s="1157"/>
      <c r="C10" s="1157"/>
      <c r="D10" s="1157"/>
      <c r="E10" s="1157"/>
      <c r="F10" s="1157"/>
      <c r="G10" s="1157"/>
      <c r="H10" s="57"/>
      <c r="I10" s="57"/>
      <c r="J10" s="1157"/>
      <c r="K10" s="1157"/>
      <c r="L10" s="1157"/>
      <c r="M10" s="56"/>
      <c r="N10" s="56"/>
      <c r="O10" s="653"/>
      <c r="P10" s="653"/>
      <c r="Q10" s="65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7.5" customHeight="1">
      <c r="A11" s="224">
        <v>6</v>
      </c>
      <c r="B11" s="1157"/>
      <c r="C11" s="1157"/>
      <c r="D11" s="1157"/>
      <c r="E11" s="1157"/>
      <c r="F11" s="1157"/>
      <c r="G11" s="1157"/>
      <c r="H11" s="57"/>
      <c r="I11" s="57"/>
      <c r="J11" s="1157"/>
      <c r="K11" s="1157"/>
      <c r="L11" s="1157"/>
      <c r="M11" s="56"/>
      <c r="N11" s="56"/>
      <c r="O11" s="653"/>
      <c r="P11" s="653"/>
      <c r="Q11" s="65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7.5" customHeight="1">
      <c r="A12" s="224">
        <v>7</v>
      </c>
      <c r="B12" s="1157"/>
      <c r="C12" s="1157"/>
      <c r="D12" s="1157"/>
      <c r="E12" s="1157"/>
      <c r="F12" s="1157"/>
      <c r="G12" s="1157"/>
      <c r="H12" s="57"/>
      <c r="I12" s="57"/>
      <c r="J12" s="1157"/>
      <c r="K12" s="1157"/>
      <c r="L12" s="1157"/>
      <c r="M12" s="56"/>
      <c r="N12" s="56"/>
      <c r="O12" s="653"/>
      <c r="P12" s="653"/>
      <c r="Q12" s="65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7.5" customHeight="1">
      <c r="A13" s="224">
        <v>8</v>
      </c>
      <c r="B13" s="1157"/>
      <c r="C13" s="1157"/>
      <c r="D13" s="1157"/>
      <c r="E13" s="1157"/>
      <c r="F13" s="1157"/>
      <c r="G13" s="1157"/>
      <c r="H13" s="57"/>
      <c r="I13" s="57"/>
      <c r="J13" s="1157"/>
      <c r="K13" s="1157"/>
      <c r="L13" s="1157"/>
      <c r="M13" s="56"/>
      <c r="N13" s="56"/>
      <c r="O13" s="653"/>
      <c r="P13" s="653"/>
      <c r="Q13" s="65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7.5" customHeight="1">
      <c r="A14" s="224">
        <v>9</v>
      </c>
      <c r="B14" s="1157"/>
      <c r="C14" s="1157"/>
      <c r="D14" s="1157"/>
      <c r="E14" s="1157"/>
      <c r="F14" s="1157"/>
      <c r="G14" s="1157"/>
      <c r="H14" s="57"/>
      <c r="I14" s="57"/>
      <c r="J14" s="1157"/>
      <c r="K14" s="1157"/>
      <c r="L14" s="1157"/>
      <c r="M14" s="56"/>
      <c r="N14" s="56"/>
      <c r="O14" s="653"/>
      <c r="P14" s="653"/>
      <c r="Q14" s="65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6.75" customHeight="1">
      <c r="A15" s="224">
        <v>10</v>
      </c>
      <c r="B15" s="1157"/>
      <c r="C15" s="1157"/>
      <c r="D15" s="1157"/>
      <c r="E15" s="1157"/>
      <c r="F15" s="1157"/>
      <c r="G15" s="1157"/>
      <c r="H15" s="57"/>
      <c r="I15" s="57"/>
      <c r="J15" s="1157"/>
      <c r="K15" s="1157"/>
      <c r="L15" s="1157"/>
      <c r="M15" s="56"/>
      <c r="N15" s="56"/>
      <c r="O15" s="653"/>
      <c r="P15" s="653"/>
      <c r="Q15" s="65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36.75" customHeight="1">
      <c r="A16" s="224">
        <v>11</v>
      </c>
      <c r="B16" s="1157"/>
      <c r="C16" s="1157"/>
      <c r="D16" s="1157"/>
      <c r="E16" s="1157"/>
      <c r="F16" s="1157"/>
      <c r="G16" s="1157"/>
      <c r="H16" s="57"/>
      <c r="I16" s="57"/>
      <c r="J16" s="1157"/>
      <c r="K16" s="1157"/>
      <c r="L16" s="1157"/>
      <c r="M16" s="56"/>
      <c r="N16" s="56"/>
      <c r="O16" s="653"/>
      <c r="P16" s="653"/>
      <c r="Q16" s="653"/>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6.75" customHeight="1">
      <c r="A17" s="224">
        <v>12</v>
      </c>
      <c r="B17" s="1157"/>
      <c r="C17" s="1157"/>
      <c r="D17" s="1157"/>
      <c r="E17" s="1157"/>
      <c r="F17" s="1157"/>
      <c r="G17" s="1157"/>
      <c r="H17" s="57"/>
      <c r="I17" s="57"/>
      <c r="J17" s="1157"/>
      <c r="K17" s="1157"/>
      <c r="L17" s="1157"/>
      <c r="M17" s="56"/>
      <c r="N17" s="56"/>
      <c r="O17" s="653"/>
      <c r="P17" s="653"/>
      <c r="Q17" s="653"/>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6.75" customHeight="1">
      <c r="A18" s="224">
        <v>13</v>
      </c>
      <c r="B18" s="1157"/>
      <c r="C18" s="1157"/>
      <c r="D18" s="1157"/>
      <c r="E18" s="1157"/>
      <c r="F18" s="1157"/>
      <c r="G18" s="1157"/>
      <c r="H18" s="57"/>
      <c r="I18" s="57"/>
      <c r="J18" s="1157"/>
      <c r="K18" s="1157"/>
      <c r="L18" s="1157"/>
      <c r="M18" s="56"/>
      <c r="N18" s="56"/>
      <c r="O18" s="653"/>
      <c r="P18" s="653"/>
      <c r="Q18" s="653"/>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6.75" customHeight="1">
      <c r="A19" s="224">
        <v>14</v>
      </c>
      <c r="B19" s="1157"/>
      <c r="C19" s="1157"/>
      <c r="D19" s="1157"/>
      <c r="E19" s="1157"/>
      <c r="F19" s="1157"/>
      <c r="G19" s="1157"/>
      <c r="H19" s="57"/>
      <c r="I19" s="57"/>
      <c r="J19" s="1157"/>
      <c r="K19" s="1157"/>
      <c r="L19" s="1157"/>
      <c r="M19" s="56"/>
      <c r="N19" s="56"/>
      <c r="O19" s="653"/>
      <c r="P19" s="653"/>
      <c r="Q19" s="653"/>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6.75" customHeight="1" thickBot="1">
      <c r="A20" s="225">
        <v>15</v>
      </c>
      <c r="B20" s="1182"/>
      <c r="C20" s="1182"/>
      <c r="D20" s="1182"/>
      <c r="E20" s="1182"/>
      <c r="F20" s="1182"/>
      <c r="G20" s="1182"/>
      <c r="H20" s="640"/>
      <c r="I20" s="640"/>
      <c r="J20" s="1182"/>
      <c r="K20" s="1182"/>
      <c r="L20" s="1182"/>
      <c r="M20" s="630"/>
      <c r="N20" s="630"/>
      <c r="O20" s="658"/>
      <c r="P20" s="658"/>
      <c r="Q20" s="658"/>
      <c r="R20" s="552"/>
      <c r="S20" s="176"/>
      <c r="T20" s="147"/>
      <c r="U20" s="146"/>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27.75" customHeight="1" thickBot="1">
      <c r="A21" s="1143" t="s">
        <v>270</v>
      </c>
      <c r="B21" s="1144"/>
      <c r="C21" s="1144"/>
      <c r="D21" s="1144"/>
      <c r="E21" s="1144"/>
      <c r="F21" s="1144"/>
      <c r="G21" s="1144"/>
      <c r="H21" s="1144"/>
      <c r="I21" s="1144"/>
      <c r="J21" s="1144"/>
      <c r="K21" s="1144"/>
      <c r="L21" s="215">
        <f>SUM(R6:R20)</f>
        <v>0</v>
      </c>
      <c r="M21" s="1188" t="s">
        <v>824</v>
      </c>
      <c r="N21" s="1188"/>
      <c r="O21" s="1188"/>
      <c r="P21" s="1188"/>
      <c r="Q21" s="1189"/>
      <c r="R21" s="216">
        <f>IF(L21&gt;10,10,L21)</f>
        <v>0</v>
      </c>
      <c r="S21" s="217">
        <f>IF(SUM(S6:S20)&gt;10,10,SUM(S6:S20))</f>
        <v>0</v>
      </c>
      <c r="T21" s="48"/>
      <c r="U21" s="177"/>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33" customHeight="1">
      <c r="A22" s="1507" t="s">
        <v>31</v>
      </c>
      <c r="B22" s="1508"/>
      <c r="C22" s="1508"/>
      <c r="D22" s="1508"/>
      <c r="E22" s="1508"/>
      <c r="F22" s="1508"/>
      <c r="G22" s="1508"/>
      <c r="H22" s="1430" t="s">
        <v>32</v>
      </c>
      <c r="I22" s="1430"/>
      <c r="J22" s="1430"/>
      <c r="K22" s="1431">
        <f>Q2</f>
        <v>0</v>
      </c>
      <c r="L22" s="1432"/>
      <c r="M22" s="1432"/>
      <c r="N22" s="1432"/>
      <c r="O22" s="1430" t="s">
        <v>33</v>
      </c>
      <c r="P22" s="1430"/>
      <c r="Q22" s="1430"/>
      <c r="R22" s="1433">
        <f>C2</f>
        <v>0</v>
      </c>
      <c r="S22" s="1433"/>
      <c r="T22" s="1433"/>
      <c r="U22" s="143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33" customHeight="1" thickBot="1">
      <c r="A23" s="1437">
        <f>'فرم الف'!A27</f>
        <v>0</v>
      </c>
      <c r="B23" s="1425"/>
      <c r="C23" s="1425"/>
      <c r="D23" s="1425"/>
      <c r="E23" s="1425"/>
      <c r="F23" s="1425"/>
      <c r="G23" s="1425"/>
      <c r="H23" s="1425">
        <f>'فرم الف'!E27</f>
        <v>0</v>
      </c>
      <c r="I23" s="1425"/>
      <c r="J23" s="1425"/>
      <c r="K23" s="1425"/>
      <c r="L23" s="1425"/>
      <c r="M23" s="1425"/>
      <c r="N23" s="1425"/>
      <c r="O23" s="1425" t="str">
        <f>'فرم الف'!J27</f>
        <v/>
      </c>
      <c r="P23" s="1425"/>
      <c r="Q23" s="1425"/>
      <c r="R23" s="1425"/>
      <c r="S23" s="1425"/>
      <c r="T23" s="1425"/>
      <c r="U23" s="1426"/>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20.25" customHeight="1">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17.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20.25" customHeight="1">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17.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20.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17.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20.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17.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20.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17.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20.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17.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20.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17.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20.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9" ht="26.25" customHeight="1"/>
    <row r="50" ht="26.25" customHeight="1"/>
  </sheetData>
  <sheetProtection algorithmName="SHA-512" hashValue="HnpSQzcfan6zzD0ENH4j5fyCXbStQrmjneoNAzgUKh1LwgL6sfWXN+kUeykI22X1O4z8QygAstuQkP8dgStfIQ==" saltValue="4+rVgFZnmsVUGShOG1l9zg==" spinCount="100000" sheet="1" objects="1" scenarios="1" formatCells="0" formatRows="0" selectLockedCells="1"/>
  <mergeCells count="59">
    <mergeCell ref="M21:Q21"/>
    <mergeCell ref="A21:K21"/>
    <mergeCell ref="A1:B2"/>
    <mergeCell ref="C1:G1"/>
    <mergeCell ref="H1:L1"/>
    <mergeCell ref="M1:P1"/>
    <mergeCell ref="Q1:U1"/>
    <mergeCell ref="C2:G2"/>
    <mergeCell ref="H2:L2"/>
    <mergeCell ref="M2:P2"/>
    <mergeCell ref="Q2:U2"/>
    <mergeCell ref="A3:R3"/>
    <mergeCell ref="S3:U3"/>
    <mergeCell ref="A4:A5"/>
    <mergeCell ref="B4:G5"/>
    <mergeCell ref="H4:L4"/>
    <mergeCell ref="M4:N4"/>
    <mergeCell ref="O4:Q4"/>
    <mergeCell ref="R4:T4"/>
    <mergeCell ref="U4:U5"/>
    <mergeCell ref="J5:L5"/>
    <mergeCell ref="B6:G6"/>
    <mergeCell ref="J6:L6"/>
    <mergeCell ref="B7:G7"/>
    <mergeCell ref="J7:L7"/>
    <mergeCell ref="B8:G8"/>
    <mergeCell ref="J8:L8"/>
    <mergeCell ref="B9:G9"/>
    <mergeCell ref="J9:L9"/>
    <mergeCell ref="B10:G10"/>
    <mergeCell ref="J10:L10"/>
    <mergeCell ref="B11:G11"/>
    <mergeCell ref="J11:L11"/>
    <mergeCell ref="B12:G12"/>
    <mergeCell ref="J12:L12"/>
    <mergeCell ref="B13:G13"/>
    <mergeCell ref="J13:L13"/>
    <mergeCell ref="B14:G14"/>
    <mergeCell ref="J14:L14"/>
    <mergeCell ref="B15:G15"/>
    <mergeCell ref="J15:L15"/>
    <mergeCell ref="B16:G16"/>
    <mergeCell ref="J16:L16"/>
    <mergeCell ref="B17:G17"/>
    <mergeCell ref="J17:L17"/>
    <mergeCell ref="B18:G18"/>
    <mergeCell ref="J18:L18"/>
    <mergeCell ref="B19:G19"/>
    <mergeCell ref="J19:L19"/>
    <mergeCell ref="B20:G20"/>
    <mergeCell ref="J20:L20"/>
    <mergeCell ref="A23:G23"/>
    <mergeCell ref="H23:N23"/>
    <mergeCell ref="O23:U23"/>
    <mergeCell ref="A22:G22"/>
    <mergeCell ref="H22:J22"/>
    <mergeCell ref="K22:N22"/>
    <mergeCell ref="O22:Q22"/>
    <mergeCell ref="R22:U22"/>
  </mergeCells>
  <conditionalFormatting sqref="B6:Q6">
    <cfRule type="containsBlanks" dxfId="60" priority="3">
      <formula>LEN(TRIM(B6))=0</formula>
    </cfRule>
  </conditionalFormatting>
  <conditionalFormatting sqref="B7:Q15">
    <cfRule type="containsBlanks" dxfId="59" priority="2">
      <formula>LEN(TRIM(B7))=0</formula>
    </cfRule>
  </conditionalFormatting>
  <conditionalFormatting sqref="B16:Q20">
    <cfRule type="containsBlanks" dxfId="58"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تا 2 امتياز به ازاي هر سال" sqref="R6:S20">
      <formula1>0</formula1>
    </dataValidation>
  </dataValidations>
  <printOptions horizontalCentered="1" verticalCentered="1"/>
  <pageMargins left="0" right="0" top="0.5" bottom="0" header="0" footer="0"/>
  <pageSetup orientation="landscape" blackAndWhite="1" errors="blank"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9" width="7.140625" style="19" customWidth="1"/>
    <col min="10" max="11" width="7" style="19" customWidth="1"/>
    <col min="12" max="12" width="5.85546875" style="19" customWidth="1"/>
    <col min="13" max="13" width="6" style="19" customWidth="1"/>
    <col min="14" max="14" width="5.85546875" style="19" customWidth="1"/>
    <col min="15" max="16" width="5.42578125" style="19" customWidth="1"/>
    <col min="17" max="17" width="3.85546875" style="19" customWidth="1"/>
    <col min="18" max="20" width="5.42578125" style="19" customWidth="1"/>
    <col min="21" max="21" width="9.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497</v>
      </c>
      <c r="B3" s="1528"/>
      <c r="C3" s="1529"/>
      <c r="D3" s="1529"/>
      <c r="E3" s="1529"/>
      <c r="F3" s="1529"/>
      <c r="G3" s="1529"/>
      <c r="H3" s="1529"/>
      <c r="I3" s="1529"/>
      <c r="J3" s="1529"/>
      <c r="K3" s="1529"/>
      <c r="L3" s="1529"/>
      <c r="M3" s="1529"/>
      <c r="N3" s="1529"/>
      <c r="O3" s="1529"/>
      <c r="P3" s="1529"/>
      <c r="Q3" s="1529"/>
      <c r="R3" s="1529"/>
      <c r="S3" s="1527" t="s">
        <v>498</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7.25" customHeight="1">
      <c r="A4" s="1479" t="s">
        <v>9</v>
      </c>
      <c r="B4" s="1644" t="s">
        <v>499</v>
      </c>
      <c r="C4" s="1645"/>
      <c r="D4" s="1645"/>
      <c r="E4" s="1645"/>
      <c r="F4" s="1645"/>
      <c r="G4" s="1646"/>
      <c r="H4" s="1453" t="s">
        <v>503</v>
      </c>
      <c r="I4" s="1454"/>
      <c r="J4" s="1453" t="s">
        <v>502</v>
      </c>
      <c r="K4" s="1454"/>
      <c r="L4" s="1650" t="s">
        <v>501</v>
      </c>
      <c r="M4" s="1650"/>
      <c r="N4" s="1454"/>
      <c r="O4" s="1453" t="s">
        <v>500</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455"/>
      <c r="I5" s="1456"/>
      <c r="J5" s="1455"/>
      <c r="K5" s="1456"/>
      <c r="L5" s="1651"/>
      <c r="M5" s="1651"/>
      <c r="N5" s="1456"/>
      <c r="O5" s="1455"/>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7.5" customHeight="1">
      <c r="A6" s="223">
        <v>1</v>
      </c>
      <c r="B6" s="1404"/>
      <c r="C6" s="1404"/>
      <c r="D6" s="1404"/>
      <c r="E6" s="1404"/>
      <c r="F6" s="1404"/>
      <c r="G6" s="1404"/>
      <c r="H6" s="1160"/>
      <c r="I6" s="1161"/>
      <c r="J6" s="1160"/>
      <c r="K6" s="1161"/>
      <c r="L6" s="1160"/>
      <c r="M6" s="1201"/>
      <c r="N6" s="1161"/>
      <c r="O6" s="1784"/>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7.5" customHeight="1">
      <c r="A7" s="224">
        <v>2</v>
      </c>
      <c r="B7" s="1157"/>
      <c r="C7" s="1157"/>
      <c r="D7" s="1157"/>
      <c r="E7" s="1157"/>
      <c r="F7" s="1157"/>
      <c r="G7" s="1157"/>
      <c r="H7" s="1202"/>
      <c r="I7" s="1204"/>
      <c r="J7" s="1202"/>
      <c r="K7" s="1204"/>
      <c r="L7" s="1202"/>
      <c r="M7" s="1203"/>
      <c r="N7" s="1204"/>
      <c r="O7" s="1782"/>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7.5" customHeight="1">
      <c r="A8" s="224">
        <v>3</v>
      </c>
      <c r="B8" s="1157"/>
      <c r="C8" s="1157"/>
      <c r="D8" s="1157"/>
      <c r="E8" s="1157"/>
      <c r="F8" s="1157"/>
      <c r="G8" s="1157"/>
      <c r="H8" s="1202"/>
      <c r="I8" s="1204"/>
      <c r="J8" s="1202"/>
      <c r="K8" s="1204"/>
      <c r="L8" s="1202"/>
      <c r="M8" s="1203"/>
      <c r="N8" s="1204"/>
      <c r="O8" s="1782"/>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7.5" customHeight="1">
      <c r="A9" s="224">
        <v>4</v>
      </c>
      <c r="B9" s="1157"/>
      <c r="C9" s="1157"/>
      <c r="D9" s="1157"/>
      <c r="E9" s="1157"/>
      <c r="F9" s="1157"/>
      <c r="G9" s="1157"/>
      <c r="H9" s="1202"/>
      <c r="I9" s="1204"/>
      <c r="J9" s="1202"/>
      <c r="K9" s="1204"/>
      <c r="L9" s="1202"/>
      <c r="M9" s="1203"/>
      <c r="N9" s="1204"/>
      <c r="O9" s="1782"/>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7.5" customHeight="1">
      <c r="A10" s="224">
        <v>5</v>
      </c>
      <c r="B10" s="1157"/>
      <c r="C10" s="1157"/>
      <c r="D10" s="1157"/>
      <c r="E10" s="1157"/>
      <c r="F10" s="1157"/>
      <c r="G10" s="1157"/>
      <c r="H10" s="1202"/>
      <c r="I10" s="1204"/>
      <c r="J10" s="1202"/>
      <c r="K10" s="1204"/>
      <c r="L10" s="1202"/>
      <c r="M10" s="1203"/>
      <c r="N10" s="1204"/>
      <c r="O10" s="1782"/>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7.5" customHeight="1">
      <c r="A11" s="224">
        <v>6</v>
      </c>
      <c r="B11" s="1157"/>
      <c r="C11" s="1157"/>
      <c r="D11" s="1157"/>
      <c r="E11" s="1157"/>
      <c r="F11" s="1157"/>
      <c r="G11" s="1157"/>
      <c r="H11" s="1202"/>
      <c r="I11" s="1204"/>
      <c r="J11" s="1202"/>
      <c r="K11" s="1204"/>
      <c r="L11" s="1202"/>
      <c r="M11" s="1203"/>
      <c r="N11" s="1204"/>
      <c r="O11" s="1782"/>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7.5" customHeight="1">
      <c r="A12" s="224">
        <v>7</v>
      </c>
      <c r="B12" s="1157"/>
      <c r="C12" s="1157"/>
      <c r="D12" s="1157"/>
      <c r="E12" s="1157"/>
      <c r="F12" s="1157"/>
      <c r="G12" s="1157"/>
      <c r="H12" s="1202"/>
      <c r="I12" s="1204"/>
      <c r="J12" s="1202"/>
      <c r="K12" s="1204"/>
      <c r="L12" s="1202"/>
      <c r="M12" s="1203"/>
      <c r="N12" s="1204"/>
      <c r="O12" s="1782"/>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7.5" customHeight="1">
      <c r="A13" s="224">
        <v>8</v>
      </c>
      <c r="B13" s="1157"/>
      <c r="C13" s="1157"/>
      <c r="D13" s="1157"/>
      <c r="E13" s="1157"/>
      <c r="F13" s="1157"/>
      <c r="G13" s="1157"/>
      <c r="H13" s="1202"/>
      <c r="I13" s="1204"/>
      <c r="J13" s="1202"/>
      <c r="K13" s="1204"/>
      <c r="L13" s="1202"/>
      <c r="M13" s="1203"/>
      <c r="N13" s="1204"/>
      <c r="O13" s="1782"/>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7.5" customHeight="1">
      <c r="A14" s="224">
        <v>9</v>
      </c>
      <c r="B14" s="1157"/>
      <c r="C14" s="1157"/>
      <c r="D14" s="1157"/>
      <c r="E14" s="1157"/>
      <c r="F14" s="1157"/>
      <c r="G14" s="1157"/>
      <c r="H14" s="1202"/>
      <c r="I14" s="1204"/>
      <c r="J14" s="1202"/>
      <c r="K14" s="1204"/>
      <c r="L14" s="1202"/>
      <c r="M14" s="1203"/>
      <c r="N14" s="1204"/>
      <c r="O14" s="1782"/>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6.75" customHeight="1">
      <c r="A15" s="224">
        <v>10</v>
      </c>
      <c r="B15" s="1157"/>
      <c r="C15" s="1157"/>
      <c r="D15" s="1157"/>
      <c r="E15" s="1157"/>
      <c r="F15" s="1157"/>
      <c r="G15" s="1157"/>
      <c r="H15" s="1202"/>
      <c r="I15" s="1204"/>
      <c r="J15" s="1202"/>
      <c r="K15" s="1204"/>
      <c r="L15" s="1202"/>
      <c r="M15" s="1203"/>
      <c r="N15" s="1204"/>
      <c r="O15" s="1782"/>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36.75" customHeight="1">
      <c r="A16" s="224">
        <v>11</v>
      </c>
      <c r="B16" s="1157"/>
      <c r="C16" s="1157"/>
      <c r="D16" s="1157"/>
      <c r="E16" s="1157"/>
      <c r="F16" s="1157"/>
      <c r="G16" s="1157"/>
      <c r="H16" s="1202"/>
      <c r="I16" s="1204"/>
      <c r="J16" s="1202"/>
      <c r="K16" s="1204"/>
      <c r="L16" s="1202"/>
      <c r="M16" s="1203"/>
      <c r="N16" s="1204"/>
      <c r="O16" s="1782"/>
      <c r="P16" s="1792"/>
      <c r="Q16" s="1783"/>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6.75" customHeight="1">
      <c r="A17" s="224">
        <v>12</v>
      </c>
      <c r="B17" s="1157"/>
      <c r="C17" s="1157"/>
      <c r="D17" s="1157"/>
      <c r="E17" s="1157"/>
      <c r="F17" s="1157"/>
      <c r="G17" s="1157"/>
      <c r="H17" s="1202"/>
      <c r="I17" s="1204"/>
      <c r="J17" s="1202"/>
      <c r="K17" s="1204"/>
      <c r="L17" s="1202"/>
      <c r="M17" s="1203"/>
      <c r="N17" s="1204"/>
      <c r="O17" s="1782"/>
      <c r="P17" s="1792"/>
      <c r="Q17" s="1783"/>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6.75" customHeight="1">
      <c r="A18" s="224">
        <v>13</v>
      </c>
      <c r="B18" s="1157"/>
      <c r="C18" s="1157"/>
      <c r="D18" s="1157"/>
      <c r="E18" s="1157"/>
      <c r="F18" s="1157"/>
      <c r="G18" s="1157"/>
      <c r="H18" s="1202"/>
      <c r="I18" s="1204"/>
      <c r="J18" s="1202"/>
      <c r="K18" s="1204"/>
      <c r="L18" s="1202"/>
      <c r="M18" s="1203"/>
      <c r="N18" s="1204"/>
      <c r="O18" s="1782"/>
      <c r="P18" s="1792"/>
      <c r="Q18" s="1783"/>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6.75" customHeight="1">
      <c r="A19" s="224">
        <v>14</v>
      </c>
      <c r="B19" s="1157"/>
      <c r="C19" s="1157"/>
      <c r="D19" s="1157"/>
      <c r="E19" s="1157"/>
      <c r="F19" s="1157"/>
      <c r="G19" s="1157"/>
      <c r="H19" s="1202"/>
      <c r="I19" s="1204"/>
      <c r="J19" s="1202"/>
      <c r="K19" s="1204"/>
      <c r="L19" s="1202"/>
      <c r="M19" s="1203"/>
      <c r="N19" s="1204"/>
      <c r="O19" s="1782"/>
      <c r="P19" s="1792"/>
      <c r="Q19" s="1783"/>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6.75" customHeight="1" thickBot="1">
      <c r="A20" s="224">
        <v>15</v>
      </c>
      <c r="B20" s="1157"/>
      <c r="C20" s="1157"/>
      <c r="D20" s="1157"/>
      <c r="E20" s="1157"/>
      <c r="F20" s="1157"/>
      <c r="G20" s="1157"/>
      <c r="H20" s="1202"/>
      <c r="I20" s="1204"/>
      <c r="J20" s="1202"/>
      <c r="K20" s="1204"/>
      <c r="L20" s="1202"/>
      <c r="M20" s="1203"/>
      <c r="N20" s="1204"/>
      <c r="O20" s="1782"/>
      <c r="P20" s="1792"/>
      <c r="Q20" s="1783"/>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27.75" customHeight="1" thickBot="1">
      <c r="A21" s="1143" t="s">
        <v>270</v>
      </c>
      <c r="B21" s="1144"/>
      <c r="C21" s="1144"/>
      <c r="D21" s="1144"/>
      <c r="E21" s="1144"/>
      <c r="F21" s="1144"/>
      <c r="G21" s="1144"/>
      <c r="H21" s="1144"/>
      <c r="I21" s="1144"/>
      <c r="J21" s="1144"/>
      <c r="K21" s="1144"/>
      <c r="L21" s="215">
        <f>SUM(R6:R20)</f>
        <v>0</v>
      </c>
      <c r="M21" s="1189" t="s">
        <v>322</v>
      </c>
      <c r="N21" s="1205"/>
      <c r="O21" s="1205"/>
      <c r="P21" s="1205"/>
      <c r="Q21" s="1205"/>
      <c r="R21" s="216">
        <f>IF(L21&gt;10,10,L21)</f>
        <v>0</v>
      </c>
      <c r="S21" s="217">
        <f>IF(SUM(S6:S20)&gt;10,10,SUM(S6:S20))</f>
        <v>0</v>
      </c>
      <c r="T21" s="48"/>
      <c r="U21" s="177"/>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27.75" customHeight="1">
      <c r="A22" s="1507" t="s">
        <v>31</v>
      </c>
      <c r="B22" s="1508"/>
      <c r="C22" s="1508"/>
      <c r="D22" s="1508"/>
      <c r="E22" s="1508"/>
      <c r="F22" s="1508"/>
      <c r="G22" s="1508"/>
      <c r="H22" s="1430" t="s">
        <v>32</v>
      </c>
      <c r="I22" s="1430"/>
      <c r="J22" s="1430"/>
      <c r="K22" s="1431">
        <f>Q2</f>
        <v>0</v>
      </c>
      <c r="L22" s="1432"/>
      <c r="M22" s="1432"/>
      <c r="N22" s="1432"/>
      <c r="O22" s="1430" t="s">
        <v>33</v>
      </c>
      <c r="P22" s="1430"/>
      <c r="Q22" s="1430"/>
      <c r="R22" s="1433">
        <f>C2</f>
        <v>0</v>
      </c>
      <c r="S22" s="1433"/>
      <c r="T22" s="1433"/>
      <c r="U22" s="143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7.75" customHeight="1" thickBot="1">
      <c r="A23" s="1437">
        <f>'فرم الف'!A27</f>
        <v>0</v>
      </c>
      <c r="B23" s="1425"/>
      <c r="C23" s="1425"/>
      <c r="D23" s="1425"/>
      <c r="E23" s="1425"/>
      <c r="F23" s="1425"/>
      <c r="G23" s="1425"/>
      <c r="H23" s="1425">
        <f>'فرم الف'!E27</f>
        <v>0</v>
      </c>
      <c r="I23" s="1425"/>
      <c r="J23" s="1425"/>
      <c r="K23" s="1425"/>
      <c r="L23" s="1425"/>
      <c r="M23" s="1425"/>
      <c r="N23" s="1425"/>
      <c r="O23" s="1425" t="str">
        <f>'فرم الف'!J27</f>
        <v/>
      </c>
      <c r="P23" s="1425"/>
      <c r="Q23" s="1425"/>
      <c r="R23" s="1425"/>
      <c r="S23" s="1425"/>
      <c r="T23" s="1425"/>
      <c r="U23" s="1426"/>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17.25" customHeight="1">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20.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17.25" customHeight="1">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0.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0.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17.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20.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17.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20.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17.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20.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17.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20.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17.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20.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50" ht="26.25" customHeight="1"/>
    <row r="51" ht="26.25" customHeight="1"/>
  </sheetData>
  <sheetProtection algorithmName="SHA-512" hashValue="Ojd2sC+V6Zkq4oZv3SfDEKjF6X8Py1T2emj7w3Ua+gH9w9+psye3h92Mjr8ViyDaW+06tFxc/9LWQUjIkGoTUA==" saltValue="EdctFY3xIZiBYkswRfrYiw==" spinCount="100000" sheet="1" objects="1" scenarios="1" formatCells="0" formatRows="0" selectLockedCells="1"/>
  <mergeCells count="104">
    <mergeCell ref="A3:R3"/>
    <mergeCell ref="S3:U3"/>
    <mergeCell ref="A4:A5"/>
    <mergeCell ref="B4:G5"/>
    <mergeCell ref="R4:T4"/>
    <mergeCell ref="U4:U5"/>
    <mergeCell ref="A1:B2"/>
    <mergeCell ref="C1:G1"/>
    <mergeCell ref="H1:L1"/>
    <mergeCell ref="M1:P1"/>
    <mergeCell ref="Q1:U1"/>
    <mergeCell ref="C2:G2"/>
    <mergeCell ref="H2:L2"/>
    <mergeCell ref="M2:P2"/>
    <mergeCell ref="Q2:U2"/>
    <mergeCell ref="B9:G9"/>
    <mergeCell ref="B10:G10"/>
    <mergeCell ref="B11:G11"/>
    <mergeCell ref="H9:I9"/>
    <mergeCell ref="J9:K9"/>
    <mergeCell ref="L9:N9"/>
    <mergeCell ref="B6:G6"/>
    <mergeCell ref="B7:G7"/>
    <mergeCell ref="B8:G8"/>
    <mergeCell ref="L6:N6"/>
    <mergeCell ref="B17:G17"/>
    <mergeCell ref="H15:I15"/>
    <mergeCell ref="J15:K15"/>
    <mergeCell ref="L15:N15"/>
    <mergeCell ref="B12:G12"/>
    <mergeCell ref="B13:G13"/>
    <mergeCell ref="B14:G14"/>
    <mergeCell ref="H12:I12"/>
    <mergeCell ref="J12:K12"/>
    <mergeCell ref="L12:N12"/>
    <mergeCell ref="A23:G23"/>
    <mergeCell ref="H23:N23"/>
    <mergeCell ref="O23:U23"/>
    <mergeCell ref="O4:Q5"/>
    <mergeCell ref="L4:N5"/>
    <mergeCell ref="J4:K5"/>
    <mergeCell ref="H4:I5"/>
    <mergeCell ref="H6:I6"/>
    <mergeCell ref="J6:K6"/>
    <mergeCell ref="A22:G22"/>
    <mergeCell ref="H22:J22"/>
    <mergeCell ref="K22:N22"/>
    <mergeCell ref="O22:Q22"/>
    <mergeCell ref="R22:U22"/>
    <mergeCell ref="A21:K21"/>
    <mergeCell ref="M21:Q21"/>
    <mergeCell ref="B18:G18"/>
    <mergeCell ref="B19:G19"/>
    <mergeCell ref="B20:G20"/>
    <mergeCell ref="H18:I18"/>
    <mergeCell ref="J18:K18"/>
    <mergeCell ref="L18:N18"/>
    <mergeCell ref="B15:G15"/>
    <mergeCell ref="B16:G16"/>
    <mergeCell ref="O6:Q6"/>
    <mergeCell ref="H7:I7"/>
    <mergeCell ref="J7:K7"/>
    <mergeCell ref="L7:N7"/>
    <mergeCell ref="O7:Q7"/>
    <mergeCell ref="H8:I8"/>
    <mergeCell ref="J8:K8"/>
    <mergeCell ref="L8:N8"/>
    <mergeCell ref="O8:Q8"/>
    <mergeCell ref="O9:Q9"/>
    <mergeCell ref="H10:I10"/>
    <mergeCell ref="J10:K10"/>
    <mergeCell ref="L10:N10"/>
    <mergeCell ref="O10:Q10"/>
    <mergeCell ref="H11:I11"/>
    <mergeCell ref="J11:K11"/>
    <mergeCell ref="L11:N11"/>
    <mergeCell ref="O11:Q11"/>
    <mergeCell ref="O12:Q12"/>
    <mergeCell ref="H13:I13"/>
    <mergeCell ref="J13:K13"/>
    <mergeCell ref="L13:N13"/>
    <mergeCell ref="O13:Q13"/>
    <mergeCell ref="H14:I14"/>
    <mergeCell ref="J14:K14"/>
    <mergeCell ref="L14:N14"/>
    <mergeCell ref="O14:Q14"/>
    <mergeCell ref="O15:Q15"/>
    <mergeCell ref="H16:I16"/>
    <mergeCell ref="J16:K16"/>
    <mergeCell ref="L16:N16"/>
    <mergeCell ref="O16:Q16"/>
    <mergeCell ref="H17:I17"/>
    <mergeCell ref="J17:K17"/>
    <mergeCell ref="L17:N17"/>
    <mergeCell ref="O17:Q17"/>
    <mergeCell ref="O18:Q18"/>
    <mergeCell ref="H19:I19"/>
    <mergeCell ref="J19:K19"/>
    <mergeCell ref="L19:N19"/>
    <mergeCell ref="O19:Q19"/>
    <mergeCell ref="H20:I20"/>
    <mergeCell ref="J20:K20"/>
    <mergeCell ref="L20:N20"/>
    <mergeCell ref="O20:Q20"/>
  </mergeCells>
  <conditionalFormatting sqref="B6:H6 J6 L6 O6">
    <cfRule type="containsBlanks" dxfId="57" priority="4">
      <formula>LEN(TRIM(B6))=0</formula>
    </cfRule>
  </conditionalFormatting>
  <conditionalFormatting sqref="B7:H20 J7:J20 L7:L20 O7:O20">
    <cfRule type="containsBlanks" dxfId="56" priority="1">
      <formula>LEN(TRIM(B7))=0</formula>
    </cfRule>
  </conditionalFormatting>
  <dataValidations count="2">
    <dataValidation allowBlank="1" showInputMessage="1" showErrorMessage="1" promptTitle="توجه:" prompt="ارائه گواهی موافقت اصولی یا قطعی شورای گسترش آموزش عالي وزارت به همراه تأیید بالاترین مقام اجرایی الزامی است" sqref="L6:N20"/>
    <dataValidation type="decimal" allowBlank="1" showInputMessage="1" showErrorMessage="1" errorTitle="خطا در ورود امتياز" error="لطفا يك عدد بين صفر و 5 وارد نماييد" promptTitle="توجه:" prompt="حداکثر امتیاز در واحد كار تا 5 امتياز" sqref="R6:S20">
      <formula1>0</formula1>
      <formula2>5</formula2>
    </dataValidation>
  </dataValidations>
  <printOptions horizontalCentered="1" verticalCentered="1"/>
  <pageMargins left="0" right="0" top="0.5" bottom="0" header="0" footer="0"/>
  <pageSetup orientation="landscape" blackAndWhite="1" errors="blank"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5.7109375" style="19" customWidth="1"/>
    <col min="8" max="9" width="6.28515625" style="19" customWidth="1"/>
    <col min="10" max="11" width="8.85546875" style="19" customWidth="1"/>
    <col min="12" max="13" width="7" style="19" customWidth="1"/>
    <col min="14" max="14" width="8.140625" style="19" customWidth="1"/>
    <col min="15" max="16" width="4.140625" style="19" customWidth="1"/>
    <col min="17" max="17" width="3.5703125" style="19" customWidth="1"/>
    <col min="18" max="20" width="5.42578125" style="19" customWidth="1"/>
    <col min="21" max="21" width="10.140625" style="19" customWidth="1"/>
    <col min="22" max="16384" width="9.140625" style="19"/>
  </cols>
  <sheetData>
    <row r="1" spans="1:80" ht="17.25">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507</v>
      </c>
      <c r="B3" s="1528"/>
      <c r="C3" s="1529"/>
      <c r="D3" s="1529"/>
      <c r="E3" s="1529"/>
      <c r="F3" s="1529"/>
      <c r="G3" s="1529"/>
      <c r="H3" s="1529"/>
      <c r="I3" s="1529"/>
      <c r="J3" s="1529"/>
      <c r="K3" s="1529"/>
      <c r="L3" s="1529"/>
      <c r="M3" s="1529"/>
      <c r="N3" s="1529"/>
      <c r="O3" s="1529"/>
      <c r="P3" s="1529"/>
      <c r="Q3" s="1529"/>
      <c r="R3" s="1529"/>
      <c r="S3" s="1527" t="s">
        <v>508</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514</v>
      </c>
      <c r="C4" s="1645"/>
      <c r="D4" s="1645"/>
      <c r="E4" s="1645"/>
      <c r="F4" s="1645"/>
      <c r="G4" s="1646"/>
      <c r="H4" s="1453" t="s">
        <v>513</v>
      </c>
      <c r="I4" s="1650"/>
      <c r="J4" s="1453" t="s">
        <v>512</v>
      </c>
      <c r="K4" s="1454"/>
      <c r="L4" s="1650" t="s">
        <v>511</v>
      </c>
      <c r="M4" s="1454"/>
      <c r="N4" s="1650" t="s">
        <v>501</v>
      </c>
      <c r="O4" s="1650"/>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455"/>
      <c r="I5" s="1651"/>
      <c r="J5" s="212" t="s">
        <v>301</v>
      </c>
      <c r="K5" s="213" t="s">
        <v>319</v>
      </c>
      <c r="L5" s="1651"/>
      <c r="M5" s="1456"/>
      <c r="N5" s="1651"/>
      <c r="O5" s="1651"/>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8.5" customHeight="1">
      <c r="A6" s="223">
        <v>1</v>
      </c>
      <c r="B6" s="1404"/>
      <c r="C6" s="1404"/>
      <c r="D6" s="1404"/>
      <c r="E6" s="1404"/>
      <c r="F6" s="1404"/>
      <c r="G6" s="1404"/>
      <c r="H6" s="1160"/>
      <c r="I6" s="1161"/>
      <c r="J6" s="118"/>
      <c r="K6" s="119"/>
      <c r="L6" s="1160"/>
      <c r="M6" s="1161"/>
      <c r="N6" s="1201"/>
      <c r="O6" s="1201"/>
      <c r="P6" s="1201"/>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8.5" customHeight="1">
      <c r="A7" s="224">
        <v>2</v>
      </c>
      <c r="B7" s="1157"/>
      <c r="C7" s="1157"/>
      <c r="D7" s="1157"/>
      <c r="E7" s="1157"/>
      <c r="F7" s="1157"/>
      <c r="G7" s="1157"/>
      <c r="H7" s="1202"/>
      <c r="I7" s="1204"/>
      <c r="J7" s="57"/>
      <c r="K7" s="59"/>
      <c r="L7" s="1202"/>
      <c r="M7" s="1204"/>
      <c r="N7" s="1203"/>
      <c r="O7" s="1203"/>
      <c r="P7" s="1203"/>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8.5" customHeight="1">
      <c r="A8" s="224">
        <v>3</v>
      </c>
      <c r="B8" s="1157"/>
      <c r="C8" s="1157"/>
      <c r="D8" s="1157"/>
      <c r="E8" s="1157"/>
      <c r="F8" s="1157"/>
      <c r="G8" s="1157"/>
      <c r="H8" s="1202"/>
      <c r="I8" s="1204"/>
      <c r="J8" s="57"/>
      <c r="K8" s="59"/>
      <c r="L8" s="1202"/>
      <c r="M8" s="1204"/>
      <c r="N8" s="1203"/>
      <c r="O8" s="1203"/>
      <c r="P8" s="1203"/>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8.5" customHeight="1">
      <c r="A9" s="224">
        <v>4</v>
      </c>
      <c r="B9" s="1157"/>
      <c r="C9" s="1157"/>
      <c r="D9" s="1157"/>
      <c r="E9" s="1157"/>
      <c r="F9" s="1157"/>
      <c r="G9" s="1157"/>
      <c r="H9" s="1202"/>
      <c r="I9" s="1204"/>
      <c r="J9" s="57"/>
      <c r="K9" s="59"/>
      <c r="L9" s="1202"/>
      <c r="M9" s="1204"/>
      <c r="N9" s="1203"/>
      <c r="O9" s="1203"/>
      <c r="P9" s="1203"/>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8.5" customHeight="1">
      <c r="A10" s="224">
        <v>5</v>
      </c>
      <c r="B10" s="1157"/>
      <c r="C10" s="1157"/>
      <c r="D10" s="1157"/>
      <c r="E10" s="1157"/>
      <c r="F10" s="1157"/>
      <c r="G10" s="1157"/>
      <c r="H10" s="1202"/>
      <c r="I10" s="1204"/>
      <c r="J10" s="57"/>
      <c r="K10" s="59"/>
      <c r="L10" s="1202"/>
      <c r="M10" s="1204"/>
      <c r="N10" s="1203"/>
      <c r="O10" s="1203"/>
      <c r="P10" s="1203"/>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8.5" customHeight="1">
      <c r="A11" s="224">
        <v>6</v>
      </c>
      <c r="B11" s="1157"/>
      <c r="C11" s="1157"/>
      <c r="D11" s="1157"/>
      <c r="E11" s="1157"/>
      <c r="F11" s="1157"/>
      <c r="G11" s="1157"/>
      <c r="H11" s="1202"/>
      <c r="I11" s="1204"/>
      <c r="J11" s="57"/>
      <c r="K11" s="59"/>
      <c r="L11" s="1202"/>
      <c r="M11" s="1204"/>
      <c r="N11" s="1203"/>
      <c r="O11" s="1203"/>
      <c r="P11" s="1203"/>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8.5" customHeight="1">
      <c r="A12" s="224">
        <v>7</v>
      </c>
      <c r="B12" s="1157"/>
      <c r="C12" s="1157"/>
      <c r="D12" s="1157"/>
      <c r="E12" s="1157"/>
      <c r="F12" s="1157"/>
      <c r="G12" s="1157"/>
      <c r="H12" s="1202"/>
      <c r="I12" s="1204"/>
      <c r="J12" s="57"/>
      <c r="K12" s="59"/>
      <c r="L12" s="1202"/>
      <c r="M12" s="1204"/>
      <c r="N12" s="1203"/>
      <c r="O12" s="1203"/>
      <c r="P12" s="1203"/>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8.5" customHeight="1">
      <c r="A13" s="224">
        <v>8</v>
      </c>
      <c r="B13" s="1157"/>
      <c r="C13" s="1157"/>
      <c r="D13" s="1157"/>
      <c r="E13" s="1157"/>
      <c r="F13" s="1157"/>
      <c r="G13" s="1157"/>
      <c r="H13" s="1202"/>
      <c r="I13" s="1204"/>
      <c r="J13" s="57"/>
      <c r="K13" s="59"/>
      <c r="L13" s="1202"/>
      <c r="M13" s="1204"/>
      <c r="N13" s="1203"/>
      <c r="O13" s="1203"/>
      <c r="P13" s="1203"/>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8.5" customHeight="1">
      <c r="A14" s="224">
        <v>9</v>
      </c>
      <c r="B14" s="1157"/>
      <c r="C14" s="1157"/>
      <c r="D14" s="1157"/>
      <c r="E14" s="1157"/>
      <c r="F14" s="1157"/>
      <c r="G14" s="1157"/>
      <c r="H14" s="1202"/>
      <c r="I14" s="1204"/>
      <c r="J14" s="57"/>
      <c r="K14" s="59"/>
      <c r="L14" s="1202"/>
      <c r="M14" s="1204"/>
      <c r="N14" s="1203"/>
      <c r="O14" s="1203"/>
      <c r="P14" s="1203"/>
      <c r="Q14" s="1204"/>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8.5" customHeight="1" thickBot="1">
      <c r="A15" s="224">
        <v>10</v>
      </c>
      <c r="B15" s="1157"/>
      <c r="C15" s="1157"/>
      <c r="D15" s="1157"/>
      <c r="E15" s="1157"/>
      <c r="F15" s="1157"/>
      <c r="G15" s="1157"/>
      <c r="H15" s="1202"/>
      <c r="I15" s="1204"/>
      <c r="J15" s="659"/>
      <c r="K15" s="59"/>
      <c r="L15" s="1202"/>
      <c r="M15" s="1204"/>
      <c r="N15" s="1203"/>
      <c r="O15" s="1203"/>
      <c r="P15" s="1203"/>
      <c r="Q15" s="1204"/>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7.75" customHeight="1" thickBot="1">
      <c r="A16" s="1143" t="s">
        <v>270</v>
      </c>
      <c r="B16" s="1144"/>
      <c r="C16" s="1144"/>
      <c r="D16" s="1144"/>
      <c r="E16" s="1144"/>
      <c r="F16" s="1144"/>
      <c r="G16" s="1144"/>
      <c r="H16" s="1144"/>
      <c r="I16" s="1144"/>
      <c r="J16" s="1144"/>
      <c r="K16" s="1144"/>
      <c r="L16" s="215">
        <f>SUM(R6:R15)</f>
        <v>0</v>
      </c>
      <c r="M16" s="1189" t="s">
        <v>322</v>
      </c>
      <c r="N16" s="1205"/>
      <c r="O16" s="1205"/>
      <c r="P16" s="1205"/>
      <c r="Q16" s="1205"/>
      <c r="R16" s="216">
        <f>IF(L16&gt;8,8,L16)</f>
        <v>0</v>
      </c>
      <c r="S16" s="217">
        <f>IF(SUM(S6:S15)&gt;8,8,SUM(S6:S15))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7.75" customHeight="1">
      <c r="A17" s="1507" t="s">
        <v>31</v>
      </c>
      <c r="B17" s="1508"/>
      <c r="C17" s="1508"/>
      <c r="D17" s="1508"/>
      <c r="E17" s="1508"/>
      <c r="F17" s="1508"/>
      <c r="G17" s="1508"/>
      <c r="H17" s="1430" t="s">
        <v>32</v>
      </c>
      <c r="I17" s="1430"/>
      <c r="J17" s="1430"/>
      <c r="K17" s="1431">
        <f>Q2</f>
        <v>0</v>
      </c>
      <c r="L17" s="1432"/>
      <c r="M17" s="1432"/>
      <c r="N17" s="1432"/>
      <c r="O17" s="1430" t="s">
        <v>124</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7.7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5" spans="22:80" ht="26.25" customHeight="1"/>
    <row r="46" spans="22:80" ht="26.25" customHeight="1"/>
  </sheetData>
  <sheetProtection algorithmName="SHA-512" hashValue="l79trTgDdP2kA9Vw1Tnu+pqptdjCO4Cg8ShegfrLk5ohbuaGK81vvkJnIEPRboPH88Joowt05DYdhEZm58hjag==" saltValue="oRRuO+b4kKXxmjDhjdtddQ==" spinCount="100000" sheet="1" objects="1" scenarios="1" formatCells="0" formatRows="0" selectLockedCells="1"/>
  <mergeCells count="69">
    <mergeCell ref="A1:B2"/>
    <mergeCell ref="C1:G1"/>
    <mergeCell ref="H1:L1"/>
    <mergeCell ref="M1:P1"/>
    <mergeCell ref="Q1:U1"/>
    <mergeCell ref="C2:G2"/>
    <mergeCell ref="H2:L2"/>
    <mergeCell ref="M2:P2"/>
    <mergeCell ref="Q2:U2"/>
    <mergeCell ref="S3:U3"/>
    <mergeCell ref="A4:A5"/>
    <mergeCell ref="B4:G5"/>
    <mergeCell ref="H4:I5"/>
    <mergeCell ref="R4:T4"/>
    <mergeCell ref="U4:U5"/>
    <mergeCell ref="B6:G6"/>
    <mergeCell ref="H6:I6"/>
    <mergeCell ref="B7:G7"/>
    <mergeCell ref="H7:I7"/>
    <mergeCell ref="A3:R3"/>
    <mergeCell ref="L7:M7"/>
    <mergeCell ref="N7:Q7"/>
    <mergeCell ref="N4:Q5"/>
    <mergeCell ref="L4:M5"/>
    <mergeCell ref="J4:K4"/>
    <mergeCell ref="N6:Q6"/>
    <mergeCell ref="L6:M6"/>
    <mergeCell ref="B11:G11"/>
    <mergeCell ref="H11:I11"/>
    <mergeCell ref="B8:G8"/>
    <mergeCell ref="H8:I8"/>
    <mergeCell ref="B9:G9"/>
    <mergeCell ref="H9:I9"/>
    <mergeCell ref="B10:G10"/>
    <mergeCell ref="H10:I10"/>
    <mergeCell ref="R17:U17"/>
    <mergeCell ref="A18:G18"/>
    <mergeCell ref="H18:N18"/>
    <mergeCell ref="O18:U18"/>
    <mergeCell ref="A16:K16"/>
    <mergeCell ref="M16:Q16"/>
    <mergeCell ref="A17:G17"/>
    <mergeCell ref="H17:J17"/>
    <mergeCell ref="K17:N17"/>
    <mergeCell ref="O17:Q17"/>
    <mergeCell ref="B14:G14"/>
    <mergeCell ref="H14:I14"/>
    <mergeCell ref="B15:G15"/>
    <mergeCell ref="H15:I15"/>
    <mergeCell ref="B12:G12"/>
    <mergeCell ref="H12:I12"/>
    <mergeCell ref="B13:G13"/>
    <mergeCell ref="H13:I13"/>
    <mergeCell ref="L8:M8"/>
    <mergeCell ref="N8:Q8"/>
    <mergeCell ref="L9:M9"/>
    <mergeCell ref="N9:Q9"/>
    <mergeCell ref="L10:M10"/>
    <mergeCell ref="N10:Q10"/>
    <mergeCell ref="L14:M14"/>
    <mergeCell ref="N14:Q14"/>
    <mergeCell ref="L15:M15"/>
    <mergeCell ref="N15:Q15"/>
    <mergeCell ref="L11:M11"/>
    <mergeCell ref="N11:Q11"/>
    <mergeCell ref="L12:M12"/>
    <mergeCell ref="N12:Q12"/>
    <mergeCell ref="L13:M13"/>
    <mergeCell ref="N13:Q13"/>
  </mergeCells>
  <conditionalFormatting sqref="B6:Q6">
    <cfRule type="containsBlanks" dxfId="55" priority="3">
      <formula>LEN(TRIM(B6))=0</formula>
    </cfRule>
  </conditionalFormatting>
  <conditionalFormatting sqref="B7:Q15">
    <cfRule type="containsBlanks" dxfId="54" priority="1">
      <formula>LEN(TRIM(B7))=0</formula>
    </cfRule>
  </conditionalFormatting>
  <dataValidations count="1">
    <dataValidation type="decimal" allowBlank="1" showInputMessage="1" showErrorMessage="1" errorTitle="خطا در ورود امتياز" error="لطفا يك عدد بين صفر تا 4 وارد نماييد" promptTitle="توجه:" prompt="حداکثر تا 4 امتیاز" sqref="R6:S1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Base'!$L$53:$L$56</xm:f>
          </x14:formula1>
          <xm:sqref>H6:I15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7.42578125" style="19" customWidth="1"/>
    <col min="8" max="9" width="5" style="19" customWidth="1"/>
    <col min="10" max="11" width="8.85546875" style="19" customWidth="1"/>
    <col min="12" max="12" width="5" style="19" customWidth="1"/>
    <col min="13" max="14" width="8.140625" style="19" customWidth="1"/>
    <col min="15" max="16" width="5.42578125" style="19" customWidth="1"/>
    <col min="17" max="17" width="3.42578125" style="19" customWidth="1"/>
    <col min="18" max="20" width="5.42578125" style="19" customWidth="1"/>
    <col min="21" max="21" width="10.140625" style="19" customWidth="1"/>
    <col min="22" max="16384" width="9.140625" style="19"/>
  </cols>
  <sheetData>
    <row r="1" spans="1:80" ht="17.25">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1.75"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519</v>
      </c>
      <c r="B3" s="1528"/>
      <c r="C3" s="1529"/>
      <c r="D3" s="1529"/>
      <c r="E3" s="1529"/>
      <c r="F3" s="1529"/>
      <c r="G3" s="1529"/>
      <c r="H3" s="1529"/>
      <c r="I3" s="1529"/>
      <c r="J3" s="1529"/>
      <c r="K3" s="1529"/>
      <c r="L3" s="1529"/>
      <c r="M3" s="1529"/>
      <c r="N3" s="1529"/>
      <c r="O3" s="1529"/>
      <c r="P3" s="1529"/>
      <c r="Q3" s="1529"/>
      <c r="R3" s="1529"/>
      <c r="S3" s="1527" t="s">
        <v>520</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7.25" customHeight="1">
      <c r="A4" s="1479" t="s">
        <v>9</v>
      </c>
      <c r="B4" s="1644" t="s">
        <v>240</v>
      </c>
      <c r="C4" s="1645"/>
      <c r="D4" s="1645"/>
      <c r="E4" s="1645"/>
      <c r="F4" s="1645"/>
      <c r="G4" s="1646"/>
      <c r="H4" s="1453" t="s">
        <v>367</v>
      </c>
      <c r="I4" s="1650"/>
      <c r="J4" s="1453" t="s">
        <v>512</v>
      </c>
      <c r="K4" s="1454"/>
      <c r="L4" s="1650" t="s">
        <v>511</v>
      </c>
      <c r="M4" s="1454"/>
      <c r="N4" s="1650" t="s">
        <v>501</v>
      </c>
      <c r="O4" s="1650"/>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455"/>
      <c r="I5" s="1651"/>
      <c r="J5" s="212" t="s">
        <v>301</v>
      </c>
      <c r="K5" s="213" t="s">
        <v>319</v>
      </c>
      <c r="L5" s="1651"/>
      <c r="M5" s="1456"/>
      <c r="N5" s="1651"/>
      <c r="O5" s="1651"/>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8.5" customHeight="1">
      <c r="A6" s="223">
        <v>1</v>
      </c>
      <c r="B6" s="1404"/>
      <c r="C6" s="1404"/>
      <c r="D6" s="1404"/>
      <c r="E6" s="1404"/>
      <c r="F6" s="1404"/>
      <c r="G6" s="1404"/>
      <c r="H6" s="1160"/>
      <c r="I6" s="1161"/>
      <c r="J6" s="118"/>
      <c r="K6" s="119"/>
      <c r="L6" s="1160"/>
      <c r="M6" s="1161"/>
      <c r="N6" s="1201"/>
      <c r="O6" s="1201"/>
      <c r="P6" s="1201"/>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8.5" customHeight="1">
      <c r="A7" s="224">
        <v>2</v>
      </c>
      <c r="B7" s="1157"/>
      <c r="C7" s="1157"/>
      <c r="D7" s="1157"/>
      <c r="E7" s="1157"/>
      <c r="F7" s="1157"/>
      <c r="G7" s="1157"/>
      <c r="H7" s="1202"/>
      <c r="I7" s="1204"/>
      <c r="J7" s="57"/>
      <c r="K7" s="59"/>
      <c r="L7" s="1202"/>
      <c r="M7" s="1204"/>
      <c r="N7" s="1203"/>
      <c r="O7" s="1203"/>
      <c r="P7" s="1203"/>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8.5" customHeight="1">
      <c r="A8" s="224">
        <v>3</v>
      </c>
      <c r="B8" s="1157"/>
      <c r="C8" s="1157"/>
      <c r="D8" s="1157"/>
      <c r="E8" s="1157"/>
      <c r="F8" s="1157"/>
      <c r="G8" s="1157"/>
      <c r="H8" s="1202"/>
      <c r="I8" s="1204"/>
      <c r="J8" s="57"/>
      <c r="K8" s="59"/>
      <c r="L8" s="1202"/>
      <c r="M8" s="1204"/>
      <c r="N8" s="1203"/>
      <c r="O8" s="1203"/>
      <c r="P8" s="1203"/>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8.5" customHeight="1">
      <c r="A9" s="224">
        <v>4</v>
      </c>
      <c r="B9" s="1157"/>
      <c r="C9" s="1157"/>
      <c r="D9" s="1157"/>
      <c r="E9" s="1157"/>
      <c r="F9" s="1157"/>
      <c r="G9" s="1157"/>
      <c r="H9" s="1202"/>
      <c r="I9" s="1204"/>
      <c r="J9" s="57"/>
      <c r="K9" s="59"/>
      <c r="L9" s="1202"/>
      <c r="M9" s="1204"/>
      <c r="N9" s="1203"/>
      <c r="O9" s="1203"/>
      <c r="P9" s="1203"/>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8.5" customHeight="1">
      <c r="A10" s="224">
        <v>5</v>
      </c>
      <c r="B10" s="1157"/>
      <c r="C10" s="1157"/>
      <c r="D10" s="1157"/>
      <c r="E10" s="1157"/>
      <c r="F10" s="1157"/>
      <c r="G10" s="1157"/>
      <c r="H10" s="1202"/>
      <c r="I10" s="1204"/>
      <c r="J10" s="57"/>
      <c r="K10" s="59"/>
      <c r="L10" s="1202"/>
      <c r="M10" s="1204"/>
      <c r="N10" s="1203"/>
      <c r="O10" s="1203"/>
      <c r="P10" s="1203"/>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8.5" customHeight="1">
      <c r="A11" s="224">
        <v>6</v>
      </c>
      <c r="B11" s="1157"/>
      <c r="C11" s="1157"/>
      <c r="D11" s="1157"/>
      <c r="E11" s="1157"/>
      <c r="F11" s="1157"/>
      <c r="G11" s="1157"/>
      <c r="H11" s="1202"/>
      <c r="I11" s="1204"/>
      <c r="J11" s="57"/>
      <c r="K11" s="59"/>
      <c r="L11" s="1202"/>
      <c r="M11" s="1204"/>
      <c r="N11" s="1203"/>
      <c r="O11" s="1203"/>
      <c r="P11" s="1203"/>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8.5" customHeight="1">
      <c r="A12" s="224">
        <v>7</v>
      </c>
      <c r="B12" s="1157"/>
      <c r="C12" s="1157"/>
      <c r="D12" s="1157"/>
      <c r="E12" s="1157"/>
      <c r="F12" s="1157"/>
      <c r="G12" s="1157"/>
      <c r="H12" s="1202"/>
      <c r="I12" s="1204"/>
      <c r="J12" s="57"/>
      <c r="K12" s="59"/>
      <c r="L12" s="1202"/>
      <c r="M12" s="1204"/>
      <c r="N12" s="1203"/>
      <c r="O12" s="1203"/>
      <c r="P12" s="1203"/>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8.5" customHeight="1">
      <c r="A13" s="224">
        <v>8</v>
      </c>
      <c r="B13" s="1157"/>
      <c r="C13" s="1157"/>
      <c r="D13" s="1157"/>
      <c r="E13" s="1157"/>
      <c r="F13" s="1157"/>
      <c r="G13" s="1157"/>
      <c r="H13" s="1202"/>
      <c r="I13" s="1204"/>
      <c r="J13" s="57"/>
      <c r="K13" s="59"/>
      <c r="L13" s="1202"/>
      <c r="M13" s="1204"/>
      <c r="N13" s="1203"/>
      <c r="O13" s="1203"/>
      <c r="P13" s="1203"/>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8.5" customHeight="1">
      <c r="A14" s="224">
        <v>9</v>
      </c>
      <c r="B14" s="1157"/>
      <c r="C14" s="1157"/>
      <c r="D14" s="1157"/>
      <c r="E14" s="1157"/>
      <c r="F14" s="1157"/>
      <c r="G14" s="1157"/>
      <c r="H14" s="1202"/>
      <c r="I14" s="1204"/>
      <c r="J14" s="57"/>
      <c r="K14" s="59"/>
      <c r="L14" s="1202"/>
      <c r="M14" s="1204"/>
      <c r="N14" s="1203"/>
      <c r="O14" s="1203"/>
      <c r="P14" s="1203"/>
      <c r="Q14" s="1204"/>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8.5" customHeight="1" thickBot="1">
      <c r="A15" s="224">
        <v>10</v>
      </c>
      <c r="B15" s="1157"/>
      <c r="C15" s="1157"/>
      <c r="D15" s="1157"/>
      <c r="E15" s="1157"/>
      <c r="F15" s="1157"/>
      <c r="G15" s="1157"/>
      <c r="H15" s="1202"/>
      <c r="I15" s="1204"/>
      <c r="J15" s="659"/>
      <c r="K15" s="59"/>
      <c r="L15" s="1202"/>
      <c r="M15" s="1204"/>
      <c r="N15" s="1203"/>
      <c r="O15" s="1203"/>
      <c r="P15" s="1203"/>
      <c r="Q15" s="1204"/>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7.75" customHeight="1" thickBot="1">
      <c r="A16" s="1143" t="s">
        <v>270</v>
      </c>
      <c r="B16" s="1144"/>
      <c r="C16" s="1144"/>
      <c r="D16" s="1144"/>
      <c r="E16" s="1144"/>
      <c r="F16" s="1144"/>
      <c r="G16" s="1144"/>
      <c r="H16" s="1144"/>
      <c r="I16" s="1144"/>
      <c r="J16" s="1144"/>
      <c r="K16" s="1144"/>
      <c r="L16" s="215">
        <f>SUM(R6:R15)</f>
        <v>0</v>
      </c>
      <c r="M16" s="1189" t="s">
        <v>322</v>
      </c>
      <c r="N16" s="1205"/>
      <c r="O16" s="1205"/>
      <c r="P16" s="1205"/>
      <c r="Q16" s="1205"/>
      <c r="R16" s="216">
        <f>IF(L16&gt;10,10,L16)</f>
        <v>0</v>
      </c>
      <c r="S16" s="217">
        <f>IF(SUM(S6:S15)&gt;10,10,SUM(S6:S15))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7.7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3">
        <f>C2</f>
        <v>0</v>
      </c>
      <c r="S17" s="1433"/>
      <c r="T17" s="1433"/>
      <c r="U17" s="143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7.7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5" spans="22:80" ht="26.25" customHeight="1"/>
    <row r="46" spans="22:80" ht="26.25" customHeight="1"/>
  </sheetData>
  <sheetProtection algorithmName="SHA-512" hashValue="pGMSYDdZIjfoG4+S17kDFPkw8yzbpPPuu8/pgYn+sZ+U0Mfs3qhWyH21WC14PIUZHMnXsYE+KLBaYpdImPvWag==" saltValue="nQtVy4vfzeHBS8KKOuncxQ==" spinCount="100000" sheet="1" objects="1" scenarios="1" formatCells="0" formatRows="0" selectLockedCells="1"/>
  <mergeCells count="69">
    <mergeCell ref="R17:U17"/>
    <mergeCell ref="A18:G18"/>
    <mergeCell ref="H18:N18"/>
    <mergeCell ref="O18:U18"/>
    <mergeCell ref="A16:K16"/>
    <mergeCell ref="M16:Q16"/>
    <mergeCell ref="A17:G17"/>
    <mergeCell ref="H17:J17"/>
    <mergeCell ref="K17:N17"/>
    <mergeCell ref="O17:Q17"/>
    <mergeCell ref="B14:G14"/>
    <mergeCell ref="H14:I14"/>
    <mergeCell ref="L14:M14"/>
    <mergeCell ref="N14:Q14"/>
    <mergeCell ref="B15:G15"/>
    <mergeCell ref="H15:I15"/>
    <mergeCell ref="L15:M15"/>
    <mergeCell ref="N15:Q15"/>
    <mergeCell ref="B12:G12"/>
    <mergeCell ref="H12:I12"/>
    <mergeCell ref="L12:M12"/>
    <mergeCell ref="N12:Q12"/>
    <mergeCell ref="B13:G13"/>
    <mergeCell ref="H13:I13"/>
    <mergeCell ref="L13:M13"/>
    <mergeCell ref="N13:Q13"/>
    <mergeCell ref="B10:G10"/>
    <mergeCell ref="H10:I10"/>
    <mergeCell ref="L10:M10"/>
    <mergeCell ref="N10:Q10"/>
    <mergeCell ref="B11:G11"/>
    <mergeCell ref="H11:I11"/>
    <mergeCell ref="L11:M11"/>
    <mergeCell ref="N11:Q11"/>
    <mergeCell ref="B8:G8"/>
    <mergeCell ref="H8:I8"/>
    <mergeCell ref="L8:M8"/>
    <mergeCell ref="N8:Q8"/>
    <mergeCell ref="B9:G9"/>
    <mergeCell ref="H9:I9"/>
    <mergeCell ref="L9:M9"/>
    <mergeCell ref="N9:Q9"/>
    <mergeCell ref="B6:G6"/>
    <mergeCell ref="H6:I6"/>
    <mergeCell ref="L6:M6"/>
    <mergeCell ref="N6:Q6"/>
    <mergeCell ref="B7:G7"/>
    <mergeCell ref="H7:I7"/>
    <mergeCell ref="L7:M7"/>
    <mergeCell ref="N7:Q7"/>
    <mergeCell ref="A3:R3"/>
    <mergeCell ref="S3:U3"/>
    <mergeCell ref="A4:A5"/>
    <mergeCell ref="B4:G5"/>
    <mergeCell ref="H4:I5"/>
    <mergeCell ref="J4:K4"/>
    <mergeCell ref="L4:M5"/>
    <mergeCell ref="N4:Q5"/>
    <mergeCell ref="R4:T4"/>
    <mergeCell ref="U4:U5"/>
    <mergeCell ref="A1:B2"/>
    <mergeCell ref="C1:G1"/>
    <mergeCell ref="H1:L1"/>
    <mergeCell ref="M1:P1"/>
    <mergeCell ref="Q1:U1"/>
    <mergeCell ref="C2:G2"/>
    <mergeCell ref="H2:L2"/>
    <mergeCell ref="M2:P2"/>
    <mergeCell ref="Q2:U2"/>
  </mergeCells>
  <conditionalFormatting sqref="B6:Q6">
    <cfRule type="containsBlanks" dxfId="53" priority="2">
      <formula>LEN(TRIM(B6))=0</formula>
    </cfRule>
  </conditionalFormatting>
  <conditionalFormatting sqref="B7:Q15">
    <cfRule type="containsBlanks" dxfId="52" priority="1">
      <formula>LEN(TRIM(B7))=0</formula>
    </cfRule>
  </conditionalFormatting>
  <dataValidations count="1">
    <dataValidation type="decimal" allowBlank="1" showInputMessage="1" showErrorMessage="1" errorTitle="خطا در ورود امتياز" error="لطفا يك عدد بين صفر تا 5 وارد نماييد" promptTitle="توجه:" prompt="حداکثر تا 5 امتیاز" sqref="R6:T15">
      <formula1>0</formula1>
      <formula2>5</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Base'!$P$41:$P$44</xm:f>
          </x14:formula1>
          <xm:sqref>H6:I15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I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9" width="7.140625" style="19" customWidth="1"/>
    <col min="10" max="10" width="6.42578125" style="19" customWidth="1"/>
    <col min="11" max="12" width="5.85546875" style="19" customWidth="1"/>
    <col min="13" max="13" width="8.140625" style="19" customWidth="1"/>
    <col min="14" max="14" width="6.85546875" style="19" customWidth="1"/>
    <col min="15" max="16" width="5.42578125" style="19" customWidth="1"/>
    <col min="17" max="17" width="3.42578125" style="19" customWidth="1"/>
    <col min="18" max="20" width="5.42578125" style="19" customWidth="1"/>
    <col min="21" max="21" width="10.140625" style="19" customWidth="1"/>
    <col min="22" max="16384" width="9.140625" style="19"/>
  </cols>
  <sheetData>
    <row r="1" spans="1:80" ht="17.25">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521</v>
      </c>
      <c r="B3" s="1528"/>
      <c r="C3" s="1529"/>
      <c r="D3" s="1529"/>
      <c r="E3" s="1529"/>
      <c r="F3" s="1529"/>
      <c r="G3" s="1529"/>
      <c r="H3" s="1529"/>
      <c r="I3" s="1529"/>
      <c r="J3" s="1529"/>
      <c r="K3" s="1529"/>
      <c r="L3" s="1529"/>
      <c r="M3" s="1529"/>
      <c r="N3" s="1529"/>
      <c r="O3" s="1529"/>
      <c r="P3" s="1529"/>
      <c r="Q3" s="1529"/>
      <c r="R3" s="1529"/>
      <c r="S3" s="1527" t="s">
        <v>522</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240</v>
      </c>
      <c r="C4" s="1645"/>
      <c r="D4" s="1645"/>
      <c r="E4" s="1645"/>
      <c r="F4" s="1645"/>
      <c r="G4" s="1645"/>
      <c r="H4" s="1645"/>
      <c r="I4" s="1646"/>
      <c r="J4" s="1477" t="s">
        <v>523</v>
      </c>
      <c r="K4" s="1650" t="s">
        <v>524</v>
      </c>
      <c r="L4" s="1650"/>
      <c r="M4" s="1454"/>
      <c r="N4" s="1477" t="s">
        <v>525</v>
      </c>
      <c r="O4" s="1453" t="s">
        <v>526</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8"/>
      <c r="H5" s="1648"/>
      <c r="I5" s="1649"/>
      <c r="J5" s="1478"/>
      <c r="K5" s="1651"/>
      <c r="L5" s="1651"/>
      <c r="M5" s="1456"/>
      <c r="N5" s="1478"/>
      <c r="O5" s="1455"/>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8.5" customHeight="1">
      <c r="A6" s="223">
        <v>1</v>
      </c>
      <c r="B6" s="1160" t="s">
        <v>530</v>
      </c>
      <c r="C6" s="1201"/>
      <c r="D6" s="1201"/>
      <c r="E6" s="1201"/>
      <c r="F6" s="1201"/>
      <c r="G6" s="1201"/>
      <c r="H6" s="1201"/>
      <c r="I6" s="1161"/>
      <c r="J6" s="660"/>
      <c r="K6" s="1160"/>
      <c r="L6" s="1201"/>
      <c r="M6" s="1161"/>
      <c r="N6" s="171"/>
      <c r="O6" s="1160"/>
      <c r="P6" s="1201"/>
      <c r="Q6" s="1161"/>
      <c r="R6" s="921">
        <f>IF(AND(N6&lt;&gt;"",N6&lt;=10),0.5,IF(AND(N6&gt;10,N6&lt;25),1,(N6/25)))</f>
        <v>0</v>
      </c>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8.5" customHeight="1">
      <c r="A7" s="224">
        <v>2</v>
      </c>
      <c r="B7" s="1202"/>
      <c r="C7" s="1203"/>
      <c r="D7" s="1203"/>
      <c r="E7" s="1203"/>
      <c r="F7" s="1203"/>
      <c r="G7" s="1203"/>
      <c r="H7" s="1203"/>
      <c r="I7" s="1204"/>
      <c r="J7" s="661"/>
      <c r="K7" s="1202"/>
      <c r="L7" s="1203"/>
      <c r="M7" s="1204"/>
      <c r="N7" s="60"/>
      <c r="O7" s="1202"/>
      <c r="P7" s="1203"/>
      <c r="Q7" s="1204"/>
      <c r="R7" s="921">
        <f t="shared" ref="R7:R15" si="0">IF(AND(N7&lt;&gt;"",N7&lt;=10),0.5,IF(AND(N7&gt;10,N7&lt;25),1,(N7/25)))</f>
        <v>0</v>
      </c>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8.5" customHeight="1">
      <c r="A8" s="224">
        <v>3</v>
      </c>
      <c r="B8" s="1202"/>
      <c r="C8" s="1203"/>
      <c r="D8" s="1203"/>
      <c r="E8" s="1203"/>
      <c r="F8" s="1203"/>
      <c r="G8" s="1203"/>
      <c r="H8" s="1203"/>
      <c r="I8" s="1204"/>
      <c r="J8" s="661"/>
      <c r="K8" s="1202"/>
      <c r="L8" s="1203"/>
      <c r="M8" s="1204"/>
      <c r="N8" s="60"/>
      <c r="O8" s="1202"/>
      <c r="P8" s="1203"/>
      <c r="Q8" s="1204"/>
      <c r="R8" s="921">
        <f t="shared" si="0"/>
        <v>0</v>
      </c>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8.5" customHeight="1">
      <c r="A9" s="224">
        <v>4</v>
      </c>
      <c r="B9" s="1202"/>
      <c r="C9" s="1203"/>
      <c r="D9" s="1203"/>
      <c r="E9" s="1203"/>
      <c r="F9" s="1203"/>
      <c r="G9" s="1203"/>
      <c r="H9" s="1203"/>
      <c r="I9" s="1204"/>
      <c r="J9" s="661"/>
      <c r="K9" s="1202"/>
      <c r="L9" s="1203"/>
      <c r="M9" s="1204"/>
      <c r="N9" s="60"/>
      <c r="O9" s="1202"/>
      <c r="P9" s="1203"/>
      <c r="Q9" s="1204"/>
      <c r="R9" s="921">
        <f t="shared" si="0"/>
        <v>0</v>
      </c>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8.5" customHeight="1">
      <c r="A10" s="224">
        <v>5</v>
      </c>
      <c r="B10" s="1202"/>
      <c r="C10" s="1203"/>
      <c r="D10" s="1203"/>
      <c r="E10" s="1203"/>
      <c r="F10" s="1203"/>
      <c r="G10" s="1203"/>
      <c r="H10" s="1203"/>
      <c r="I10" s="1204"/>
      <c r="J10" s="661"/>
      <c r="K10" s="1202"/>
      <c r="L10" s="1203"/>
      <c r="M10" s="1204"/>
      <c r="N10" s="60"/>
      <c r="O10" s="1202"/>
      <c r="P10" s="1203"/>
      <c r="Q10" s="1204"/>
      <c r="R10" s="921">
        <f t="shared" si="0"/>
        <v>0</v>
      </c>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8.5" customHeight="1">
      <c r="A11" s="224">
        <v>6</v>
      </c>
      <c r="B11" s="1202"/>
      <c r="C11" s="1203"/>
      <c r="D11" s="1203"/>
      <c r="E11" s="1203"/>
      <c r="F11" s="1203"/>
      <c r="G11" s="1203"/>
      <c r="H11" s="1203"/>
      <c r="I11" s="1204"/>
      <c r="J11" s="661"/>
      <c r="K11" s="1202"/>
      <c r="L11" s="1203"/>
      <c r="M11" s="1204"/>
      <c r="N11" s="60"/>
      <c r="O11" s="1202"/>
      <c r="P11" s="1203"/>
      <c r="Q11" s="1204"/>
      <c r="R11" s="921">
        <f t="shared" si="0"/>
        <v>0</v>
      </c>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8.5" customHeight="1">
      <c r="A12" s="224">
        <v>7</v>
      </c>
      <c r="B12" s="1202"/>
      <c r="C12" s="1203"/>
      <c r="D12" s="1203"/>
      <c r="E12" s="1203"/>
      <c r="F12" s="1203"/>
      <c r="G12" s="1203"/>
      <c r="H12" s="1203"/>
      <c r="I12" s="1204"/>
      <c r="J12" s="661"/>
      <c r="K12" s="1202"/>
      <c r="L12" s="1203"/>
      <c r="M12" s="1204"/>
      <c r="N12" s="60"/>
      <c r="O12" s="1202"/>
      <c r="P12" s="1203"/>
      <c r="Q12" s="1204"/>
      <c r="R12" s="921">
        <f t="shared" si="0"/>
        <v>0</v>
      </c>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8.5" customHeight="1">
      <c r="A13" s="224">
        <v>8</v>
      </c>
      <c r="B13" s="1202"/>
      <c r="C13" s="1203"/>
      <c r="D13" s="1203"/>
      <c r="E13" s="1203"/>
      <c r="F13" s="1203"/>
      <c r="G13" s="1203"/>
      <c r="H13" s="1203"/>
      <c r="I13" s="1204"/>
      <c r="J13" s="661"/>
      <c r="K13" s="1202"/>
      <c r="L13" s="1203"/>
      <c r="M13" s="1204"/>
      <c r="N13" s="60"/>
      <c r="O13" s="1202"/>
      <c r="P13" s="1203"/>
      <c r="Q13" s="1204"/>
      <c r="R13" s="921">
        <f t="shared" si="0"/>
        <v>0</v>
      </c>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8.5" customHeight="1">
      <c r="A14" s="224">
        <v>9</v>
      </c>
      <c r="B14" s="1202"/>
      <c r="C14" s="1203"/>
      <c r="D14" s="1203"/>
      <c r="E14" s="1203"/>
      <c r="F14" s="1203"/>
      <c r="G14" s="1203"/>
      <c r="H14" s="1203"/>
      <c r="I14" s="1204"/>
      <c r="J14" s="661"/>
      <c r="K14" s="1202"/>
      <c r="L14" s="1203"/>
      <c r="M14" s="1204"/>
      <c r="N14" s="60"/>
      <c r="O14" s="1202"/>
      <c r="P14" s="1203"/>
      <c r="Q14" s="1204"/>
      <c r="R14" s="921">
        <f t="shared" si="0"/>
        <v>0</v>
      </c>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8.5" customHeight="1" thickBot="1">
      <c r="A15" s="224">
        <v>10</v>
      </c>
      <c r="B15" s="1202"/>
      <c r="C15" s="1203"/>
      <c r="D15" s="1203"/>
      <c r="E15" s="1203"/>
      <c r="F15" s="1203"/>
      <c r="G15" s="1203"/>
      <c r="H15" s="1203"/>
      <c r="I15" s="1204"/>
      <c r="J15" s="661"/>
      <c r="K15" s="1202"/>
      <c r="L15" s="1203"/>
      <c r="M15" s="1204"/>
      <c r="N15" s="60"/>
      <c r="O15" s="1202"/>
      <c r="P15" s="1203"/>
      <c r="Q15" s="1204"/>
      <c r="R15" s="921">
        <f t="shared" si="0"/>
        <v>0</v>
      </c>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7.75" customHeight="1" thickBot="1">
      <c r="A16" s="1143" t="s">
        <v>270</v>
      </c>
      <c r="B16" s="1144"/>
      <c r="C16" s="1144"/>
      <c r="D16" s="1144"/>
      <c r="E16" s="1144"/>
      <c r="F16" s="1144"/>
      <c r="G16" s="1144"/>
      <c r="H16" s="1144"/>
      <c r="I16" s="1144"/>
      <c r="J16" s="1144"/>
      <c r="K16" s="1144"/>
      <c r="L16" s="923">
        <f>SUM(R6:R15)</f>
        <v>0</v>
      </c>
      <c r="M16" s="1189" t="s">
        <v>322</v>
      </c>
      <c r="N16" s="1205"/>
      <c r="O16" s="1205"/>
      <c r="P16" s="1205"/>
      <c r="Q16" s="1205"/>
      <c r="R16" s="922">
        <f>IF(L16&gt;8,8,L16)</f>
        <v>0</v>
      </c>
      <c r="S16" s="924">
        <f>IF(SUM(S6:S15)&gt;8,8,SUM(S6:S15))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7.7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3">
        <f>C2</f>
        <v>0</v>
      </c>
      <c r="S17" s="1433"/>
      <c r="T17" s="1433"/>
      <c r="U17" s="143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7.7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5" spans="22:80" ht="26.25" customHeight="1"/>
    <row r="46" spans="22:80" ht="26.25" customHeight="1"/>
  </sheetData>
  <sheetProtection algorithmName="SHA-512" hashValue="Zg/WY7VWnrtQYs/Zok2chhABylq2QHATQqFcaExS6rKSHcLefjdE/zBv8xnduoC7RIHhLMsko6fQaa5wijQ6Cg==" saltValue="BGzEZsmUX1oRHsMnY8PJXQ==" spinCount="100000" sheet="1" objects="1" scenarios="1" formatCells="0" formatRows="0" selectLockedCells="1"/>
  <mergeCells count="59">
    <mergeCell ref="B15:I15"/>
    <mergeCell ref="K15:M15"/>
    <mergeCell ref="O15:Q15"/>
    <mergeCell ref="B13:I13"/>
    <mergeCell ref="K13:M13"/>
    <mergeCell ref="O13:Q13"/>
    <mergeCell ref="B14:I14"/>
    <mergeCell ref="K14:M14"/>
    <mergeCell ref="O14:Q14"/>
    <mergeCell ref="B11:I11"/>
    <mergeCell ref="K11:M11"/>
    <mergeCell ref="O11:Q11"/>
    <mergeCell ref="B12:I12"/>
    <mergeCell ref="K12:M12"/>
    <mergeCell ref="O12:Q12"/>
    <mergeCell ref="B9:I9"/>
    <mergeCell ref="K9:M9"/>
    <mergeCell ref="O9:Q9"/>
    <mergeCell ref="B10:I10"/>
    <mergeCell ref="K10:M10"/>
    <mergeCell ref="O10:Q10"/>
    <mergeCell ref="B7:I7"/>
    <mergeCell ref="K7:M7"/>
    <mergeCell ref="O7:Q7"/>
    <mergeCell ref="B8:I8"/>
    <mergeCell ref="K8:M8"/>
    <mergeCell ref="O8:Q8"/>
    <mergeCell ref="B6:I6"/>
    <mergeCell ref="O6:Q6"/>
    <mergeCell ref="N4:N5"/>
    <mergeCell ref="K4:M5"/>
    <mergeCell ref="K6:M6"/>
    <mergeCell ref="O4:Q5"/>
    <mergeCell ref="R17:U17"/>
    <mergeCell ref="A18:G18"/>
    <mergeCell ref="H18:N18"/>
    <mergeCell ref="O18:U18"/>
    <mergeCell ref="A16:K16"/>
    <mergeCell ref="M16:Q16"/>
    <mergeCell ref="A17:G17"/>
    <mergeCell ref="H17:J17"/>
    <mergeCell ref="K17:N17"/>
    <mergeCell ref="O17:Q17"/>
    <mergeCell ref="A3:R3"/>
    <mergeCell ref="S3:U3"/>
    <mergeCell ref="A4:A5"/>
    <mergeCell ref="R4:T4"/>
    <mergeCell ref="U4:U5"/>
    <mergeCell ref="J4:J5"/>
    <mergeCell ref="B4:I5"/>
    <mergeCell ref="A1:B2"/>
    <mergeCell ref="C1:G1"/>
    <mergeCell ref="H1:L1"/>
    <mergeCell ref="M1:P1"/>
    <mergeCell ref="Q1:U1"/>
    <mergeCell ref="C2:G2"/>
    <mergeCell ref="H2:L2"/>
    <mergeCell ref="M2:P2"/>
    <mergeCell ref="Q2:U2"/>
  </mergeCells>
  <conditionalFormatting sqref="B6 N6:O6 J6">
    <cfRule type="containsBlanks" dxfId="51" priority="7">
      <formula>LEN(TRIM(B6))=0</formula>
    </cfRule>
  </conditionalFormatting>
  <conditionalFormatting sqref="B7:B15 N7:O15">
    <cfRule type="containsBlanks" dxfId="50" priority="3">
      <formula>LEN(TRIM(B7))=0</formula>
    </cfRule>
  </conditionalFormatting>
  <conditionalFormatting sqref="K7:K15">
    <cfRule type="containsBlanks" dxfId="49" priority="2">
      <formula>LEN(TRIM(K7))=0</formula>
    </cfRule>
  </conditionalFormatting>
  <conditionalFormatting sqref="K6">
    <cfRule type="containsBlanks" dxfId="48" priority="4">
      <formula>LEN(TRIM(K6))=0</formula>
    </cfRule>
  </conditionalFormatting>
  <conditionalFormatting sqref="J7:J15">
    <cfRule type="containsBlanks" dxfId="47" priority="1">
      <formula>LEN(TRIM(J7))=0</formula>
    </cfRule>
  </conditionalFormatting>
  <dataValidations count="2">
    <dataValidation type="decimal" operator="greaterThanOrEqual" allowBlank="1" showInputMessage="1" showErrorMessage="1" errorTitle="خطا در ورود امتياز" error="لطفا يك عدد وارد نماييد" promptTitle="توجه:" prompt="هر 25 ساعت يك امتياز" sqref="S6:S15">
      <formula1>0</formula1>
    </dataValidation>
    <dataValidation type="decimal" operator="greaterThan" allowBlank="1" showInputMessage="1" showErrorMessage="1" errorTitle="خطا در ورود اطلاعات" error="لطفا فقط عدد وارد نماييد" sqref="N6:N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Base'!$R$41:$R$42</xm:f>
          </x14:formula1>
          <xm:sqref>K6:K15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Q6" sqref="Q6"/>
    </sheetView>
  </sheetViews>
  <sheetFormatPr defaultColWidth="9.140625" defaultRowHeight="15"/>
  <cols>
    <col min="1" max="1" width="2.85546875" style="19" customWidth="1"/>
    <col min="2" max="2" width="3.7109375" style="19" customWidth="1"/>
    <col min="3" max="6" width="5.42578125" style="19" customWidth="1"/>
    <col min="7" max="7" width="6.42578125" style="19" customWidth="1"/>
    <col min="8" max="9" width="6" style="19" customWidth="1"/>
    <col min="10" max="10" width="7.5703125" style="19" customWidth="1"/>
    <col min="11" max="11" width="7.28515625" style="19" customWidth="1"/>
    <col min="12" max="12" width="6.42578125" style="19" customWidth="1"/>
    <col min="13" max="13" width="6.5703125" style="19" customWidth="1"/>
    <col min="14" max="15" width="5.85546875" style="19" customWidth="1"/>
    <col min="16" max="17" width="7" style="19" customWidth="1"/>
    <col min="18" max="20" width="5.42578125" style="19" customWidth="1"/>
    <col min="21" max="21" width="7.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949</v>
      </c>
      <c r="B3" s="1528"/>
      <c r="C3" s="1529"/>
      <c r="D3" s="1529"/>
      <c r="E3" s="1529"/>
      <c r="F3" s="1529"/>
      <c r="G3" s="1529"/>
      <c r="H3" s="1529"/>
      <c r="I3" s="1529"/>
      <c r="J3" s="1529"/>
      <c r="K3" s="1529"/>
      <c r="L3" s="1529"/>
      <c r="M3" s="1529"/>
      <c r="N3" s="1529"/>
      <c r="O3" s="1529"/>
      <c r="P3" s="1529"/>
      <c r="Q3" s="1529"/>
      <c r="R3" s="1529"/>
      <c r="S3" s="1527" t="s">
        <v>533</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240</v>
      </c>
      <c r="C4" s="1645"/>
      <c r="D4" s="1645"/>
      <c r="E4" s="1645"/>
      <c r="F4" s="1645"/>
      <c r="G4" s="1645"/>
      <c r="H4" s="1645"/>
      <c r="I4" s="1646"/>
      <c r="J4" s="1477" t="s">
        <v>523</v>
      </c>
      <c r="K4" s="1453" t="s">
        <v>950</v>
      </c>
      <c r="L4" s="1454"/>
      <c r="M4" s="1477" t="s">
        <v>997</v>
      </c>
      <c r="N4" s="1453" t="s">
        <v>531</v>
      </c>
      <c r="O4" s="1650"/>
      <c r="P4" s="1453" t="s">
        <v>532</v>
      </c>
      <c r="Q4" s="1454"/>
      <c r="R4" s="1476"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8"/>
      <c r="H5" s="1648"/>
      <c r="I5" s="1649"/>
      <c r="J5" s="1478"/>
      <c r="K5" s="1455"/>
      <c r="L5" s="1456"/>
      <c r="M5" s="1478"/>
      <c r="N5" s="1455"/>
      <c r="O5" s="1651"/>
      <c r="P5" s="212" t="s">
        <v>487</v>
      </c>
      <c r="Q5" s="213" t="s">
        <v>488</v>
      </c>
      <c r="R5" s="281"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8.5" customHeight="1">
      <c r="A6" s="223">
        <v>1</v>
      </c>
      <c r="B6" s="1160" t="s">
        <v>948</v>
      </c>
      <c r="C6" s="1201"/>
      <c r="D6" s="1201"/>
      <c r="E6" s="1201"/>
      <c r="F6" s="1201"/>
      <c r="G6" s="1201"/>
      <c r="H6" s="1201"/>
      <c r="I6" s="1161"/>
      <c r="J6" s="662"/>
      <c r="K6" s="1160"/>
      <c r="L6" s="1161"/>
      <c r="M6" s="663"/>
      <c r="N6" s="1801"/>
      <c r="O6" s="1802"/>
      <c r="P6" s="664"/>
      <c r="Q6" s="664"/>
      <c r="R6" s="921">
        <f>IF(AND(M6&lt;&gt;"",M6&lt;=25),0.5,IF(AND(M6&gt;25,M6&lt;50),1,(M6/50)))</f>
        <v>0</v>
      </c>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8.5" customHeight="1">
      <c r="A7" s="224">
        <v>2</v>
      </c>
      <c r="B7" s="1202"/>
      <c r="C7" s="1203"/>
      <c r="D7" s="1203"/>
      <c r="E7" s="1203"/>
      <c r="F7" s="1203"/>
      <c r="G7" s="1203"/>
      <c r="H7" s="1203"/>
      <c r="I7" s="1204"/>
      <c r="J7" s="665"/>
      <c r="K7" s="1202"/>
      <c r="L7" s="1204"/>
      <c r="M7" s="666"/>
      <c r="N7" s="1799"/>
      <c r="O7" s="1800"/>
      <c r="P7" s="667"/>
      <c r="Q7" s="667"/>
      <c r="R7" s="921">
        <f t="shared" ref="R7:R15" si="0">IF(AND(M7&lt;&gt;"",M7&lt;=25),0.5,IF(AND(M7&gt;25,M7&lt;50),1,(M7/50)))</f>
        <v>0</v>
      </c>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8.5" customHeight="1">
      <c r="A8" s="224">
        <v>3</v>
      </c>
      <c r="B8" s="1202"/>
      <c r="C8" s="1203"/>
      <c r="D8" s="1203"/>
      <c r="E8" s="1203"/>
      <c r="F8" s="1203"/>
      <c r="G8" s="1203"/>
      <c r="H8" s="1203"/>
      <c r="I8" s="1204"/>
      <c r="J8" s="665"/>
      <c r="K8" s="1202"/>
      <c r="L8" s="1204"/>
      <c r="M8" s="666"/>
      <c r="N8" s="1799"/>
      <c r="O8" s="1800"/>
      <c r="P8" s="667"/>
      <c r="Q8" s="667"/>
      <c r="R8" s="921">
        <f t="shared" si="0"/>
        <v>0</v>
      </c>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8.5" customHeight="1">
      <c r="A9" s="224">
        <v>4</v>
      </c>
      <c r="B9" s="1202"/>
      <c r="C9" s="1203"/>
      <c r="D9" s="1203"/>
      <c r="E9" s="1203"/>
      <c r="F9" s="1203"/>
      <c r="G9" s="1203"/>
      <c r="H9" s="1203"/>
      <c r="I9" s="1204"/>
      <c r="J9" s="665"/>
      <c r="K9" s="1202"/>
      <c r="L9" s="1204"/>
      <c r="M9" s="666"/>
      <c r="N9" s="1799"/>
      <c r="O9" s="1800"/>
      <c r="P9" s="667"/>
      <c r="Q9" s="667"/>
      <c r="R9" s="921">
        <f t="shared" si="0"/>
        <v>0</v>
      </c>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8.5" customHeight="1">
      <c r="A10" s="224">
        <v>5</v>
      </c>
      <c r="B10" s="1202"/>
      <c r="C10" s="1203"/>
      <c r="D10" s="1203"/>
      <c r="E10" s="1203"/>
      <c r="F10" s="1203"/>
      <c r="G10" s="1203"/>
      <c r="H10" s="1203"/>
      <c r="I10" s="1204"/>
      <c r="J10" s="665"/>
      <c r="K10" s="1202"/>
      <c r="L10" s="1204"/>
      <c r="M10" s="666"/>
      <c r="N10" s="1799"/>
      <c r="O10" s="1800"/>
      <c r="P10" s="667"/>
      <c r="Q10" s="667"/>
      <c r="R10" s="921">
        <f t="shared" si="0"/>
        <v>0</v>
      </c>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8.5" customHeight="1">
      <c r="A11" s="224">
        <v>6</v>
      </c>
      <c r="B11" s="1202"/>
      <c r="C11" s="1203"/>
      <c r="D11" s="1203"/>
      <c r="E11" s="1203"/>
      <c r="F11" s="1203"/>
      <c r="G11" s="1203"/>
      <c r="H11" s="1203"/>
      <c r="I11" s="1204"/>
      <c r="J11" s="665"/>
      <c r="K11" s="1202"/>
      <c r="L11" s="1204"/>
      <c r="M11" s="666"/>
      <c r="N11" s="1799"/>
      <c r="O11" s="1800"/>
      <c r="P11" s="667"/>
      <c r="Q11" s="667"/>
      <c r="R11" s="921">
        <f t="shared" si="0"/>
        <v>0</v>
      </c>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8.5" customHeight="1">
      <c r="A12" s="224">
        <v>7</v>
      </c>
      <c r="B12" s="1202"/>
      <c r="C12" s="1203"/>
      <c r="D12" s="1203"/>
      <c r="E12" s="1203"/>
      <c r="F12" s="1203"/>
      <c r="G12" s="1203"/>
      <c r="H12" s="1203"/>
      <c r="I12" s="1204"/>
      <c r="J12" s="665"/>
      <c r="K12" s="1202"/>
      <c r="L12" s="1204"/>
      <c r="M12" s="666"/>
      <c r="N12" s="1799"/>
      <c r="O12" s="1800"/>
      <c r="P12" s="667"/>
      <c r="Q12" s="667"/>
      <c r="R12" s="921">
        <f t="shared" si="0"/>
        <v>0</v>
      </c>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8.5" customHeight="1">
      <c r="A13" s="224">
        <v>8</v>
      </c>
      <c r="B13" s="1202"/>
      <c r="C13" s="1203"/>
      <c r="D13" s="1203"/>
      <c r="E13" s="1203"/>
      <c r="F13" s="1203"/>
      <c r="G13" s="1203"/>
      <c r="H13" s="1203"/>
      <c r="I13" s="1204"/>
      <c r="J13" s="665"/>
      <c r="K13" s="1202"/>
      <c r="L13" s="1204"/>
      <c r="M13" s="666"/>
      <c r="N13" s="1799"/>
      <c r="O13" s="1800"/>
      <c r="P13" s="667"/>
      <c r="Q13" s="667"/>
      <c r="R13" s="921">
        <f t="shared" si="0"/>
        <v>0</v>
      </c>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8.5" customHeight="1">
      <c r="A14" s="224">
        <v>9</v>
      </c>
      <c r="B14" s="1202"/>
      <c r="C14" s="1203"/>
      <c r="D14" s="1203"/>
      <c r="E14" s="1203"/>
      <c r="F14" s="1203"/>
      <c r="G14" s="1203"/>
      <c r="H14" s="1203"/>
      <c r="I14" s="1204"/>
      <c r="J14" s="665"/>
      <c r="K14" s="1202"/>
      <c r="L14" s="1204"/>
      <c r="M14" s="666"/>
      <c r="N14" s="1799"/>
      <c r="O14" s="1800"/>
      <c r="P14" s="667"/>
      <c r="Q14" s="667"/>
      <c r="R14" s="921">
        <f t="shared" si="0"/>
        <v>0</v>
      </c>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8.5" customHeight="1" thickBot="1">
      <c r="A15" s="224">
        <v>10</v>
      </c>
      <c r="B15" s="1202"/>
      <c r="C15" s="1203"/>
      <c r="D15" s="1203"/>
      <c r="E15" s="1203"/>
      <c r="F15" s="1203"/>
      <c r="G15" s="1203"/>
      <c r="H15" s="1203"/>
      <c r="I15" s="1204"/>
      <c r="J15" s="665"/>
      <c r="K15" s="1202"/>
      <c r="L15" s="1204"/>
      <c r="M15" s="666"/>
      <c r="N15" s="1799"/>
      <c r="O15" s="1800"/>
      <c r="P15" s="667"/>
      <c r="Q15" s="667"/>
      <c r="R15" s="921">
        <f t="shared" si="0"/>
        <v>0</v>
      </c>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7.75" customHeight="1" thickBot="1">
      <c r="A16" s="1143" t="s">
        <v>270</v>
      </c>
      <c r="B16" s="1144"/>
      <c r="C16" s="1144"/>
      <c r="D16" s="1144"/>
      <c r="E16" s="1144"/>
      <c r="F16" s="1144"/>
      <c r="G16" s="1144"/>
      <c r="H16" s="1144"/>
      <c r="I16" s="1144"/>
      <c r="J16" s="1144"/>
      <c r="K16" s="1144"/>
      <c r="L16" s="923">
        <f>SUM(R6:R15)</f>
        <v>0</v>
      </c>
      <c r="M16" s="1189" t="s">
        <v>853</v>
      </c>
      <c r="N16" s="1205"/>
      <c r="O16" s="1205"/>
      <c r="P16" s="1205"/>
      <c r="Q16" s="1205"/>
      <c r="R16" s="922">
        <f>IF(L16&gt;5,5,L16)</f>
        <v>0</v>
      </c>
      <c r="S16" s="924">
        <f>IF(SUM(S6:S15)&gt;5,5,SUM(S6:S15))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7.75" customHeight="1">
      <c r="A17" s="1507" t="s">
        <v>31</v>
      </c>
      <c r="B17" s="1508"/>
      <c r="C17" s="1508"/>
      <c r="D17" s="1508"/>
      <c r="E17" s="1508"/>
      <c r="F17" s="1508"/>
      <c r="G17" s="1508"/>
      <c r="H17" s="1430" t="s">
        <v>32</v>
      </c>
      <c r="I17" s="1430"/>
      <c r="J17" s="1430"/>
      <c r="K17" s="1431">
        <f>Q2</f>
        <v>0</v>
      </c>
      <c r="L17" s="1432"/>
      <c r="M17" s="1432"/>
      <c r="N17" s="1432"/>
      <c r="O17" s="1430" t="s">
        <v>33</v>
      </c>
      <c r="P17" s="1430"/>
      <c r="Q17" s="1430"/>
      <c r="R17" s="1432">
        <f>C2</f>
        <v>0</v>
      </c>
      <c r="S17" s="1432"/>
      <c r="T17" s="1432"/>
      <c r="U17" s="1506"/>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7.7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5" spans="22:80" ht="26.25" customHeight="1"/>
    <row r="46" spans="22:80" ht="26.25" customHeight="1"/>
  </sheetData>
  <sheetProtection algorithmName="SHA-512" hashValue="8F2poaq0nF8Keqy2ZRzyOZwozc5Co0K/HQqn95Uc/PtFCrT/pj10CS7IgDogWL/ARseK8EgaomIEs0ydbMeYCw==" saltValue="iyUwSELbhMSFbe+YV5rYeg==" spinCount="100000" sheet="1" objects="1" scenarios="1" formatCells="0" formatRows="0" selectLockedCells="1"/>
  <mergeCells count="60">
    <mergeCell ref="R17:U17"/>
    <mergeCell ref="A18:G18"/>
    <mergeCell ref="H18:N18"/>
    <mergeCell ref="O18:U18"/>
    <mergeCell ref="P4:Q4"/>
    <mergeCell ref="M4:M5"/>
    <mergeCell ref="K4:L5"/>
    <mergeCell ref="N4:O5"/>
    <mergeCell ref="K6:L6"/>
    <mergeCell ref="N6:O6"/>
    <mergeCell ref="A16:K16"/>
    <mergeCell ref="M16:Q16"/>
    <mergeCell ref="A17:G17"/>
    <mergeCell ref="H17:J17"/>
    <mergeCell ref="K17:N17"/>
    <mergeCell ref="O17:Q17"/>
    <mergeCell ref="B14:I14"/>
    <mergeCell ref="B15:I15"/>
    <mergeCell ref="K14:L14"/>
    <mergeCell ref="N14:O14"/>
    <mergeCell ref="K15:L15"/>
    <mergeCell ref="N15:O15"/>
    <mergeCell ref="B12:I12"/>
    <mergeCell ref="B13:I13"/>
    <mergeCell ref="K12:L12"/>
    <mergeCell ref="N12:O12"/>
    <mergeCell ref="K13:L13"/>
    <mergeCell ref="N13:O13"/>
    <mergeCell ref="B10:I10"/>
    <mergeCell ref="B11:I11"/>
    <mergeCell ref="K10:L10"/>
    <mergeCell ref="N10:O10"/>
    <mergeCell ref="K11:L11"/>
    <mergeCell ref="N11:O11"/>
    <mergeCell ref="B8:I8"/>
    <mergeCell ref="B9:I9"/>
    <mergeCell ref="K8:L8"/>
    <mergeCell ref="N8:O8"/>
    <mergeCell ref="K9:L9"/>
    <mergeCell ref="N9:O9"/>
    <mergeCell ref="B6:I6"/>
    <mergeCell ref="B7:I7"/>
    <mergeCell ref="K7:L7"/>
    <mergeCell ref="N7:O7"/>
    <mergeCell ref="A3:R3"/>
    <mergeCell ref="S3:U3"/>
    <mergeCell ref="A4:A5"/>
    <mergeCell ref="B4:I5"/>
    <mergeCell ref="J4:J5"/>
    <mergeCell ref="R4:T4"/>
    <mergeCell ref="U4:U5"/>
    <mergeCell ref="A1:B2"/>
    <mergeCell ref="C1:G1"/>
    <mergeCell ref="H1:L1"/>
    <mergeCell ref="M1:P1"/>
    <mergeCell ref="Q1:U1"/>
    <mergeCell ref="C2:G2"/>
    <mergeCell ref="H2:L2"/>
    <mergeCell ref="M2:P2"/>
    <mergeCell ref="Q2:U2"/>
  </mergeCells>
  <conditionalFormatting sqref="B6:Q6">
    <cfRule type="containsBlanks" dxfId="46" priority="6">
      <formula>LEN(TRIM(B6))=0</formula>
    </cfRule>
  </conditionalFormatting>
  <conditionalFormatting sqref="B7:Q15">
    <cfRule type="containsBlanks" dxfId="45" priority="1">
      <formula>LEN(TRIM(B7))=0</formula>
    </cfRule>
  </conditionalFormatting>
  <dataValidations count="2">
    <dataValidation type="decimal" operator="greaterThan" allowBlank="1" showInputMessage="1" showErrorMessage="1" errorTitle="خطا در ورود اطلاعات" error="لطفا فقط عدد وارد نماييد" sqref="M6:M15">
      <formula1>0</formula1>
    </dataValidation>
    <dataValidation type="decimal" operator="greaterThanOrEqual" allowBlank="1" showInputMessage="1" showErrorMessage="1" errorTitle="خطا در ورود امتياز" promptTitle="توجه:" prompt="هر 50 ساعت يك امتياز" sqref="S6:S15">
      <formula1>0</formula1>
    </dataValidation>
  </dataValidations>
  <printOptions horizontalCentered="1" verticalCentered="1"/>
  <pageMargins left="0" right="0" top="0.5" bottom="0" header="0" footer="0"/>
  <pageSetup orientation="landscape" blackAndWhite="1" errors="blank"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L14" sqref="L14"/>
    </sheetView>
  </sheetViews>
  <sheetFormatPr defaultColWidth="9.140625" defaultRowHeight="15"/>
  <cols>
    <col min="1" max="1" width="2.85546875" style="19" customWidth="1"/>
    <col min="2" max="2" width="3.7109375" style="19" customWidth="1"/>
    <col min="3" max="6" width="5.42578125" style="19" customWidth="1"/>
    <col min="7" max="8" width="6.42578125" style="19" customWidth="1"/>
    <col min="9" max="11" width="6.28515625" style="19" customWidth="1"/>
    <col min="12" max="12" width="9" style="19" customWidth="1"/>
    <col min="13" max="14" width="7.5703125" style="19" customWidth="1"/>
    <col min="15" max="16" width="5.42578125" style="19" customWidth="1"/>
    <col min="17" max="17" width="4.28515625" style="19" customWidth="1"/>
    <col min="18" max="20" width="5.42578125" style="19" customWidth="1"/>
    <col min="21" max="21" width="9.7109375" style="19" customWidth="1"/>
    <col min="22" max="16384" width="9.140625" style="19"/>
  </cols>
  <sheetData>
    <row r="1" spans="1:80" ht="17.25">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38.25" customHeight="1" thickBot="1">
      <c r="A3" s="1528" t="s">
        <v>1035</v>
      </c>
      <c r="B3" s="1528"/>
      <c r="C3" s="1529"/>
      <c r="D3" s="1529"/>
      <c r="E3" s="1529"/>
      <c r="F3" s="1529"/>
      <c r="G3" s="1529"/>
      <c r="H3" s="1529"/>
      <c r="I3" s="1529"/>
      <c r="J3" s="1529"/>
      <c r="K3" s="1529"/>
      <c r="L3" s="1529"/>
      <c r="M3" s="1529"/>
      <c r="N3" s="1529"/>
      <c r="O3" s="1529"/>
      <c r="P3" s="1529"/>
      <c r="Q3" s="1529"/>
      <c r="R3" s="1529"/>
      <c r="S3" s="1527" t="s">
        <v>534</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825</v>
      </c>
      <c r="C4" s="1645"/>
      <c r="D4" s="1645"/>
      <c r="E4" s="1645"/>
      <c r="F4" s="1645"/>
      <c r="G4" s="1646"/>
      <c r="H4" s="1803" t="s">
        <v>826</v>
      </c>
      <c r="I4" s="1453" t="s">
        <v>331</v>
      </c>
      <c r="J4" s="1650"/>
      <c r="K4" s="1454"/>
      <c r="L4" s="1482" t="s">
        <v>367</v>
      </c>
      <c r="M4" s="1482" t="s">
        <v>535</v>
      </c>
      <c r="N4" s="1482"/>
      <c r="O4" s="1650" t="s">
        <v>536</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804"/>
      <c r="I5" s="1455"/>
      <c r="J5" s="1651"/>
      <c r="K5" s="1456"/>
      <c r="L5" s="1483"/>
      <c r="M5" s="1483"/>
      <c r="N5" s="1483"/>
      <c r="O5" s="1651"/>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6.25" customHeight="1">
      <c r="A6" s="223">
        <v>1</v>
      </c>
      <c r="B6" s="1196"/>
      <c r="C6" s="1197"/>
      <c r="D6" s="1197"/>
      <c r="E6" s="1197"/>
      <c r="F6" s="1197"/>
      <c r="G6" s="1198"/>
      <c r="H6" s="501"/>
      <c r="I6" s="1201"/>
      <c r="J6" s="1201"/>
      <c r="K6" s="1161"/>
      <c r="L6" s="501"/>
      <c r="M6" s="1404"/>
      <c r="N6" s="1404"/>
      <c r="O6" s="1160"/>
      <c r="P6" s="1201"/>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6.25" customHeight="1">
      <c r="A7" s="224">
        <v>2</v>
      </c>
      <c r="B7" s="1202"/>
      <c r="C7" s="1203"/>
      <c r="D7" s="1203"/>
      <c r="E7" s="1203"/>
      <c r="F7" s="1203"/>
      <c r="G7" s="1204"/>
      <c r="H7" s="57"/>
      <c r="I7" s="1203"/>
      <c r="J7" s="1203"/>
      <c r="K7" s="1204"/>
      <c r="L7" s="57"/>
      <c r="M7" s="1157"/>
      <c r="N7" s="1157"/>
      <c r="O7" s="1202"/>
      <c r="P7" s="1203"/>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6.25" customHeight="1">
      <c r="A8" s="224">
        <v>3</v>
      </c>
      <c r="B8" s="1202"/>
      <c r="C8" s="1203"/>
      <c r="D8" s="1203"/>
      <c r="E8" s="1203"/>
      <c r="F8" s="1203"/>
      <c r="G8" s="1204"/>
      <c r="H8" s="57"/>
      <c r="I8" s="1203"/>
      <c r="J8" s="1203"/>
      <c r="K8" s="1204"/>
      <c r="L8" s="57"/>
      <c r="M8" s="1157"/>
      <c r="N8" s="1157"/>
      <c r="O8" s="1202"/>
      <c r="P8" s="1203"/>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6.25" customHeight="1">
      <c r="A9" s="224">
        <v>4</v>
      </c>
      <c r="B9" s="1202"/>
      <c r="C9" s="1203"/>
      <c r="D9" s="1203"/>
      <c r="E9" s="1203"/>
      <c r="F9" s="1203"/>
      <c r="G9" s="1204"/>
      <c r="H9" s="57"/>
      <c r="I9" s="1203"/>
      <c r="J9" s="1203"/>
      <c r="K9" s="1204"/>
      <c r="L9" s="57"/>
      <c r="M9" s="1157"/>
      <c r="N9" s="1157"/>
      <c r="O9" s="1202"/>
      <c r="P9" s="1203"/>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6.25" customHeight="1">
      <c r="A10" s="224">
        <v>5</v>
      </c>
      <c r="B10" s="1202"/>
      <c r="C10" s="1203"/>
      <c r="D10" s="1203"/>
      <c r="E10" s="1203"/>
      <c r="F10" s="1203"/>
      <c r="G10" s="1204"/>
      <c r="H10" s="57"/>
      <c r="I10" s="1203"/>
      <c r="J10" s="1203"/>
      <c r="K10" s="1204"/>
      <c r="L10" s="57"/>
      <c r="M10" s="1157"/>
      <c r="N10" s="1157"/>
      <c r="O10" s="1202"/>
      <c r="P10" s="1203"/>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6.25" customHeight="1">
      <c r="A11" s="224">
        <v>6</v>
      </c>
      <c r="B11" s="1202"/>
      <c r="C11" s="1203"/>
      <c r="D11" s="1203"/>
      <c r="E11" s="1203"/>
      <c r="F11" s="1203"/>
      <c r="G11" s="1204"/>
      <c r="H11" s="57"/>
      <c r="I11" s="1203"/>
      <c r="J11" s="1203"/>
      <c r="K11" s="1204"/>
      <c r="L11" s="57"/>
      <c r="M11" s="1157"/>
      <c r="N11" s="1157"/>
      <c r="O11" s="1202"/>
      <c r="P11" s="1203"/>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6.25" customHeight="1">
      <c r="A12" s="224">
        <v>7</v>
      </c>
      <c r="B12" s="1202"/>
      <c r="C12" s="1203"/>
      <c r="D12" s="1203"/>
      <c r="E12" s="1203"/>
      <c r="F12" s="1203"/>
      <c r="G12" s="1204"/>
      <c r="H12" s="57"/>
      <c r="I12" s="1203"/>
      <c r="J12" s="1203"/>
      <c r="K12" s="1204"/>
      <c r="L12" s="57"/>
      <c r="M12" s="1157"/>
      <c r="N12" s="1157"/>
      <c r="O12" s="1202"/>
      <c r="P12" s="1203"/>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6.25" customHeight="1">
      <c r="A13" s="224">
        <v>8</v>
      </c>
      <c r="B13" s="1202"/>
      <c r="C13" s="1203"/>
      <c r="D13" s="1203"/>
      <c r="E13" s="1203"/>
      <c r="F13" s="1203"/>
      <c r="G13" s="1204"/>
      <c r="H13" s="57"/>
      <c r="I13" s="1203"/>
      <c r="J13" s="1203"/>
      <c r="K13" s="1204"/>
      <c r="L13" s="57"/>
      <c r="M13" s="1157"/>
      <c r="N13" s="1157"/>
      <c r="O13" s="1202"/>
      <c r="P13" s="1203"/>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6.25" customHeight="1">
      <c r="A14" s="224">
        <v>9</v>
      </c>
      <c r="B14" s="1202"/>
      <c r="C14" s="1203"/>
      <c r="D14" s="1203"/>
      <c r="E14" s="1203"/>
      <c r="F14" s="1203"/>
      <c r="G14" s="1204"/>
      <c r="H14" s="57"/>
      <c r="I14" s="1203"/>
      <c r="J14" s="1203"/>
      <c r="K14" s="1204"/>
      <c r="L14" s="57"/>
      <c r="M14" s="1157"/>
      <c r="N14" s="1157"/>
      <c r="O14" s="1202"/>
      <c r="P14" s="1203"/>
      <c r="Q14" s="1204"/>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6.25" customHeight="1" thickBot="1">
      <c r="A15" s="225">
        <v>10</v>
      </c>
      <c r="B15" s="1244"/>
      <c r="C15" s="1245"/>
      <c r="D15" s="1245"/>
      <c r="E15" s="1245"/>
      <c r="F15" s="1245"/>
      <c r="G15" s="1246"/>
      <c r="H15" s="640"/>
      <c r="I15" s="1245"/>
      <c r="J15" s="1245"/>
      <c r="K15" s="1246"/>
      <c r="L15" s="640"/>
      <c r="M15" s="1182"/>
      <c r="N15" s="1182"/>
      <c r="O15" s="1244"/>
      <c r="P15" s="1245"/>
      <c r="Q15" s="1246"/>
      <c r="R15" s="552"/>
      <c r="S15" s="176"/>
      <c r="T15" s="147"/>
      <c r="U15" s="146"/>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4.75" customHeight="1">
      <c r="A16" s="1805" t="s">
        <v>830</v>
      </c>
      <c r="B16" s="1806"/>
      <c r="C16" s="1806"/>
      <c r="D16" s="1806"/>
      <c r="E16" s="1806"/>
      <c r="F16" s="1806"/>
      <c r="G16" s="1806"/>
      <c r="H16" s="1806"/>
      <c r="I16" s="1806"/>
      <c r="J16" s="1806"/>
      <c r="K16" s="1806"/>
      <c r="L16" s="282">
        <f>SUMIF((L6:L15),('Data Base'!K53),(R6:R15))</f>
        <v>0</v>
      </c>
      <c r="M16" s="1807" t="s">
        <v>322</v>
      </c>
      <c r="N16" s="1807"/>
      <c r="O16" s="1807"/>
      <c r="P16" s="1807"/>
      <c r="Q16" s="1807"/>
      <c r="R16" s="283">
        <f>IF(L16&gt;10,10,L16)</f>
        <v>0</v>
      </c>
      <c r="S16" s="205">
        <f>IF(SUMIF((L6:L15),('Data Base'!K53),(S6:S15))&gt;10,10,SUMIF((L6:L15),('Data Base'!K53),(S6:S15)))</f>
        <v>0</v>
      </c>
      <c r="T16" s="544"/>
      <c r="U16" s="545"/>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4.75" customHeight="1" thickBot="1">
      <c r="A17" s="1808" t="s">
        <v>831</v>
      </c>
      <c r="B17" s="1809"/>
      <c r="C17" s="1809"/>
      <c r="D17" s="1809"/>
      <c r="E17" s="1809"/>
      <c r="F17" s="1809"/>
      <c r="G17" s="1809"/>
      <c r="H17" s="1809"/>
      <c r="I17" s="1809"/>
      <c r="J17" s="1809"/>
      <c r="K17" s="1809"/>
      <c r="L17" s="284">
        <f>SUMIF((L6:L15),('Data Base'!K54),(R6:R15))</f>
        <v>0</v>
      </c>
      <c r="M17" s="1810" t="s">
        <v>322</v>
      </c>
      <c r="N17" s="1810"/>
      <c r="O17" s="1810"/>
      <c r="P17" s="1810"/>
      <c r="Q17" s="1810"/>
      <c r="R17" s="285">
        <f>IF(L17&gt;6,6,L17)</f>
        <v>0</v>
      </c>
      <c r="S17" s="208">
        <f>IF(SUMIF((L6:L15),('Data Base'!K54),(S6:S15))&gt;6,6,SUMIF((L6:L15),('Data Base'!K54),(S6:S15)))</f>
        <v>0</v>
      </c>
      <c r="T17" s="546"/>
      <c r="U17" s="668"/>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6.75" customHeight="1">
      <c r="A18" s="1507" t="s">
        <v>31</v>
      </c>
      <c r="B18" s="1508"/>
      <c r="C18" s="1508"/>
      <c r="D18" s="1508"/>
      <c r="E18" s="1508"/>
      <c r="F18" s="1508"/>
      <c r="G18" s="1508"/>
      <c r="H18" s="1430" t="s">
        <v>32</v>
      </c>
      <c r="I18" s="1430"/>
      <c r="J18" s="1430"/>
      <c r="K18" s="1431">
        <f>Q2</f>
        <v>0</v>
      </c>
      <c r="L18" s="1432"/>
      <c r="M18" s="1432"/>
      <c r="N18" s="1432"/>
      <c r="O18" s="1430" t="s">
        <v>33</v>
      </c>
      <c r="P18" s="1430"/>
      <c r="Q18" s="1430"/>
      <c r="R18" s="1432">
        <f>C2</f>
        <v>0</v>
      </c>
      <c r="S18" s="1432"/>
      <c r="T18" s="1432"/>
      <c r="U18" s="150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36.75" customHeight="1" thickBot="1">
      <c r="A19" s="1437">
        <f>'فرم الف'!A27</f>
        <v>0</v>
      </c>
      <c r="B19" s="1425"/>
      <c r="C19" s="1425"/>
      <c r="D19" s="1425"/>
      <c r="E19" s="1425"/>
      <c r="F19" s="1425"/>
      <c r="G19" s="1425"/>
      <c r="H19" s="1425">
        <f>'فرم الف'!E27</f>
        <v>0</v>
      </c>
      <c r="I19" s="1425"/>
      <c r="J19" s="1425"/>
      <c r="K19" s="1425"/>
      <c r="L19" s="1425"/>
      <c r="M19" s="1425"/>
      <c r="N19" s="1425"/>
      <c r="O19" s="1425" t="str">
        <f>'فرم الف'!J27</f>
        <v/>
      </c>
      <c r="P19" s="1425"/>
      <c r="Q19" s="1425"/>
      <c r="R19" s="1425"/>
      <c r="S19" s="1425"/>
      <c r="T19" s="1425"/>
      <c r="U19" s="1426"/>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36.7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27.75" customHeight="1">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27.7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7.7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17.25" customHeight="1">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20.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17.25" customHeight="1">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20.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0.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17.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20.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17.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20.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17.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20.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17.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20.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17.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20.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50" ht="26.25" customHeight="1"/>
    <row r="51" ht="26.25" customHeight="1"/>
  </sheetData>
  <sheetProtection algorithmName="SHA-512" hashValue="nnb2PLNS2kND2Ql4l4uZe1Hhbt1MS4LAcjjr/cgg2shXuIByWlRIrRN15s46b5Nds/NfhFFPmMucEkqWgcEy7Q==" saltValue="rxws4quyNVfz3LdIkTA2hg==" spinCount="100000" sheet="1" objects="1" scenarios="1" formatCells="0" formatRows="0" selectLockedCells="1"/>
  <mergeCells count="72">
    <mergeCell ref="O14:Q14"/>
    <mergeCell ref="M15:N15"/>
    <mergeCell ref="O15:Q15"/>
    <mergeCell ref="A17:K17"/>
    <mergeCell ref="M17:Q17"/>
    <mergeCell ref="I15:K15"/>
    <mergeCell ref="I14:K14"/>
    <mergeCell ref="B14:G14"/>
    <mergeCell ref="B15:G15"/>
    <mergeCell ref="M6:N6"/>
    <mergeCell ref="M14:N14"/>
    <mergeCell ref="I9:K9"/>
    <mergeCell ref="M9:N9"/>
    <mergeCell ref="M7:N7"/>
    <mergeCell ref="M8:N8"/>
    <mergeCell ref="O12:Q12"/>
    <mergeCell ref="M13:N13"/>
    <mergeCell ref="O13:Q13"/>
    <mergeCell ref="I10:K10"/>
    <mergeCell ref="I11:K11"/>
    <mergeCell ref="M10:N10"/>
    <mergeCell ref="O10:Q10"/>
    <mergeCell ref="M11:N11"/>
    <mergeCell ref="O11:Q11"/>
    <mergeCell ref="I12:K12"/>
    <mergeCell ref="I13:K13"/>
    <mergeCell ref="M12:N12"/>
    <mergeCell ref="B12:G12"/>
    <mergeCell ref="B13:G13"/>
    <mergeCell ref="B10:G10"/>
    <mergeCell ref="A19:G19"/>
    <mergeCell ref="H19:N19"/>
    <mergeCell ref="B11:G11"/>
    <mergeCell ref="O19:U19"/>
    <mergeCell ref="A16:K16"/>
    <mergeCell ref="M16:Q16"/>
    <mergeCell ref="A18:G18"/>
    <mergeCell ref="H18:J18"/>
    <mergeCell ref="K18:N18"/>
    <mergeCell ref="O18:Q18"/>
    <mergeCell ref="R18:U18"/>
    <mergeCell ref="B8:G8"/>
    <mergeCell ref="B9:G9"/>
    <mergeCell ref="I8:K8"/>
    <mergeCell ref="S3:U3"/>
    <mergeCell ref="B6:G6"/>
    <mergeCell ref="B7:G7"/>
    <mergeCell ref="A3:R3"/>
    <mergeCell ref="I6:K6"/>
    <mergeCell ref="I7:K7"/>
    <mergeCell ref="O9:Q9"/>
    <mergeCell ref="O6:Q6"/>
    <mergeCell ref="O7:Q7"/>
    <mergeCell ref="O8:Q8"/>
    <mergeCell ref="A4:A5"/>
    <mergeCell ref="B4:G5"/>
    <mergeCell ref="R4:T4"/>
    <mergeCell ref="U4:U5"/>
    <mergeCell ref="M4:N5"/>
    <mergeCell ref="O4:Q5"/>
    <mergeCell ref="L4:L5"/>
    <mergeCell ref="H4:H5"/>
    <mergeCell ref="I4:K5"/>
    <mergeCell ref="A1:B2"/>
    <mergeCell ref="C1:G1"/>
    <mergeCell ref="H1:L1"/>
    <mergeCell ref="M1:P1"/>
    <mergeCell ref="Q1:U1"/>
    <mergeCell ref="C2:G2"/>
    <mergeCell ref="H2:L2"/>
    <mergeCell ref="M2:P2"/>
    <mergeCell ref="Q2:U2"/>
  </mergeCells>
  <conditionalFormatting sqref="B6:M6 O6">
    <cfRule type="containsBlanks" dxfId="44" priority="4">
      <formula>LEN(TRIM(B6))=0</formula>
    </cfRule>
  </conditionalFormatting>
  <conditionalFormatting sqref="B7:M15 O7:O15">
    <cfRule type="containsBlanks" dxfId="43" priority="1">
      <formula>LEN(TRIM(B7))=0</formula>
    </cfRule>
  </conditionalFormatting>
  <dataValidations count="2">
    <dataValidation allowBlank="1" showInputMessage="1" showErrorMessage="1" promptTitle="توجه:" prompt="تعیین اعتبار ناشر بر عهده هیات ممیزه است." sqref="I6:K15"/>
    <dataValidation type="decimal" operator="greaterThanOrEqual" allowBlank="1" showInputMessage="1" showErrorMessage="1" errorTitle="خطا در ورود امتياز" error="لطفا يك عدد وارد نماييد" promptTitle="توجه:" prompt="جهت تدوين كتاب حداكثر امتيار در واحد كار تا 4 امتياز مي باشد" sqref="R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Base'!$K$53:$K$54</xm:f>
          </x14:formula1>
          <xm:sqref>L6:L15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P6" sqref="P6:Q6"/>
    </sheetView>
  </sheetViews>
  <sheetFormatPr defaultColWidth="9.140625" defaultRowHeight="15"/>
  <cols>
    <col min="1" max="1" width="2.85546875" style="19" customWidth="1"/>
    <col min="2" max="2" width="3.7109375" style="19" customWidth="1"/>
    <col min="3" max="6" width="5.85546875" style="19" customWidth="1"/>
    <col min="7" max="7" width="5.42578125" style="19" customWidth="1"/>
    <col min="8" max="8" width="9.7109375" style="19" customWidth="1"/>
    <col min="9" max="10" width="5.7109375" style="19" customWidth="1"/>
    <col min="11" max="12" width="5.28515625" style="19" customWidth="1"/>
    <col min="13" max="13" width="6" style="19" customWidth="1"/>
    <col min="14" max="15" width="8" style="19" customWidth="1"/>
    <col min="16" max="17" width="5.28515625" style="19" customWidth="1"/>
    <col min="18" max="20" width="5.42578125" style="19" customWidth="1"/>
    <col min="21" max="21" width="8.8554687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537</v>
      </c>
      <c r="B3" s="1528"/>
      <c r="C3" s="1529"/>
      <c r="D3" s="1529"/>
      <c r="E3" s="1529"/>
      <c r="F3" s="1529"/>
      <c r="G3" s="1529"/>
      <c r="H3" s="1529"/>
      <c r="I3" s="1529"/>
      <c r="J3" s="1529"/>
      <c r="K3" s="1529"/>
      <c r="L3" s="1529"/>
      <c r="M3" s="1529"/>
      <c r="N3" s="1529"/>
      <c r="O3" s="1529"/>
      <c r="P3" s="1529"/>
      <c r="Q3" s="1529"/>
      <c r="R3" s="1529"/>
      <c r="S3" s="1527" t="s">
        <v>538</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644" t="s">
        <v>539</v>
      </c>
      <c r="C4" s="1645"/>
      <c r="D4" s="1645"/>
      <c r="E4" s="1645"/>
      <c r="F4" s="1646"/>
      <c r="G4" s="1453" t="s">
        <v>540</v>
      </c>
      <c r="H4" s="1454"/>
      <c r="I4" s="1453" t="s">
        <v>541</v>
      </c>
      <c r="J4" s="1454"/>
      <c r="K4" s="1453" t="s">
        <v>542</v>
      </c>
      <c r="L4" s="1454"/>
      <c r="M4" s="1650" t="s">
        <v>543</v>
      </c>
      <c r="N4" s="1453" t="s">
        <v>458</v>
      </c>
      <c r="O4" s="1454"/>
      <c r="P4" s="1650" t="s">
        <v>956</v>
      </c>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63.75" customHeight="1" thickBot="1">
      <c r="A5" s="1480"/>
      <c r="B5" s="1647"/>
      <c r="C5" s="1648"/>
      <c r="D5" s="1648"/>
      <c r="E5" s="1648"/>
      <c r="F5" s="1649"/>
      <c r="G5" s="1455"/>
      <c r="H5" s="1456"/>
      <c r="I5" s="1455"/>
      <c r="J5" s="1456"/>
      <c r="K5" s="1455"/>
      <c r="L5" s="1456"/>
      <c r="M5" s="1651"/>
      <c r="N5" s="212" t="s">
        <v>301</v>
      </c>
      <c r="O5" s="213" t="s">
        <v>302</v>
      </c>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33" customHeight="1">
      <c r="A6" s="223">
        <v>1</v>
      </c>
      <c r="B6" s="1160"/>
      <c r="C6" s="1201"/>
      <c r="D6" s="1201"/>
      <c r="E6" s="1201"/>
      <c r="F6" s="1161"/>
      <c r="G6" s="1160"/>
      <c r="H6" s="1161"/>
      <c r="I6" s="1160"/>
      <c r="J6" s="1161"/>
      <c r="K6" s="1201"/>
      <c r="L6" s="1161"/>
      <c r="M6" s="654"/>
      <c r="N6" s="654"/>
      <c r="O6" s="651"/>
      <c r="P6" s="1791"/>
      <c r="Q6" s="1785"/>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33" customHeight="1">
      <c r="A7" s="224">
        <v>2</v>
      </c>
      <c r="B7" s="1202"/>
      <c r="C7" s="1203"/>
      <c r="D7" s="1203"/>
      <c r="E7" s="1203"/>
      <c r="F7" s="1204"/>
      <c r="G7" s="1202"/>
      <c r="H7" s="1204"/>
      <c r="I7" s="1202"/>
      <c r="J7" s="1204"/>
      <c r="K7" s="1203"/>
      <c r="L7" s="1204"/>
      <c r="M7" s="655"/>
      <c r="N7" s="655"/>
      <c r="O7" s="653"/>
      <c r="P7" s="1792"/>
      <c r="Q7" s="1783"/>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33" customHeight="1">
      <c r="A8" s="224">
        <v>3</v>
      </c>
      <c r="B8" s="1202"/>
      <c r="C8" s="1203"/>
      <c r="D8" s="1203"/>
      <c r="E8" s="1203"/>
      <c r="F8" s="1204"/>
      <c r="G8" s="1202"/>
      <c r="H8" s="1204"/>
      <c r="I8" s="1202"/>
      <c r="J8" s="1204"/>
      <c r="K8" s="1203"/>
      <c r="L8" s="1204"/>
      <c r="M8" s="655"/>
      <c r="N8" s="655"/>
      <c r="O8" s="653"/>
      <c r="P8" s="1792"/>
      <c r="Q8" s="1783"/>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33" customHeight="1">
      <c r="A9" s="224">
        <v>4</v>
      </c>
      <c r="B9" s="1202"/>
      <c r="C9" s="1203"/>
      <c r="D9" s="1203"/>
      <c r="E9" s="1203"/>
      <c r="F9" s="1204"/>
      <c r="G9" s="1202"/>
      <c r="H9" s="1204"/>
      <c r="I9" s="1202"/>
      <c r="J9" s="1204"/>
      <c r="K9" s="1203"/>
      <c r="L9" s="1204"/>
      <c r="M9" s="655"/>
      <c r="N9" s="655"/>
      <c r="O9" s="653"/>
      <c r="P9" s="1792"/>
      <c r="Q9" s="1783"/>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33" customHeight="1">
      <c r="A10" s="224">
        <v>5</v>
      </c>
      <c r="B10" s="1202"/>
      <c r="C10" s="1203"/>
      <c r="D10" s="1203"/>
      <c r="E10" s="1203"/>
      <c r="F10" s="1204"/>
      <c r="G10" s="1202"/>
      <c r="H10" s="1204"/>
      <c r="I10" s="1202"/>
      <c r="J10" s="1204"/>
      <c r="K10" s="1203"/>
      <c r="L10" s="1204"/>
      <c r="M10" s="655"/>
      <c r="N10" s="655"/>
      <c r="O10" s="653"/>
      <c r="P10" s="1792"/>
      <c r="Q10" s="1783"/>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33" customHeight="1">
      <c r="A11" s="224">
        <v>6</v>
      </c>
      <c r="B11" s="1202"/>
      <c r="C11" s="1203"/>
      <c r="D11" s="1203"/>
      <c r="E11" s="1203"/>
      <c r="F11" s="1204"/>
      <c r="G11" s="1202"/>
      <c r="H11" s="1204"/>
      <c r="I11" s="1202"/>
      <c r="J11" s="1204"/>
      <c r="K11" s="1203"/>
      <c r="L11" s="1204"/>
      <c r="M11" s="655"/>
      <c r="N11" s="655"/>
      <c r="O11" s="653"/>
      <c r="P11" s="1792"/>
      <c r="Q11" s="1783"/>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33" customHeight="1">
      <c r="A12" s="224">
        <v>7</v>
      </c>
      <c r="B12" s="1202"/>
      <c r="C12" s="1203"/>
      <c r="D12" s="1203"/>
      <c r="E12" s="1203"/>
      <c r="F12" s="1204"/>
      <c r="G12" s="1202"/>
      <c r="H12" s="1204"/>
      <c r="I12" s="1202"/>
      <c r="J12" s="1204"/>
      <c r="K12" s="1203"/>
      <c r="L12" s="1204"/>
      <c r="M12" s="655"/>
      <c r="N12" s="655"/>
      <c r="O12" s="653"/>
      <c r="P12" s="1792"/>
      <c r="Q12" s="1783"/>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33" customHeight="1">
      <c r="A13" s="224">
        <v>8</v>
      </c>
      <c r="B13" s="1202"/>
      <c r="C13" s="1203"/>
      <c r="D13" s="1203"/>
      <c r="E13" s="1203"/>
      <c r="F13" s="1204"/>
      <c r="G13" s="1202"/>
      <c r="H13" s="1204"/>
      <c r="I13" s="1202"/>
      <c r="J13" s="1204"/>
      <c r="K13" s="1203"/>
      <c r="L13" s="1204"/>
      <c r="M13" s="655"/>
      <c r="N13" s="655"/>
      <c r="O13" s="653"/>
      <c r="P13" s="1792"/>
      <c r="Q13" s="1783"/>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33" customHeight="1">
      <c r="A14" s="224">
        <v>9</v>
      </c>
      <c r="B14" s="1202"/>
      <c r="C14" s="1203"/>
      <c r="D14" s="1203"/>
      <c r="E14" s="1203"/>
      <c r="F14" s="1204"/>
      <c r="G14" s="1202"/>
      <c r="H14" s="1204"/>
      <c r="I14" s="1202"/>
      <c r="J14" s="1204"/>
      <c r="K14" s="1203"/>
      <c r="L14" s="1204"/>
      <c r="M14" s="655"/>
      <c r="N14" s="655"/>
      <c r="O14" s="653"/>
      <c r="P14" s="1792"/>
      <c r="Q14" s="1783"/>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33" customHeight="1" thickBot="1">
      <c r="A15" s="224">
        <v>10</v>
      </c>
      <c r="B15" s="1202"/>
      <c r="C15" s="1203"/>
      <c r="D15" s="1203"/>
      <c r="E15" s="1203"/>
      <c r="F15" s="1204"/>
      <c r="G15" s="1202"/>
      <c r="H15" s="1204"/>
      <c r="I15" s="1202"/>
      <c r="J15" s="1204"/>
      <c r="K15" s="1203"/>
      <c r="L15" s="1204"/>
      <c r="M15" s="655"/>
      <c r="N15" s="655"/>
      <c r="O15" s="653"/>
      <c r="P15" s="1792"/>
      <c r="Q15" s="1783"/>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6.25" thickBot="1">
      <c r="A16" s="1143" t="s">
        <v>270</v>
      </c>
      <c r="B16" s="1144"/>
      <c r="C16" s="1144"/>
      <c r="D16" s="1144"/>
      <c r="E16" s="1144"/>
      <c r="F16" s="1144"/>
      <c r="G16" s="1144"/>
      <c r="H16" s="1144"/>
      <c r="I16" s="1144"/>
      <c r="J16" s="1144"/>
      <c r="K16" s="1144"/>
      <c r="L16" s="215">
        <f>SUM(R6:R15)</f>
        <v>0</v>
      </c>
      <c r="M16" s="1189" t="s">
        <v>843</v>
      </c>
      <c r="N16" s="1205"/>
      <c r="O16" s="1205"/>
      <c r="P16" s="1205"/>
      <c r="Q16" s="1205"/>
      <c r="R16" s="216">
        <f>IF(L16&gt;4,4,L16)</f>
        <v>0</v>
      </c>
      <c r="S16" s="217">
        <f>IF(SUM(S6:S15)&gt;4,4,SUM(S6:S15))</f>
        <v>0</v>
      </c>
      <c r="T16" s="48"/>
      <c r="U16" s="177"/>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34.5" customHeight="1">
      <c r="A17" s="1435" t="s">
        <v>31</v>
      </c>
      <c r="B17" s="1436"/>
      <c r="C17" s="1436"/>
      <c r="D17" s="1436"/>
      <c r="E17" s="1436"/>
      <c r="F17" s="1436"/>
      <c r="G17" s="1436"/>
      <c r="H17" s="1695" t="s">
        <v>32</v>
      </c>
      <c r="I17" s="1695"/>
      <c r="J17" s="1695"/>
      <c r="K17" s="1696">
        <f>Q2</f>
        <v>0</v>
      </c>
      <c r="L17" s="1693"/>
      <c r="M17" s="1693"/>
      <c r="N17" s="1693"/>
      <c r="O17" s="1695" t="s">
        <v>33</v>
      </c>
      <c r="P17" s="1695"/>
      <c r="Q17" s="1695"/>
      <c r="R17" s="1693">
        <f>C2</f>
        <v>0</v>
      </c>
      <c r="S17" s="1693"/>
      <c r="T17" s="1693"/>
      <c r="U17" s="169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34.5" customHeight="1" thickBot="1">
      <c r="A18" s="1437">
        <f>'فرم الف'!A27</f>
        <v>0</v>
      </c>
      <c r="B18" s="1425"/>
      <c r="C18" s="1425"/>
      <c r="D18" s="1425"/>
      <c r="E18" s="1425"/>
      <c r="F18" s="1425"/>
      <c r="G18" s="1425"/>
      <c r="H18" s="1425">
        <f>'فرم الف'!E27</f>
        <v>0</v>
      </c>
      <c r="I18" s="1425"/>
      <c r="J18" s="1425"/>
      <c r="K18" s="1425"/>
      <c r="L18" s="1425"/>
      <c r="M18" s="1425"/>
      <c r="N18" s="1425"/>
      <c r="O18" s="1425" t="str">
        <f>'فرم الف'!J27</f>
        <v/>
      </c>
      <c r="P18" s="1425"/>
      <c r="Q18" s="1425"/>
      <c r="R18" s="1425"/>
      <c r="S18" s="1425"/>
      <c r="T18" s="1425"/>
      <c r="U18" s="1426"/>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17.25" customHeight="1">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0.25" customHeight="1">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17.25" customHeight="1">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0.25" customHeight="1">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17.25" customHeight="1">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0.25" customHeight="1">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17.25" customHeight="1">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ht="20.25" customHeight="1">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17.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ht="20.25" customHeight="1">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17.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ht="20.25" customHeight="1">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17.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ht="20.25" customHeight="1">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17.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ht="20.25" customHeight="1">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17.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ht="20.25" customHeight="1">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17.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ht="20.25" customHeight="1">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49" spans="22:80">
      <c r="V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row>
    <row r="51" spans="22:80" ht="26.25" customHeight="1"/>
    <row r="52" spans="22:80" ht="26.25" customHeight="1"/>
  </sheetData>
  <sheetProtection algorithmName="SHA-512" hashValue="IV52J5a4sZGQAQBtpNAychw/k0Wy6gaDszc5MlTYf8xktYPMLIzHbwlBrL8f1Y6uZB8gNNu1XITlEHF6DLBvgg==" saltValue="3YnvGNSIRd6BitnnNvZpVQ==" spinCount="100000" sheet="1" objects="1" scenarios="1" formatCells="0" formatRows="0" selectLockedCells="1"/>
  <mergeCells count="81">
    <mergeCell ref="I14:J14"/>
    <mergeCell ref="K14:L14"/>
    <mergeCell ref="I15:J15"/>
    <mergeCell ref="K15:L15"/>
    <mergeCell ref="R17:U17"/>
    <mergeCell ref="A18:G18"/>
    <mergeCell ref="H18:N18"/>
    <mergeCell ref="O18:U18"/>
    <mergeCell ref="A16:K16"/>
    <mergeCell ref="M16:Q16"/>
    <mergeCell ref="A17:G17"/>
    <mergeCell ref="H17:J17"/>
    <mergeCell ref="K17:N17"/>
    <mergeCell ref="O17:Q17"/>
    <mergeCell ref="G15:H15"/>
    <mergeCell ref="P15:Q15"/>
    <mergeCell ref="B12:F12"/>
    <mergeCell ref="G12:H12"/>
    <mergeCell ref="P12:Q12"/>
    <mergeCell ref="B13:F13"/>
    <mergeCell ref="G13:H13"/>
    <mergeCell ref="P13:Q13"/>
    <mergeCell ref="I12:J12"/>
    <mergeCell ref="K12:L12"/>
    <mergeCell ref="B14:F14"/>
    <mergeCell ref="G14:H14"/>
    <mergeCell ref="P14:Q14"/>
    <mergeCell ref="B15:F15"/>
    <mergeCell ref="I13:J13"/>
    <mergeCell ref="K13:L13"/>
    <mergeCell ref="B10:F10"/>
    <mergeCell ref="G10:H10"/>
    <mergeCell ref="P10:Q10"/>
    <mergeCell ref="B11:F11"/>
    <mergeCell ref="G11:H11"/>
    <mergeCell ref="P11:Q11"/>
    <mergeCell ref="I11:J11"/>
    <mergeCell ref="K11:L11"/>
    <mergeCell ref="I10:J10"/>
    <mergeCell ref="K10:L10"/>
    <mergeCell ref="B8:F8"/>
    <mergeCell ref="G8:H8"/>
    <mergeCell ref="P8:Q8"/>
    <mergeCell ref="B9:F9"/>
    <mergeCell ref="G9:H9"/>
    <mergeCell ref="P9:Q9"/>
    <mergeCell ref="I8:J8"/>
    <mergeCell ref="K8:L8"/>
    <mergeCell ref="I9:J9"/>
    <mergeCell ref="K9:L9"/>
    <mergeCell ref="B6:F6"/>
    <mergeCell ref="G6:H6"/>
    <mergeCell ref="P6:Q6"/>
    <mergeCell ref="B7:F7"/>
    <mergeCell ref="G7:H7"/>
    <mergeCell ref="P7:Q7"/>
    <mergeCell ref="I7:J7"/>
    <mergeCell ref="I6:J6"/>
    <mergeCell ref="K6:L6"/>
    <mergeCell ref="K7:L7"/>
    <mergeCell ref="A3:R3"/>
    <mergeCell ref="S3:U3"/>
    <mergeCell ref="A4:A5"/>
    <mergeCell ref="B4:F5"/>
    <mergeCell ref="G4:H5"/>
    <mergeCell ref="N4:O4"/>
    <mergeCell ref="P4:Q5"/>
    <mergeCell ref="R4:T4"/>
    <mergeCell ref="U4:U5"/>
    <mergeCell ref="I4:J5"/>
    <mergeCell ref="K4:L5"/>
    <mergeCell ref="M4:M5"/>
    <mergeCell ref="A1:B2"/>
    <mergeCell ref="C1:G1"/>
    <mergeCell ref="H1:L1"/>
    <mergeCell ref="M1:P1"/>
    <mergeCell ref="Q1:U1"/>
    <mergeCell ref="C2:G2"/>
    <mergeCell ref="H2:L2"/>
    <mergeCell ref="M2:P2"/>
    <mergeCell ref="Q2:U2"/>
  </mergeCells>
  <conditionalFormatting sqref="B6:Q6">
    <cfRule type="containsBlanks" dxfId="42" priority="3">
      <formula>LEN(TRIM(B6))=0</formula>
    </cfRule>
  </conditionalFormatting>
  <conditionalFormatting sqref="B7:Q15">
    <cfRule type="containsBlanks" dxfId="41" priority="1">
      <formula>LEN(TRIM(B7))=0</formula>
    </cfRule>
  </conditionalFormatting>
  <dataValidations count="2">
    <dataValidation type="decimal" allowBlank="1" showInputMessage="1" showErrorMessage="1" errorTitle="خطا در ورود امتياز" error="لطفا يك عدد بين صفر تا 2 وارد نماييد" promptTitle="توجه:" prompt="حداکثر امتیاز در واحد کار تا 2 امتياز" sqref="R6:S15">
      <formula1>0</formula1>
      <formula2>2</formula2>
    </dataValidation>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12" width="6.42578125" style="19" customWidth="1"/>
    <col min="13" max="13" width="8.140625" style="19" customWidth="1"/>
    <col min="14" max="14" width="5.85546875" style="19" customWidth="1"/>
    <col min="15" max="16" width="5.42578125" style="19" customWidth="1"/>
    <col min="17" max="17" width="3.28515625" style="19" customWidth="1"/>
    <col min="18" max="20" width="5.42578125" style="19" customWidth="1"/>
    <col min="21" max="21" width="11.140625" style="19" customWidth="1"/>
    <col min="22" max="16384" width="9.140625" style="19"/>
  </cols>
  <sheetData>
    <row r="1" spans="1:80" ht="15" customHeight="1">
      <c r="A1" s="1466" t="s">
        <v>424</v>
      </c>
      <c r="B1" s="1467"/>
      <c r="C1" s="1494" t="s">
        <v>0</v>
      </c>
      <c r="D1" s="1486"/>
      <c r="E1" s="1486"/>
      <c r="F1" s="1486"/>
      <c r="G1" s="1486"/>
      <c r="H1" s="1486" t="s">
        <v>1</v>
      </c>
      <c r="I1" s="1486"/>
      <c r="J1" s="1486"/>
      <c r="K1" s="1486"/>
      <c r="L1" s="1486"/>
      <c r="M1" s="1491" t="s">
        <v>2</v>
      </c>
      <c r="N1" s="1491"/>
      <c r="O1" s="1491"/>
      <c r="P1" s="1491"/>
      <c r="Q1" s="1486" t="s">
        <v>3</v>
      </c>
      <c r="R1" s="1486"/>
      <c r="S1" s="1486"/>
      <c r="T1" s="1486"/>
      <c r="U1" s="1487"/>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row>
    <row r="2" spans="1:80" ht="24" customHeight="1" thickBot="1">
      <c r="A2" s="1468"/>
      <c r="B2" s="1469"/>
      <c r="C2" s="1495">
        <f>'فرم الف'!B5</f>
        <v>0</v>
      </c>
      <c r="D2" s="1493"/>
      <c r="E2" s="1493"/>
      <c r="F2" s="1493"/>
      <c r="G2" s="1493"/>
      <c r="H2" s="1492">
        <f>'فرم الف'!A27</f>
        <v>0</v>
      </c>
      <c r="I2" s="1493"/>
      <c r="J2" s="1493"/>
      <c r="K2" s="1493"/>
      <c r="L2" s="1493"/>
      <c r="M2" s="1492">
        <f>'فرم الف'!J15</f>
        <v>0</v>
      </c>
      <c r="N2" s="1493"/>
      <c r="O2" s="1493"/>
      <c r="P2" s="1493"/>
      <c r="Q2" s="1488">
        <f>'فرم الف'!D9</f>
        <v>0</v>
      </c>
      <c r="R2" s="1489"/>
      <c r="S2" s="1489"/>
      <c r="T2" s="1489"/>
      <c r="U2" s="1490"/>
      <c r="V2" s="198"/>
      <c r="W2" s="198"/>
      <c r="X2" s="198"/>
      <c r="Y2" s="198"/>
      <c r="Z2" s="198"/>
      <c r="AA2" s="198"/>
      <c r="AB2" s="198"/>
      <c r="AC2" s="198"/>
      <c r="AD2" s="178"/>
      <c r="AE2" s="198"/>
      <c r="AF2" s="198"/>
      <c r="AG2" s="198"/>
      <c r="AH2" s="198"/>
      <c r="AI2" s="198"/>
      <c r="AJ2" s="198"/>
      <c r="AK2" s="198"/>
      <c r="AL2" s="198"/>
      <c r="AM2" s="198"/>
      <c r="AN2" s="198"/>
      <c r="AO2" s="198"/>
      <c r="AP2" s="198"/>
      <c r="AQ2" s="198"/>
      <c r="AR2" s="179"/>
      <c r="AS2" s="180"/>
      <c r="AT2" s="180"/>
      <c r="AU2" s="179"/>
      <c r="AV2" s="180"/>
      <c r="AW2" s="180"/>
      <c r="AX2" s="179"/>
      <c r="AY2" s="180"/>
      <c r="AZ2" s="180"/>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row>
    <row r="3" spans="1:80" ht="21.75" thickBot="1">
      <c r="A3" s="1528" t="s">
        <v>544</v>
      </c>
      <c r="B3" s="1528"/>
      <c r="C3" s="1529"/>
      <c r="D3" s="1529"/>
      <c r="E3" s="1529"/>
      <c r="F3" s="1529"/>
      <c r="G3" s="1529"/>
      <c r="H3" s="1529"/>
      <c r="I3" s="1529"/>
      <c r="J3" s="1529"/>
      <c r="K3" s="1529"/>
      <c r="L3" s="1529"/>
      <c r="M3" s="1529"/>
      <c r="N3" s="1529"/>
      <c r="O3" s="1529"/>
      <c r="P3" s="1529"/>
      <c r="Q3" s="1529"/>
      <c r="R3" s="1529"/>
      <c r="S3" s="1527" t="s">
        <v>545</v>
      </c>
      <c r="T3" s="1527"/>
      <c r="U3" s="1527"/>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9"/>
      <c r="BE3" s="199"/>
      <c r="BF3" s="199"/>
      <c r="BG3" s="198"/>
      <c r="BH3" s="198"/>
      <c r="BI3" s="198"/>
      <c r="BJ3" s="198"/>
      <c r="BK3" s="198"/>
      <c r="BL3" s="198"/>
      <c r="BM3" s="198"/>
      <c r="BN3" s="198"/>
      <c r="BO3" s="198"/>
      <c r="BP3" s="198"/>
      <c r="BQ3" s="198"/>
      <c r="BR3" s="198"/>
      <c r="BS3" s="198"/>
      <c r="BT3" s="198"/>
      <c r="BU3" s="198"/>
      <c r="BV3" s="198"/>
      <c r="BW3" s="198"/>
      <c r="BX3" s="198"/>
      <c r="BY3" s="198"/>
      <c r="BZ3" s="198"/>
      <c r="CA3" s="198"/>
      <c r="CB3" s="198"/>
    </row>
    <row r="4" spans="1:80" ht="18.75" customHeight="1">
      <c r="A4" s="1479" t="s">
        <v>9</v>
      </c>
      <c r="B4" s="1453" t="s">
        <v>546</v>
      </c>
      <c r="C4" s="1645"/>
      <c r="D4" s="1645"/>
      <c r="E4" s="1645"/>
      <c r="F4" s="1645"/>
      <c r="G4" s="1646"/>
      <c r="H4" s="1650" t="s">
        <v>547</v>
      </c>
      <c r="I4" s="1650"/>
      <c r="J4" s="1454"/>
      <c r="K4" s="1453" t="s">
        <v>353</v>
      </c>
      <c r="L4" s="1454"/>
      <c r="M4" s="1453" t="s">
        <v>548</v>
      </c>
      <c r="N4" s="1454"/>
      <c r="O4" s="1650" t="s">
        <v>549</v>
      </c>
      <c r="P4" s="1650"/>
      <c r="Q4" s="1454"/>
      <c r="R4" s="1470" t="s">
        <v>13</v>
      </c>
      <c r="S4" s="1470"/>
      <c r="T4" s="1470"/>
      <c r="U4" s="1524" t="s">
        <v>14</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row>
    <row r="5" spans="1:80" ht="59.25" customHeight="1" thickBot="1">
      <c r="A5" s="1480"/>
      <c r="B5" s="1647"/>
      <c r="C5" s="1648"/>
      <c r="D5" s="1648"/>
      <c r="E5" s="1648"/>
      <c r="F5" s="1648"/>
      <c r="G5" s="1649"/>
      <c r="H5" s="1651"/>
      <c r="I5" s="1651"/>
      <c r="J5" s="1456"/>
      <c r="K5" s="1455"/>
      <c r="L5" s="1456"/>
      <c r="M5" s="1455"/>
      <c r="N5" s="1456"/>
      <c r="O5" s="1651"/>
      <c r="P5" s="1651"/>
      <c r="Q5" s="1456"/>
      <c r="R5" s="188" t="s">
        <v>17</v>
      </c>
      <c r="S5" s="188" t="s">
        <v>349</v>
      </c>
      <c r="T5" s="188" t="s">
        <v>18</v>
      </c>
      <c r="U5" s="1525"/>
      <c r="V5" s="198"/>
      <c r="W5" s="190"/>
      <c r="X5" s="190"/>
      <c r="Y5" s="198"/>
      <c r="Z5" s="198"/>
      <c r="AA5" s="200"/>
      <c r="AB5" s="200"/>
      <c r="AC5" s="200"/>
      <c r="AD5" s="191"/>
      <c r="AE5" s="191"/>
      <c r="AF5" s="191"/>
      <c r="AG5" s="191"/>
      <c r="AH5" s="200"/>
      <c r="AI5" s="191"/>
      <c r="AJ5" s="200"/>
      <c r="AK5" s="200"/>
      <c r="AL5" s="200"/>
      <c r="AM5" s="200"/>
      <c r="AN5" s="200"/>
      <c r="AO5" s="200"/>
      <c r="AP5" s="200"/>
      <c r="AQ5" s="200"/>
      <c r="AR5" s="201"/>
      <c r="AS5" s="200"/>
      <c r="AT5" s="200"/>
      <c r="AU5" s="201"/>
      <c r="AV5" s="200"/>
      <c r="AW5" s="200"/>
      <c r="AX5" s="201"/>
      <c r="AY5" s="200"/>
      <c r="AZ5" s="200"/>
      <c r="BA5" s="201"/>
      <c r="BB5" s="200"/>
      <c r="BC5" s="200"/>
      <c r="BD5" s="201"/>
      <c r="BE5" s="191"/>
      <c r="BF5" s="201"/>
      <c r="BG5" s="201"/>
      <c r="BH5" s="191"/>
      <c r="BI5" s="201"/>
      <c r="BJ5" s="202"/>
      <c r="BK5" s="194"/>
      <c r="BL5" s="202"/>
      <c r="BM5" s="202"/>
      <c r="BN5" s="194"/>
      <c r="BO5" s="202"/>
      <c r="BP5" s="202"/>
      <c r="BQ5" s="202"/>
      <c r="BR5" s="202"/>
      <c r="BS5" s="202"/>
      <c r="BT5" s="202"/>
      <c r="BU5" s="202"/>
      <c r="BV5" s="201"/>
      <c r="BW5" s="191"/>
      <c r="BX5" s="200"/>
      <c r="BY5" s="201"/>
      <c r="BZ5" s="191"/>
      <c r="CA5" s="200"/>
      <c r="CB5" s="198"/>
    </row>
    <row r="6" spans="1:80" ht="28.5" customHeight="1">
      <c r="A6" s="223">
        <v>1</v>
      </c>
      <c r="B6" s="1160"/>
      <c r="C6" s="1201"/>
      <c r="D6" s="1201"/>
      <c r="E6" s="1201"/>
      <c r="F6" s="1201"/>
      <c r="G6" s="1161"/>
      <c r="H6" s="1201"/>
      <c r="I6" s="1201"/>
      <c r="J6" s="1161"/>
      <c r="K6" s="1160"/>
      <c r="L6" s="1161"/>
      <c r="M6" s="1160"/>
      <c r="N6" s="1161"/>
      <c r="O6" s="1160"/>
      <c r="P6" s="1201"/>
      <c r="Q6" s="1161"/>
      <c r="R6" s="563"/>
      <c r="S6" s="175"/>
      <c r="T6" s="13"/>
      <c r="U6" s="143"/>
      <c r="V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row>
    <row r="7" spans="1:80" ht="28.5" customHeight="1">
      <c r="A7" s="224">
        <v>2</v>
      </c>
      <c r="B7" s="1202"/>
      <c r="C7" s="1203"/>
      <c r="D7" s="1203"/>
      <c r="E7" s="1203"/>
      <c r="F7" s="1203"/>
      <c r="G7" s="1204"/>
      <c r="H7" s="1203"/>
      <c r="I7" s="1203"/>
      <c r="J7" s="1204"/>
      <c r="K7" s="1202"/>
      <c r="L7" s="1204"/>
      <c r="M7" s="1202"/>
      <c r="N7" s="1204"/>
      <c r="O7" s="1202"/>
      <c r="P7" s="1203"/>
      <c r="Q7" s="1204"/>
      <c r="R7" s="550"/>
      <c r="S7" s="34"/>
      <c r="T7" s="145"/>
      <c r="U7" s="144"/>
      <c r="V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row>
    <row r="8" spans="1:80" ht="28.5" customHeight="1">
      <c r="A8" s="224">
        <v>3</v>
      </c>
      <c r="B8" s="1202"/>
      <c r="C8" s="1203"/>
      <c r="D8" s="1203"/>
      <c r="E8" s="1203"/>
      <c r="F8" s="1203"/>
      <c r="G8" s="1204"/>
      <c r="H8" s="1203"/>
      <c r="I8" s="1203"/>
      <c r="J8" s="1204"/>
      <c r="K8" s="1202"/>
      <c r="L8" s="1204"/>
      <c r="M8" s="1202"/>
      <c r="N8" s="1204"/>
      <c r="O8" s="1202"/>
      <c r="P8" s="1203"/>
      <c r="Q8" s="1204"/>
      <c r="R8" s="550"/>
      <c r="S8" s="34"/>
      <c r="T8" s="145"/>
      <c r="U8" s="144"/>
      <c r="V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row>
    <row r="9" spans="1:80" ht="28.5" customHeight="1">
      <c r="A9" s="224">
        <v>4</v>
      </c>
      <c r="B9" s="1202"/>
      <c r="C9" s="1203"/>
      <c r="D9" s="1203"/>
      <c r="E9" s="1203"/>
      <c r="F9" s="1203"/>
      <c r="G9" s="1204"/>
      <c r="H9" s="1203"/>
      <c r="I9" s="1203"/>
      <c r="J9" s="1204"/>
      <c r="K9" s="1202"/>
      <c r="L9" s="1204"/>
      <c r="M9" s="1202"/>
      <c r="N9" s="1204"/>
      <c r="O9" s="1202"/>
      <c r="P9" s="1203"/>
      <c r="Q9" s="1204"/>
      <c r="R9" s="550"/>
      <c r="S9" s="34"/>
      <c r="T9" s="145"/>
      <c r="U9" s="144"/>
      <c r="V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row>
    <row r="10" spans="1:80" ht="28.5" customHeight="1">
      <c r="A10" s="224">
        <v>5</v>
      </c>
      <c r="B10" s="1202"/>
      <c r="C10" s="1203"/>
      <c r="D10" s="1203"/>
      <c r="E10" s="1203"/>
      <c r="F10" s="1203"/>
      <c r="G10" s="1204"/>
      <c r="H10" s="1203"/>
      <c r="I10" s="1203"/>
      <c r="J10" s="1204"/>
      <c r="K10" s="1202"/>
      <c r="L10" s="1204"/>
      <c r="M10" s="1202"/>
      <c r="N10" s="1204"/>
      <c r="O10" s="1202"/>
      <c r="P10" s="1203"/>
      <c r="Q10" s="1204"/>
      <c r="R10" s="550"/>
      <c r="S10" s="34"/>
      <c r="T10" s="145"/>
      <c r="U10" s="144"/>
      <c r="V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row>
    <row r="11" spans="1:80" ht="28.5" customHeight="1">
      <c r="A11" s="224">
        <v>6</v>
      </c>
      <c r="B11" s="1202"/>
      <c r="C11" s="1203"/>
      <c r="D11" s="1203"/>
      <c r="E11" s="1203"/>
      <c r="F11" s="1203"/>
      <c r="G11" s="1204"/>
      <c r="H11" s="1203"/>
      <c r="I11" s="1203"/>
      <c r="J11" s="1204"/>
      <c r="K11" s="1202"/>
      <c r="L11" s="1204"/>
      <c r="M11" s="1202"/>
      <c r="N11" s="1204"/>
      <c r="O11" s="1202"/>
      <c r="P11" s="1203"/>
      <c r="Q11" s="1204"/>
      <c r="R11" s="550"/>
      <c r="S11" s="34"/>
      <c r="T11" s="145"/>
      <c r="U11" s="144"/>
      <c r="V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ht="28.5" customHeight="1">
      <c r="A12" s="224">
        <v>7</v>
      </c>
      <c r="B12" s="1202"/>
      <c r="C12" s="1203"/>
      <c r="D12" s="1203"/>
      <c r="E12" s="1203"/>
      <c r="F12" s="1203"/>
      <c r="G12" s="1204"/>
      <c r="H12" s="1203"/>
      <c r="I12" s="1203"/>
      <c r="J12" s="1204"/>
      <c r="K12" s="1202"/>
      <c r="L12" s="1204"/>
      <c r="M12" s="1202"/>
      <c r="N12" s="1204"/>
      <c r="O12" s="1202"/>
      <c r="P12" s="1203"/>
      <c r="Q12" s="1204"/>
      <c r="R12" s="550"/>
      <c r="S12" s="34"/>
      <c r="T12" s="145"/>
      <c r="U12" s="144"/>
      <c r="V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row>
    <row r="13" spans="1:80" ht="28.5" customHeight="1">
      <c r="A13" s="224">
        <v>8</v>
      </c>
      <c r="B13" s="1202"/>
      <c r="C13" s="1203"/>
      <c r="D13" s="1203"/>
      <c r="E13" s="1203"/>
      <c r="F13" s="1203"/>
      <c r="G13" s="1204"/>
      <c r="H13" s="1203"/>
      <c r="I13" s="1203"/>
      <c r="J13" s="1204"/>
      <c r="K13" s="1202"/>
      <c r="L13" s="1204"/>
      <c r="M13" s="1202"/>
      <c r="N13" s="1204"/>
      <c r="O13" s="1202"/>
      <c r="P13" s="1203"/>
      <c r="Q13" s="1204"/>
      <c r="R13" s="550"/>
      <c r="S13" s="34"/>
      <c r="T13" s="145"/>
      <c r="U13" s="144"/>
      <c r="V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row>
    <row r="14" spans="1:80" ht="28.5" customHeight="1">
      <c r="A14" s="224">
        <v>9</v>
      </c>
      <c r="B14" s="1202"/>
      <c r="C14" s="1203"/>
      <c r="D14" s="1203"/>
      <c r="E14" s="1203"/>
      <c r="F14" s="1203"/>
      <c r="G14" s="1204"/>
      <c r="H14" s="1203"/>
      <c r="I14" s="1203"/>
      <c r="J14" s="1204"/>
      <c r="K14" s="1202"/>
      <c r="L14" s="1204"/>
      <c r="M14" s="1202"/>
      <c r="N14" s="1204"/>
      <c r="O14" s="1202"/>
      <c r="P14" s="1203"/>
      <c r="Q14" s="1204"/>
      <c r="R14" s="550"/>
      <c r="S14" s="34"/>
      <c r="T14" s="145"/>
      <c r="U14" s="144"/>
      <c r="V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row>
    <row r="15" spans="1:80" ht="28.5" customHeight="1">
      <c r="A15" s="224">
        <v>10</v>
      </c>
      <c r="B15" s="1202"/>
      <c r="C15" s="1203"/>
      <c r="D15" s="1203"/>
      <c r="E15" s="1203"/>
      <c r="F15" s="1203"/>
      <c r="G15" s="1204"/>
      <c r="H15" s="1203"/>
      <c r="I15" s="1203"/>
      <c r="J15" s="1204"/>
      <c r="K15" s="1202"/>
      <c r="L15" s="1204"/>
      <c r="M15" s="1202"/>
      <c r="N15" s="1204"/>
      <c r="O15" s="1202"/>
      <c r="P15" s="1203"/>
      <c r="Q15" s="1204"/>
      <c r="R15" s="550"/>
      <c r="S15" s="34"/>
      <c r="T15" s="145"/>
      <c r="U15" s="144"/>
      <c r="V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row>
    <row r="16" spans="1:80" ht="28.5" customHeight="1">
      <c r="A16" s="224">
        <v>11</v>
      </c>
      <c r="B16" s="1202"/>
      <c r="C16" s="1203"/>
      <c r="D16" s="1203"/>
      <c r="E16" s="1203"/>
      <c r="F16" s="1203"/>
      <c r="G16" s="1204"/>
      <c r="H16" s="1203"/>
      <c r="I16" s="1203"/>
      <c r="J16" s="1204"/>
      <c r="K16" s="1202"/>
      <c r="L16" s="1204"/>
      <c r="M16" s="1202"/>
      <c r="N16" s="1204"/>
      <c r="O16" s="1202"/>
      <c r="P16" s="1203"/>
      <c r="Q16" s="1204"/>
      <c r="R16" s="550"/>
      <c r="S16" s="34"/>
      <c r="T16" s="145"/>
      <c r="U16" s="144"/>
      <c r="V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row>
    <row r="17" spans="1:80" ht="28.5" customHeight="1">
      <c r="A17" s="224">
        <v>12</v>
      </c>
      <c r="B17" s="1202"/>
      <c r="C17" s="1203"/>
      <c r="D17" s="1203"/>
      <c r="E17" s="1203"/>
      <c r="F17" s="1203"/>
      <c r="G17" s="1204"/>
      <c r="H17" s="1203"/>
      <c r="I17" s="1203"/>
      <c r="J17" s="1204"/>
      <c r="K17" s="1202"/>
      <c r="L17" s="1204"/>
      <c r="M17" s="1202"/>
      <c r="N17" s="1204"/>
      <c r="O17" s="1202"/>
      <c r="P17" s="1203"/>
      <c r="Q17" s="1204"/>
      <c r="R17" s="550"/>
      <c r="S17" s="34"/>
      <c r="T17" s="145"/>
      <c r="U17" s="144"/>
      <c r="V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row>
    <row r="18" spans="1:80" ht="28.5" customHeight="1">
      <c r="A18" s="224">
        <v>13</v>
      </c>
      <c r="B18" s="1202"/>
      <c r="C18" s="1203"/>
      <c r="D18" s="1203"/>
      <c r="E18" s="1203"/>
      <c r="F18" s="1203"/>
      <c r="G18" s="1204"/>
      <c r="H18" s="1203"/>
      <c r="I18" s="1203"/>
      <c r="J18" s="1204"/>
      <c r="K18" s="1202"/>
      <c r="L18" s="1204"/>
      <c r="M18" s="1202"/>
      <c r="N18" s="1204"/>
      <c r="O18" s="1202"/>
      <c r="P18" s="1203"/>
      <c r="Q18" s="1204"/>
      <c r="R18" s="550"/>
      <c r="S18" s="34"/>
      <c r="T18" s="145"/>
      <c r="U18" s="144"/>
      <c r="V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row>
    <row r="19" spans="1:80" ht="28.5" customHeight="1">
      <c r="A19" s="224">
        <v>14</v>
      </c>
      <c r="B19" s="1202"/>
      <c r="C19" s="1203"/>
      <c r="D19" s="1203"/>
      <c r="E19" s="1203"/>
      <c r="F19" s="1203"/>
      <c r="G19" s="1204"/>
      <c r="H19" s="1203"/>
      <c r="I19" s="1203"/>
      <c r="J19" s="1204"/>
      <c r="K19" s="1202"/>
      <c r="L19" s="1204"/>
      <c r="M19" s="1202"/>
      <c r="N19" s="1204"/>
      <c r="O19" s="1202"/>
      <c r="P19" s="1203"/>
      <c r="Q19" s="1204"/>
      <c r="R19" s="550"/>
      <c r="S19" s="34"/>
      <c r="T19" s="145"/>
      <c r="U19" s="144"/>
      <c r="V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row>
    <row r="20" spans="1:80" ht="28.5" customHeight="1">
      <c r="A20" s="224">
        <v>15</v>
      </c>
      <c r="B20" s="1202"/>
      <c r="C20" s="1203"/>
      <c r="D20" s="1203"/>
      <c r="E20" s="1203"/>
      <c r="F20" s="1203"/>
      <c r="G20" s="1204"/>
      <c r="H20" s="1203"/>
      <c r="I20" s="1203"/>
      <c r="J20" s="1204"/>
      <c r="K20" s="1202"/>
      <c r="L20" s="1204"/>
      <c r="M20" s="1202"/>
      <c r="N20" s="1204"/>
      <c r="O20" s="1202"/>
      <c r="P20" s="1203"/>
      <c r="Q20" s="1204"/>
      <c r="R20" s="550"/>
      <c r="S20" s="34"/>
      <c r="T20" s="145"/>
      <c r="U20" s="144"/>
      <c r="V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row>
    <row r="21" spans="1:80" ht="28.5" customHeight="1">
      <c r="A21" s="224">
        <v>16</v>
      </c>
      <c r="B21" s="1202"/>
      <c r="C21" s="1203"/>
      <c r="D21" s="1203"/>
      <c r="E21" s="1203"/>
      <c r="F21" s="1203"/>
      <c r="G21" s="1204"/>
      <c r="H21" s="1203"/>
      <c r="I21" s="1203"/>
      <c r="J21" s="1204"/>
      <c r="K21" s="1202"/>
      <c r="L21" s="1204"/>
      <c r="M21" s="1202"/>
      <c r="N21" s="1204"/>
      <c r="O21" s="1202"/>
      <c r="P21" s="1203"/>
      <c r="Q21" s="1204"/>
      <c r="R21" s="550"/>
      <c r="S21" s="34"/>
      <c r="T21" s="145"/>
      <c r="U21" s="144"/>
      <c r="V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row>
    <row r="22" spans="1:80" ht="28.5" customHeight="1">
      <c r="A22" s="224">
        <v>17</v>
      </c>
      <c r="B22" s="1202"/>
      <c r="C22" s="1203"/>
      <c r="D22" s="1203"/>
      <c r="E22" s="1203"/>
      <c r="F22" s="1203"/>
      <c r="G22" s="1204"/>
      <c r="H22" s="1203"/>
      <c r="I22" s="1203"/>
      <c r="J22" s="1204"/>
      <c r="K22" s="1202"/>
      <c r="L22" s="1204"/>
      <c r="M22" s="1202"/>
      <c r="N22" s="1204"/>
      <c r="O22" s="1202"/>
      <c r="P22" s="1203"/>
      <c r="Q22" s="1204"/>
      <c r="R22" s="550"/>
      <c r="S22" s="34"/>
      <c r="T22" s="145"/>
      <c r="U22" s="144"/>
      <c r="V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row>
    <row r="23" spans="1:80" ht="28.5" customHeight="1">
      <c r="A23" s="224">
        <v>18</v>
      </c>
      <c r="B23" s="1202"/>
      <c r="C23" s="1203"/>
      <c r="D23" s="1203"/>
      <c r="E23" s="1203"/>
      <c r="F23" s="1203"/>
      <c r="G23" s="1204"/>
      <c r="H23" s="1203"/>
      <c r="I23" s="1203"/>
      <c r="J23" s="1204"/>
      <c r="K23" s="1202"/>
      <c r="L23" s="1204"/>
      <c r="M23" s="1202"/>
      <c r="N23" s="1204"/>
      <c r="O23" s="1202"/>
      <c r="P23" s="1203"/>
      <c r="Q23" s="1204"/>
      <c r="R23" s="550"/>
      <c r="S23" s="34"/>
      <c r="T23" s="145"/>
      <c r="U23" s="144"/>
      <c r="V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row>
    <row r="24" spans="1:80" ht="28.5" customHeight="1">
      <c r="A24" s="224">
        <v>19</v>
      </c>
      <c r="B24" s="1202"/>
      <c r="C24" s="1203"/>
      <c r="D24" s="1203"/>
      <c r="E24" s="1203"/>
      <c r="F24" s="1203"/>
      <c r="G24" s="1204"/>
      <c r="H24" s="1203"/>
      <c r="I24" s="1203"/>
      <c r="J24" s="1204"/>
      <c r="K24" s="1202"/>
      <c r="L24" s="1204"/>
      <c r="M24" s="1202"/>
      <c r="N24" s="1204"/>
      <c r="O24" s="1202"/>
      <c r="P24" s="1203"/>
      <c r="Q24" s="1204"/>
      <c r="R24" s="550"/>
      <c r="S24" s="34"/>
      <c r="T24" s="145"/>
      <c r="U24" s="144"/>
      <c r="V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row>
    <row r="25" spans="1:80" ht="28.5" customHeight="1" thickBot="1">
      <c r="A25" s="224">
        <v>20</v>
      </c>
      <c r="B25" s="1202"/>
      <c r="C25" s="1203"/>
      <c r="D25" s="1203"/>
      <c r="E25" s="1203"/>
      <c r="F25" s="1203"/>
      <c r="G25" s="1204"/>
      <c r="H25" s="1203"/>
      <c r="I25" s="1203"/>
      <c r="J25" s="1204"/>
      <c r="K25" s="1202"/>
      <c r="L25" s="1204"/>
      <c r="M25" s="1202"/>
      <c r="N25" s="1204"/>
      <c r="O25" s="1202"/>
      <c r="P25" s="1203"/>
      <c r="Q25" s="1204"/>
      <c r="R25" s="550"/>
      <c r="S25" s="34"/>
      <c r="T25" s="145"/>
      <c r="U25" s="144"/>
      <c r="V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row>
    <row r="26" spans="1:80" ht="26.25" thickBot="1">
      <c r="A26" s="1143" t="s">
        <v>270</v>
      </c>
      <c r="B26" s="1144"/>
      <c r="C26" s="1144"/>
      <c r="D26" s="1144"/>
      <c r="E26" s="1144"/>
      <c r="F26" s="1144"/>
      <c r="G26" s="1144"/>
      <c r="H26" s="1144"/>
      <c r="I26" s="1144"/>
      <c r="J26" s="1144"/>
      <c r="K26" s="1144"/>
      <c r="L26" s="215">
        <f>SUM(R6:R25)</f>
        <v>0</v>
      </c>
      <c r="M26" s="1189" t="s">
        <v>322</v>
      </c>
      <c r="N26" s="1205"/>
      <c r="O26" s="1205"/>
      <c r="P26" s="1205"/>
      <c r="Q26" s="1205"/>
      <c r="R26" s="216">
        <f>IF(L26&gt;12,12,L26)</f>
        <v>0</v>
      </c>
      <c r="S26" s="217">
        <f>IF(SUM(S6:S25)&gt;12,12,SUM(S6:S25))</f>
        <v>0</v>
      </c>
      <c r="T26" s="48"/>
      <c r="U26" s="177"/>
      <c r="V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row>
    <row r="27" spans="1:80" ht="33" customHeight="1">
      <c r="A27" s="1507" t="s">
        <v>31</v>
      </c>
      <c r="B27" s="1508"/>
      <c r="C27" s="1508"/>
      <c r="D27" s="1508"/>
      <c r="E27" s="1508"/>
      <c r="F27" s="1508"/>
      <c r="G27" s="1508"/>
      <c r="H27" s="1430" t="s">
        <v>32</v>
      </c>
      <c r="I27" s="1430"/>
      <c r="J27" s="1430"/>
      <c r="K27" s="1431">
        <f>Q2</f>
        <v>0</v>
      </c>
      <c r="L27" s="1432"/>
      <c r="M27" s="1432"/>
      <c r="N27" s="1432"/>
      <c r="O27" s="1430" t="s">
        <v>33</v>
      </c>
      <c r="P27" s="1430"/>
      <c r="Q27" s="1430"/>
      <c r="R27" s="1433">
        <f>C2</f>
        <v>0</v>
      </c>
      <c r="S27" s="1433"/>
      <c r="T27" s="1433"/>
      <c r="U27" s="1434"/>
      <c r="V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row>
    <row r="28" spans="1:80" ht="33" customHeight="1" thickBot="1">
      <c r="A28" s="1437">
        <f>'فرم الف'!A27</f>
        <v>0</v>
      </c>
      <c r="B28" s="1425"/>
      <c r="C28" s="1425"/>
      <c r="D28" s="1425"/>
      <c r="E28" s="1425"/>
      <c r="F28" s="1425"/>
      <c r="G28" s="1425"/>
      <c r="H28" s="1425">
        <f>'فرم الف'!E27</f>
        <v>0</v>
      </c>
      <c r="I28" s="1425"/>
      <c r="J28" s="1425"/>
      <c r="K28" s="1425"/>
      <c r="L28" s="1425"/>
      <c r="M28" s="1425"/>
      <c r="N28" s="1425"/>
      <c r="O28" s="1425" t="str">
        <f>'فرم الف'!J27</f>
        <v/>
      </c>
      <c r="P28" s="1425"/>
      <c r="Q28" s="1425"/>
      <c r="R28" s="1425"/>
      <c r="S28" s="1425"/>
      <c r="T28" s="1425"/>
      <c r="U28" s="1426"/>
      <c r="V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row>
    <row r="29" spans="1:80">
      <c r="V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row>
    <row r="30" spans="1:80" ht="17.25" customHeight="1">
      <c r="V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row>
    <row r="31" spans="1:80" ht="20.25" customHeight="1">
      <c r="V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row>
    <row r="32" spans="1:80">
      <c r="V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row>
    <row r="33" spans="22:80" ht="17.25" customHeight="1">
      <c r="V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row>
    <row r="34" spans="22:80" ht="20.25" customHeight="1">
      <c r="V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row>
    <row r="35" spans="22:80">
      <c r="V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row>
    <row r="36" spans="22:80" ht="17.25" customHeight="1">
      <c r="V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row>
    <row r="37" spans="22:80" ht="20.25" customHeight="1">
      <c r="V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row>
    <row r="38" spans="22:80">
      <c r="V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row>
    <row r="39" spans="22:80" ht="17.25" customHeight="1">
      <c r="V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row>
    <row r="40" spans="22:80" ht="20.25" customHeight="1">
      <c r="V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row>
    <row r="41" spans="22:80">
      <c r="V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row>
    <row r="42" spans="22:80" ht="17.25" customHeight="1">
      <c r="V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row>
    <row r="43" spans="22:80" ht="20.25" customHeight="1">
      <c r="V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row>
    <row r="44" spans="22:80">
      <c r="V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row>
    <row r="45" spans="22:80" ht="17.25" customHeight="1">
      <c r="V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row>
    <row r="46" spans="22:80" ht="20.25" customHeight="1">
      <c r="V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row>
    <row r="47" spans="22:80">
      <c r="V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row>
    <row r="48" spans="22:80">
      <c r="V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row>
    <row r="50" ht="26.25" customHeight="1"/>
    <row r="51" ht="26.25" customHeight="1"/>
  </sheetData>
  <sheetProtection algorithmName="SHA-512" hashValue="1oVV0zeIjUJWwAbMUXgzE47Zp7m/DRYbt1gPFxQQVnHrMugf1XGnJW6mYRcp4OUh469gSZuuf3wg4nErvPNJew==" saltValue="Gn2u9dT7qDR+XUlUntx5Sw==" spinCount="100000" sheet="1" objects="1" scenarios="1" formatCells="0" formatRows="0" selectLockedCells="1"/>
  <mergeCells count="129">
    <mergeCell ref="B14:G14"/>
    <mergeCell ref="H14:J14"/>
    <mergeCell ref="K14:L14"/>
    <mergeCell ref="M14:N14"/>
    <mergeCell ref="O14:Q14"/>
    <mergeCell ref="B15:G15"/>
    <mergeCell ref="H15:J15"/>
    <mergeCell ref="K15:L15"/>
    <mergeCell ref="M15:N15"/>
    <mergeCell ref="O15:Q15"/>
    <mergeCell ref="B12:G12"/>
    <mergeCell ref="H12:J12"/>
    <mergeCell ref="K12:L12"/>
    <mergeCell ref="M12:N12"/>
    <mergeCell ref="O12:Q12"/>
    <mergeCell ref="B13:G13"/>
    <mergeCell ref="H13:J13"/>
    <mergeCell ref="K13:L13"/>
    <mergeCell ref="M13:N13"/>
    <mergeCell ref="O13:Q13"/>
    <mergeCell ref="B10:G10"/>
    <mergeCell ref="H10:J10"/>
    <mergeCell ref="K10:L10"/>
    <mergeCell ref="M10:N10"/>
    <mergeCell ref="O10:Q10"/>
    <mergeCell ref="B11:G11"/>
    <mergeCell ref="H11:J11"/>
    <mergeCell ref="K11:L11"/>
    <mergeCell ref="M11:N11"/>
    <mergeCell ref="O11:Q11"/>
    <mergeCell ref="B8:G8"/>
    <mergeCell ref="H8:J8"/>
    <mergeCell ref="K8:L8"/>
    <mergeCell ref="M8:N8"/>
    <mergeCell ref="O8:Q8"/>
    <mergeCell ref="B9:G9"/>
    <mergeCell ref="H9:J9"/>
    <mergeCell ref="K9:L9"/>
    <mergeCell ref="M9:N9"/>
    <mergeCell ref="O9:Q9"/>
    <mergeCell ref="B6:G6"/>
    <mergeCell ref="H6:J6"/>
    <mergeCell ref="K6:L6"/>
    <mergeCell ref="M6:N6"/>
    <mergeCell ref="O6:Q6"/>
    <mergeCell ref="B7:G7"/>
    <mergeCell ref="H7:J7"/>
    <mergeCell ref="K7:L7"/>
    <mergeCell ref="M7:N7"/>
    <mergeCell ref="O7:Q7"/>
    <mergeCell ref="M24:N24"/>
    <mergeCell ref="O24:Q24"/>
    <mergeCell ref="M25:N25"/>
    <mergeCell ref="O25:Q25"/>
    <mergeCell ref="M19:N19"/>
    <mergeCell ref="O19:Q19"/>
    <mergeCell ref="M20:N20"/>
    <mergeCell ref="O20:Q20"/>
    <mergeCell ref="M21:N21"/>
    <mergeCell ref="O21:Q21"/>
    <mergeCell ref="R27:U27"/>
    <mergeCell ref="A28:G28"/>
    <mergeCell ref="H28:N28"/>
    <mergeCell ref="O28:U28"/>
    <mergeCell ref="O4:Q5"/>
    <mergeCell ref="M4:N5"/>
    <mergeCell ref="M16:N16"/>
    <mergeCell ref="O16:Q16"/>
    <mergeCell ref="M17:N17"/>
    <mergeCell ref="O17:Q17"/>
    <mergeCell ref="A26:K26"/>
    <mergeCell ref="M26:Q26"/>
    <mergeCell ref="A27:G27"/>
    <mergeCell ref="H27:J27"/>
    <mergeCell ref="K27:N27"/>
    <mergeCell ref="O27:Q27"/>
    <mergeCell ref="B24:G24"/>
    <mergeCell ref="H24:J24"/>
    <mergeCell ref="K24:L24"/>
    <mergeCell ref="B25:G25"/>
    <mergeCell ref="H25:J25"/>
    <mergeCell ref="K25:L25"/>
    <mergeCell ref="B22:G22"/>
    <mergeCell ref="H22:J22"/>
    <mergeCell ref="K22:L22"/>
    <mergeCell ref="B23:G23"/>
    <mergeCell ref="H23:J23"/>
    <mergeCell ref="K23:L23"/>
    <mergeCell ref="M22:N22"/>
    <mergeCell ref="O22:Q22"/>
    <mergeCell ref="B20:G20"/>
    <mergeCell ref="H20:J20"/>
    <mergeCell ref="K20:L20"/>
    <mergeCell ref="B21:G21"/>
    <mergeCell ref="H21:J21"/>
    <mergeCell ref="K21:L21"/>
    <mergeCell ref="M23:N23"/>
    <mergeCell ref="O23:Q23"/>
    <mergeCell ref="B18:G18"/>
    <mergeCell ref="H18:J18"/>
    <mergeCell ref="K18:L18"/>
    <mergeCell ref="B19:G19"/>
    <mergeCell ref="H19:J19"/>
    <mergeCell ref="K19:L19"/>
    <mergeCell ref="M18:N18"/>
    <mergeCell ref="O18:Q18"/>
    <mergeCell ref="B16:G16"/>
    <mergeCell ref="H16:J16"/>
    <mergeCell ref="K16:L16"/>
    <mergeCell ref="B17:G17"/>
    <mergeCell ref="H17:J17"/>
    <mergeCell ref="K17:L17"/>
    <mergeCell ref="A3:R3"/>
    <mergeCell ref="S3:U3"/>
    <mergeCell ref="A4:A5"/>
    <mergeCell ref="B4:G5"/>
    <mergeCell ref="H4:J5"/>
    <mergeCell ref="K4:L5"/>
    <mergeCell ref="R4:T4"/>
    <mergeCell ref="U4:U5"/>
    <mergeCell ref="A1:B2"/>
    <mergeCell ref="C1:G1"/>
    <mergeCell ref="H1:L1"/>
    <mergeCell ref="M1:P1"/>
    <mergeCell ref="Q1:U1"/>
    <mergeCell ref="C2:G2"/>
    <mergeCell ref="H2:L2"/>
    <mergeCell ref="M2:P2"/>
    <mergeCell ref="Q2:U2"/>
  </mergeCells>
  <conditionalFormatting sqref="B16:M16 O16">
    <cfRule type="containsBlanks" dxfId="40" priority="5">
      <formula>LEN(TRIM(B16))=0</formula>
    </cfRule>
  </conditionalFormatting>
  <conditionalFormatting sqref="B17:M25 O17:O25">
    <cfRule type="containsBlanks" dxfId="39" priority="3">
      <formula>LEN(TRIM(B17))=0</formula>
    </cfRule>
  </conditionalFormatting>
  <conditionalFormatting sqref="B6:M6 O6">
    <cfRule type="containsBlanks" dxfId="38" priority="2">
      <formula>LEN(TRIM(B6))=0</formula>
    </cfRule>
  </conditionalFormatting>
  <conditionalFormatting sqref="B7:M15 O7:O15">
    <cfRule type="containsBlanks" dxfId="37" priority="1">
      <formula>LEN(TRIM(B7))=0</formula>
    </cfRule>
  </conditionalFormatting>
  <dataValidations count="2">
    <dataValidation allowBlank="1" showInputMessage="1" showErrorMessage="1" promptTitle="توجه:" prompt="به ازاي هر 10 دانشجو يك امتياز" sqref="R6:S25"/>
    <dataValidation allowBlank="1" showInputMessage="1" showErrorMessage="1" promptTitle="توجه:" prompt="به منظور بهره مندی از امتیازات این بند ارائه تأییدیه رئیس مؤسسه الزامی است." sqref="B6:G25"/>
  </dataValidations>
  <printOptions horizontalCentered="1" verticalCentered="1"/>
  <pageMargins left="0" right="0" top="0.5" bottom="0" header="0" footer="0"/>
  <pageSetup orientation="landscape" blackAndWhite="1" errors="blank"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25"/>
  <sheetViews>
    <sheetView showGridLines="0" rightToLeft="1" view="pageBreakPreview" zoomScaleNormal="100" zoomScaleSheetLayoutView="100" workbookViewId="0">
      <selection activeCell="H8" sqref="H8:I8"/>
    </sheetView>
  </sheetViews>
  <sheetFormatPr defaultColWidth="9" defaultRowHeight="18"/>
  <cols>
    <col min="1" max="1" width="8.28515625" style="761" customWidth="1"/>
    <col min="2" max="2" width="6.42578125" style="761" customWidth="1"/>
    <col min="3" max="3" width="5.85546875" style="761" customWidth="1"/>
    <col min="4" max="4" width="9.7109375" style="761" customWidth="1"/>
    <col min="5" max="5" width="9.140625" style="761" customWidth="1"/>
    <col min="6" max="6" width="5.5703125" style="761" customWidth="1"/>
    <col min="7" max="7" width="25.7109375" style="761" customWidth="1"/>
    <col min="8" max="8" width="7.140625" style="761" customWidth="1"/>
    <col min="9" max="9" width="8.28515625" style="761" customWidth="1"/>
    <col min="10" max="10" width="8" style="761" customWidth="1"/>
    <col min="11" max="11" width="13" style="761" customWidth="1"/>
    <col min="12" max="12" width="8.42578125" style="761" customWidth="1"/>
    <col min="13" max="14" width="5.28515625" style="761" customWidth="1"/>
    <col min="15" max="15" width="7.42578125" style="761" customWidth="1"/>
    <col min="16" max="24" width="21.7109375" style="289" customWidth="1"/>
    <col min="25" max="26" width="9" style="761"/>
    <col min="27" max="27" width="48.28515625" style="761" customWidth="1"/>
    <col min="28" max="16384" width="9" style="761"/>
  </cols>
  <sheetData>
    <row r="1" spans="1:27" ht="19.5" customHeight="1">
      <c r="A1" s="1860" t="s">
        <v>873</v>
      </c>
      <c r="B1" s="1862" t="s">
        <v>107</v>
      </c>
      <c r="C1" s="1069"/>
      <c r="D1" s="1069"/>
      <c r="E1" s="1069"/>
      <c r="F1" s="1863" t="s">
        <v>1142</v>
      </c>
      <c r="G1" s="1863"/>
      <c r="H1" s="1863"/>
      <c r="I1" s="1864">
        <f>'فرم الف'!I4</f>
        <v>0</v>
      </c>
      <c r="J1" s="1864"/>
      <c r="K1" s="1863" t="s">
        <v>135</v>
      </c>
      <c r="L1" s="1863"/>
      <c r="M1" s="286">
        <f>'فرم الف'!M4</f>
        <v>0</v>
      </c>
      <c r="N1" s="287">
        <f>'فرم الف'!N4</f>
        <v>0</v>
      </c>
      <c r="O1" s="288">
        <f>'فرم الف'!O4</f>
        <v>0</v>
      </c>
      <c r="S1" s="761"/>
      <c r="T1" s="761"/>
    </row>
    <row r="2" spans="1:27" ht="19.5" customHeight="1" thickBot="1">
      <c r="A2" s="1861"/>
      <c r="B2" s="1865">
        <f>'فرم الف'!B5</f>
        <v>0</v>
      </c>
      <c r="C2" s="1866"/>
      <c r="D2" s="1866"/>
      <c r="E2" s="1866"/>
      <c r="F2" s="1867" t="s">
        <v>1143</v>
      </c>
      <c r="G2" s="1867"/>
      <c r="H2" s="1867"/>
      <c r="I2" s="1868">
        <f>'فرم الف'!I5</f>
        <v>0</v>
      </c>
      <c r="J2" s="1868"/>
      <c r="K2" s="1867" t="s">
        <v>131</v>
      </c>
      <c r="L2" s="1867"/>
      <c r="M2" s="291">
        <f>'فرم الف'!M5</f>
        <v>0</v>
      </c>
      <c r="N2" s="292">
        <f>'فرم الف'!N5</f>
        <v>0</v>
      </c>
      <c r="O2" s="293">
        <f>'فرم الف'!O5</f>
        <v>0</v>
      </c>
    </row>
    <row r="3" spans="1:27" ht="6" customHeight="1" thickBot="1">
      <c r="A3" s="803"/>
      <c r="B3" s="803"/>
      <c r="C3" s="803"/>
      <c r="D3" s="803"/>
      <c r="E3" s="803"/>
      <c r="F3" s="803"/>
      <c r="G3" s="803"/>
      <c r="H3" s="803"/>
      <c r="I3" s="803"/>
      <c r="J3" s="803"/>
      <c r="K3" s="803"/>
      <c r="L3" s="803"/>
      <c r="M3" s="803"/>
      <c r="N3" s="803"/>
      <c r="O3" s="803"/>
    </row>
    <row r="4" spans="1:27" ht="23.25" thickBot="1">
      <c r="A4" s="294" t="s">
        <v>1134</v>
      </c>
      <c r="B4" s="1849" t="s">
        <v>1133</v>
      </c>
      <c r="C4" s="1849"/>
      <c r="D4" s="1849"/>
      <c r="E4" s="1849"/>
      <c r="F4" s="1849"/>
      <c r="G4" s="1850">
        <f>'فرم الف'!A9</f>
        <v>0</v>
      </c>
      <c r="H4" s="1851"/>
      <c r="I4" s="1851"/>
      <c r="J4" s="798" t="s">
        <v>877</v>
      </c>
      <c r="K4" s="799" t="str">
        <f>'فرم الف'!H2</f>
        <v/>
      </c>
      <c r="L4" s="798" t="s">
        <v>878</v>
      </c>
      <c r="M4" s="1852" t="str">
        <f>'فرم الف'!K2</f>
        <v/>
      </c>
      <c r="N4" s="1852"/>
      <c r="O4" s="1853"/>
      <c r="P4" s="297"/>
    </row>
    <row r="5" spans="1:27" ht="5.25" customHeight="1" thickBot="1">
      <c r="A5" s="298"/>
      <c r="B5" s="298"/>
      <c r="C5" s="298"/>
      <c r="D5" s="298"/>
      <c r="E5" s="298"/>
      <c r="F5" s="299"/>
      <c r="G5" s="299"/>
      <c r="H5" s="300"/>
      <c r="I5" s="300"/>
      <c r="J5" s="300"/>
      <c r="K5" s="299"/>
      <c r="L5" s="299"/>
      <c r="M5" s="299"/>
      <c r="N5" s="299"/>
      <c r="O5" s="300"/>
    </row>
    <row r="6" spans="1:27" ht="33" customHeight="1">
      <c r="A6" s="1854" t="s">
        <v>887</v>
      </c>
      <c r="B6" s="1855"/>
      <c r="C6" s="1855"/>
      <c r="D6" s="822"/>
      <c r="E6" s="479" t="s">
        <v>1006</v>
      </c>
      <c r="F6" s="309" t="s">
        <v>9</v>
      </c>
      <c r="G6" s="309" t="s">
        <v>879</v>
      </c>
      <c r="H6" s="1856" t="s">
        <v>880</v>
      </c>
      <c r="I6" s="1856"/>
      <c r="J6" s="800" t="s">
        <v>881</v>
      </c>
      <c r="K6" s="309" t="s">
        <v>882</v>
      </c>
      <c r="L6" s="309" t="s">
        <v>883</v>
      </c>
      <c r="M6" s="1857" t="s">
        <v>125</v>
      </c>
      <c r="N6" s="1858"/>
      <c r="O6" s="1859"/>
    </row>
    <row r="7" spans="1:27" ht="33" customHeight="1">
      <c r="A7" s="1812" t="s">
        <v>1147</v>
      </c>
      <c r="B7" s="1813"/>
      <c r="C7" s="1813"/>
      <c r="D7" s="1813"/>
      <c r="E7" s="1814"/>
      <c r="F7" s="815">
        <v>1</v>
      </c>
      <c r="G7" s="819" t="str">
        <f>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Base'!L33,IF(EXACT(B2,'Data Base'!M32),'Data Base'!M33,""))))))))))))</f>
        <v/>
      </c>
      <c r="H7" s="1820" t="s">
        <v>1135</v>
      </c>
      <c r="I7" s="1821"/>
      <c r="J7" s="797"/>
      <c r="K7" s="671"/>
      <c r="L7" s="301" t="s">
        <v>875</v>
      </c>
      <c r="M7" s="1844"/>
      <c r="N7" s="1845"/>
      <c r="O7" s="1846"/>
      <c r="T7" s="761"/>
      <c r="Z7" s="760"/>
      <c r="AA7" s="303"/>
    </row>
    <row r="8" spans="1:27" ht="33" customHeight="1">
      <c r="A8" s="1812"/>
      <c r="B8" s="1813"/>
      <c r="C8" s="1813"/>
      <c r="D8" s="1813"/>
      <c r="E8" s="1814"/>
      <c r="F8" s="815">
        <v>2</v>
      </c>
      <c r="G8" s="820">
        <f>IF(EXACT(B2,'Data Base'!B32),'Data Base'!B65,IF(EXACT(B2,'Data Base'!C32),'Data Base'!C65,IF(EXACT(B2,'Data Base'!D32),'Data Base'!D65,IF(EXACT(B2,'Data Base'!E32),'Data Base'!E65,IF(EXACT(B2,'Data Base'!F32),'Data Base'!F65,IF(EXACT(B2,'Data Base'!G32),'Data Base'!G65,IF(EXACT(B2,'Data Base'!H32),'Data Base'!H65,IF(EXACT(B2,'Data Base'!I32),'Data Base'!I65,IF(EXACT(B2,'Data Base'!J32),'Data Base'!J65,IF(EXACT(B2,'Data Base'!K32),'Data Base'!K65,IF(EXACT(B2,'Data Base'!L32),'Data Base'!L65,IF(EXACT(B2,'Data Base'!M32),'Data Base'!M65,))))))))))))</f>
        <v>0</v>
      </c>
      <c r="H8" s="1847"/>
      <c r="I8" s="1848"/>
      <c r="J8" s="797"/>
      <c r="K8" s="671"/>
      <c r="L8" s="671"/>
      <c r="M8" s="1830"/>
      <c r="N8" s="1818"/>
      <c r="O8" s="1831"/>
      <c r="T8" s="761"/>
      <c r="AA8" s="303"/>
    </row>
    <row r="9" spans="1:27" ht="33" customHeight="1">
      <c r="A9" s="1842" t="s">
        <v>13</v>
      </c>
      <c r="B9" s="1843"/>
      <c r="C9" s="816">
        <f ca="1">'فرم ج'!G20</f>
        <v>0</v>
      </c>
      <c r="D9" s="1828"/>
      <c r="E9" s="1829"/>
      <c r="F9" s="815">
        <v>3</v>
      </c>
      <c r="G9" s="820">
        <f>IF(EXACT(B2,'Data Base'!B32),'Data Base'!B65,IF(EXACT(B2,'Data Base'!C32),'Data Base'!C66,IF(EXACT(B2,'Data Base'!D32),'Data Base'!D66,IF(EXACT(B2,'Data Base'!E32),'Data Base'!E66,IF(EXACT(B2,'Data Base'!F32),'Data Base'!F66,IF(EXACT(B2,'Data Base'!G32),'Data Base'!G66,IF(EXACT(B2,'Data Base'!H32),'Data Base'!H66,IF(EXACT(B2,'Data Base'!I32),'Data Base'!I66,IF(EXACT(B2,'Data Base'!J32),'Data Base'!J66,IF(EXACT(B2,'Data Base'!K32),'Data Base'!K66,IF(EXACT(B2,'Data Base'!L32),'Data Base'!L66,IF(EXACT(B2,'Data Base'!M32),'Data Base'!M66,))))))))))))</f>
        <v>0</v>
      </c>
      <c r="H9" s="1818" t="str">
        <f>IF(EXACT(G8,0),"",'Data Base'!$B$60)</f>
        <v/>
      </c>
      <c r="I9" s="1819"/>
      <c r="J9" s="797"/>
      <c r="K9" s="671"/>
      <c r="L9" s="671"/>
      <c r="M9" s="1830"/>
      <c r="N9" s="1818"/>
      <c r="O9" s="1831"/>
      <c r="AA9" s="303"/>
    </row>
    <row r="10" spans="1:27" ht="33" customHeight="1">
      <c r="A10" s="1815" t="s">
        <v>893</v>
      </c>
      <c r="B10" s="1816"/>
      <c r="C10" s="1816"/>
      <c r="D10" s="1816"/>
      <c r="E10" s="1817"/>
      <c r="F10" s="815">
        <v>4</v>
      </c>
      <c r="G10" s="820">
        <f>IF(EXACT(B2,'Data Base'!B32),'Data Base'!B67,IF(EXACT(B2,'Data Base'!C32),'Data Base'!C67,IF(EXACT(B2,'Data Base'!D32),'Data Base'!D67,IF(EXACT(B2,'Data Base'!E32),'Data Base'!E67,IF(EXACT(B2,'Data Base'!F32),'Data Base'!F67,IF(EXACT(B2,'Data Base'!G32),'Data Base'!G67,IF(EXACT(B2,'Data Base'!H32),'Data Base'!H67,IF(EXACT(B2,'Data Base'!I32),'Data Base'!I67,IF(EXACT(B2,'Data Base'!J32),'Data Base'!J67,IF(EXACT(B2,'Data Base'!K32),'Data Base'!K67,IF(EXACT(B2,'Data Base'!L32),'Data Base'!L67,IF(EXACT(B2,'Data Base'!M32),'Data Base'!M67,))))))))))))</f>
        <v>0</v>
      </c>
      <c r="H10" s="1818" t="str">
        <f>IF(EXACT(G9,0),"",'Data Base'!$B$60)</f>
        <v/>
      </c>
      <c r="I10" s="1819"/>
      <c r="J10" s="797"/>
      <c r="K10" s="671"/>
      <c r="L10" s="671"/>
      <c r="M10" s="1830"/>
      <c r="N10" s="1818"/>
      <c r="O10" s="1831"/>
      <c r="AA10" s="303"/>
    </row>
    <row r="11" spans="1:27" ht="33" customHeight="1">
      <c r="A11" s="1822" t="s">
        <v>1136</v>
      </c>
      <c r="B11" s="1823"/>
      <c r="C11" s="1823"/>
      <c r="D11" s="1823"/>
      <c r="E11" s="1824"/>
      <c r="F11" s="815">
        <v>5</v>
      </c>
      <c r="G11" s="820">
        <f>IF(EXACT(B2,'Data Base'!B32),'Data Base'!B68,IF(EXACT(B2,'Data Base'!C32),'Data Base'!C68,IF(EXACT(B2,'Data Base'!D32),'Data Base'!D68,IF(EXACT(B2,'Data Base'!E32),'Data Base'!E68,IF(EXACT(B2,'Data Base'!F32),'Data Base'!F68,IF(EXACT(B2,'Data Base'!G32),'Data Base'!G68,IF(EXACT(B2,'Data Base'!H32),'Data Base'!H68,IF(EXACT(B2,'Data Base'!I32),'Data Base'!I68,IF(EXACT(B2,'Data Base'!J32),'Data Base'!J68,IF(EXACT(B2,'Data Base'!K32),'Data Base'!K68,IF(EXACT(B2,'Data Base'!L32),'Data Base'!L68,IF(EXACT(B2,'Data Base'!M32),'Data Base'!M68,))))))))))))</f>
        <v>0</v>
      </c>
      <c r="H11" s="1818" t="str">
        <f>IF(EXACT(G10,0),"",'Data Base'!$B$60)</f>
        <v/>
      </c>
      <c r="I11" s="1819"/>
      <c r="J11" s="797"/>
      <c r="K11" s="671"/>
      <c r="L11" s="671"/>
      <c r="M11" s="1830"/>
      <c r="N11" s="1818"/>
      <c r="O11" s="1831"/>
      <c r="AA11" s="303"/>
    </row>
    <row r="12" spans="1:27" ht="33" customHeight="1">
      <c r="A12" s="1822"/>
      <c r="B12" s="1823"/>
      <c r="C12" s="1823"/>
      <c r="D12" s="1823"/>
      <c r="E12" s="1824"/>
      <c r="F12" s="815">
        <v>6</v>
      </c>
      <c r="G12" s="820">
        <f>IF(EXACT(B2,'Data Base'!B32),'Data Base'!B69,IF(EXACT(B2,'Data Base'!C32),'Data Base'!C69,IF(EXACT(B2,'Data Base'!D32),'Data Base'!D69,IF(EXACT(B2,'Data Base'!E32),'Data Base'!E69,IF(EXACT(B2,'Data Base'!F32),'Data Base'!F69,IF(EXACT(B2,'Data Base'!G32),'Data Base'!G69,IF(EXACT(B2,'Data Base'!H32),'Data Base'!H69,IF(EXACT(B2,'Data Base'!I32),'Data Base'!I69,IF(EXACT(B2,'Data Base'!J32),'Data Base'!J69,IF(EXACT(B2,'Data Base'!K32),'Data Base'!K70,IF(EXACT(B2,'Data Base'!L32),'Data Base'!L69,IF(EXACT(B2,'Data Base'!M32),'Data Base'!M69,))))))))))))</f>
        <v>0</v>
      </c>
      <c r="H12" s="1818" t="str">
        <f>IF(EXACT(G11,0),"",'Data Base'!$B$60)</f>
        <v/>
      </c>
      <c r="I12" s="1819"/>
      <c r="J12" s="797"/>
      <c r="K12" s="671"/>
      <c r="L12" s="671"/>
      <c r="M12" s="1830"/>
      <c r="N12" s="1818"/>
      <c r="O12" s="1831"/>
      <c r="AA12" s="303"/>
    </row>
    <row r="13" spans="1:27" ht="33" customHeight="1">
      <c r="A13" s="1822"/>
      <c r="B13" s="1823"/>
      <c r="C13" s="1823"/>
      <c r="D13" s="1823"/>
      <c r="E13" s="1824"/>
      <c r="F13" s="815">
        <v>7</v>
      </c>
      <c r="G13" s="821">
        <f>IF(EXACT(B2,'Data Base'!B32),'Data Base'!B70,IF(EXACT(B2,'Data Base'!C32),'Data Base'!C70,IF(EXACT(B2,'Data Base'!D32),'Data Base'!D70,IF(EXACT(B2,'Data Base'!E32),'Data Base'!E70,IF(EXACT(B2,'Data Base'!F32),'Data Base'!F70,IF(EXACT(B2,'Data Base'!G32),'Data Base'!G70,IF(EXACT(B2,'Data Base'!H32),'Data Base'!H70,IF(EXACT(B2,'Data Base'!I32),'Data Base'!I70,IF(EXACT(B2,'Data Base'!J32),'Data Base'!J70,IF(EXACT(B2,'Data Base'!K32),'Data Base'!#REF!,IF(EXACT(B2,'Data Base'!L32),'Data Base'!L70,IF(EXACT(B2,'Data Base'!M32),'Data Base'!M70,))))))))))))</f>
        <v>0</v>
      </c>
      <c r="H13" s="1818" t="str">
        <f>IF(EXACT(G12,0),"",'Data Base'!$B$60)</f>
        <v/>
      </c>
      <c r="I13" s="1819"/>
      <c r="J13" s="801"/>
      <c r="K13" s="675"/>
      <c r="L13" s="671"/>
      <c r="M13" s="1830"/>
      <c r="N13" s="1818"/>
      <c r="O13" s="1831"/>
      <c r="AA13" s="303"/>
    </row>
    <row r="14" spans="1:27" ht="17.25" customHeight="1">
      <c r="A14" s="1822"/>
      <c r="B14" s="1823"/>
      <c r="C14" s="1823"/>
      <c r="D14" s="1823"/>
      <c r="E14" s="1824"/>
      <c r="F14" s="1832" t="s">
        <v>886</v>
      </c>
      <c r="G14" s="1833"/>
      <c r="H14" s="1834"/>
      <c r="I14" s="1834"/>
      <c r="J14" s="1834"/>
      <c r="K14" s="1834"/>
      <c r="L14" s="1834"/>
      <c r="M14" s="1834"/>
      <c r="N14" s="1834"/>
      <c r="O14" s="1835"/>
      <c r="AA14" s="303"/>
    </row>
    <row r="15" spans="1:27" ht="51" customHeight="1" thickBot="1">
      <c r="A15" s="1825" t="str">
        <f ca="1">IF(C9&lt;10,'Data Base'!B106,"")</f>
        <v>متقاضي حداقل امتياز لازم را از ماده 1 كسب نكرده است!</v>
      </c>
      <c r="B15" s="1826"/>
      <c r="C15" s="1826"/>
      <c r="D15" s="1826"/>
      <c r="E15" s="1827"/>
      <c r="F15" s="1836"/>
      <c r="G15" s="1837"/>
      <c r="H15" s="1837"/>
      <c r="I15" s="1837"/>
      <c r="J15" s="1837"/>
      <c r="K15" s="1837"/>
      <c r="L15" s="1837"/>
      <c r="M15" s="1837"/>
      <c r="N15" s="1837"/>
      <c r="O15" s="1838"/>
    </row>
    <row r="16" spans="1:27" ht="27" customHeight="1">
      <c r="A16" s="1839"/>
      <c r="B16" s="1839"/>
      <c r="C16" s="305"/>
      <c r="D16" s="305"/>
      <c r="E16" s="305"/>
      <c r="F16" s="1840"/>
      <c r="G16" s="1840"/>
      <c r="H16" s="1840"/>
      <c r="I16" s="1841"/>
      <c r="J16" s="1841"/>
      <c r="K16" s="1841"/>
      <c r="L16" s="299"/>
      <c r="M16" s="299"/>
      <c r="N16" s="299"/>
      <c r="O16" s="299"/>
    </row>
    <row r="17" spans="1:15" ht="27" customHeight="1">
      <c r="A17" s="305"/>
      <c r="B17" s="305"/>
      <c r="C17" s="305"/>
      <c r="D17" s="305"/>
      <c r="E17" s="305"/>
      <c r="F17" s="306"/>
      <c r="G17" s="1811"/>
      <c r="H17" s="1811"/>
      <c r="I17" s="1811"/>
      <c r="J17" s="1811"/>
      <c r="K17" s="1811"/>
      <c r="L17" s="299"/>
      <c r="M17" s="299"/>
      <c r="N17" s="299"/>
      <c r="O17" s="299"/>
    </row>
    <row r="18" spans="1:15" ht="28.5" customHeight="1">
      <c r="A18" s="299"/>
      <c r="B18" s="299"/>
      <c r="C18" s="299"/>
      <c r="D18" s="299"/>
      <c r="E18" s="299"/>
      <c r="F18" s="299"/>
      <c r="G18" s="299"/>
      <c r="H18" s="299"/>
      <c r="I18" s="299"/>
      <c r="J18" s="299"/>
      <c r="K18" s="299"/>
      <c r="L18" s="299"/>
      <c r="M18" s="299"/>
      <c r="N18" s="299"/>
      <c r="O18" s="299"/>
    </row>
    <row r="19" spans="1:15" ht="28.5" customHeight="1">
      <c r="A19" s="307"/>
      <c r="B19" s="308"/>
      <c r="C19" s="308"/>
      <c r="D19" s="308"/>
      <c r="E19" s="308"/>
      <c r="F19" s="307"/>
      <c r="G19" s="307"/>
    </row>
    <row r="20" spans="1:15" ht="18" customHeight="1">
      <c r="A20" s="308"/>
      <c r="B20" s="308"/>
      <c r="C20" s="308"/>
      <c r="D20" s="308"/>
      <c r="E20" s="308"/>
      <c r="F20" s="307"/>
      <c r="G20" s="307"/>
    </row>
    <row r="21" spans="1:15" ht="18" customHeight="1">
      <c r="A21" s="308"/>
      <c r="B21" s="308"/>
      <c r="C21" s="308"/>
      <c r="D21" s="308"/>
      <c r="E21" s="308"/>
      <c r="F21" s="307"/>
      <c r="G21" s="307"/>
    </row>
    <row r="22" spans="1:15" ht="18" customHeight="1">
      <c r="A22" s="308"/>
      <c r="B22" s="308"/>
      <c r="C22" s="308"/>
      <c r="D22" s="308"/>
      <c r="E22" s="308"/>
      <c r="F22" s="307"/>
      <c r="G22" s="307"/>
    </row>
    <row r="23" spans="1:15">
      <c r="A23" s="307"/>
      <c r="B23" s="307"/>
      <c r="C23" s="307"/>
      <c r="D23" s="307"/>
      <c r="E23" s="307"/>
      <c r="F23" s="307"/>
      <c r="G23" s="307"/>
    </row>
    <row r="24" spans="1:15">
      <c r="A24" s="307"/>
      <c r="B24" s="307"/>
      <c r="C24" s="307"/>
      <c r="D24" s="307"/>
      <c r="E24" s="307"/>
      <c r="F24" s="307"/>
      <c r="G24" s="307"/>
    </row>
    <row r="25" spans="1:15">
      <c r="A25" s="307"/>
      <c r="B25" s="307"/>
      <c r="C25" s="307"/>
      <c r="D25" s="307"/>
      <c r="E25" s="307"/>
      <c r="F25" s="307"/>
      <c r="G25" s="307"/>
    </row>
  </sheetData>
  <sheetProtection algorithmName="SHA-512" hashValue="MqkagBonmL27b+Vv0krDDm+ktNUQFePpFaYW+lGqAjo4olccgSwxzE07TtpAUvJq/YYx10yaJTWL3KnD52hODg==" saltValue="CZPuDmOAbKKHTpRpuyyOXw==" spinCount="100000" sheet="1" objects="1" scenarios="1" formatCells="0" selectLockedCells="1"/>
  <mergeCells count="41">
    <mergeCell ref="A1:A2"/>
    <mergeCell ref="B1:E1"/>
    <mergeCell ref="F1:H1"/>
    <mergeCell ref="I1:J1"/>
    <mergeCell ref="K1:L1"/>
    <mergeCell ref="B2:E2"/>
    <mergeCell ref="F2:H2"/>
    <mergeCell ref="I2:J2"/>
    <mergeCell ref="K2:L2"/>
    <mergeCell ref="M7:O7"/>
    <mergeCell ref="H8:I8"/>
    <mergeCell ref="M8:O8"/>
    <mergeCell ref="B4:F4"/>
    <mergeCell ref="G4:I4"/>
    <mergeCell ref="M4:O4"/>
    <mergeCell ref="A6:C6"/>
    <mergeCell ref="H6:I6"/>
    <mergeCell ref="M6:O6"/>
    <mergeCell ref="M11:O11"/>
    <mergeCell ref="H12:I12"/>
    <mergeCell ref="M12:O12"/>
    <mergeCell ref="A9:B9"/>
    <mergeCell ref="H9:I9"/>
    <mergeCell ref="M9:O9"/>
    <mergeCell ref="H10:I10"/>
    <mergeCell ref="M10:O10"/>
    <mergeCell ref="M13:O13"/>
    <mergeCell ref="F14:O14"/>
    <mergeCell ref="F15:O15"/>
    <mergeCell ref="A16:B16"/>
    <mergeCell ref="F16:H16"/>
    <mergeCell ref="I16:K16"/>
    <mergeCell ref="G17:K17"/>
    <mergeCell ref="A7:E8"/>
    <mergeCell ref="A10:E10"/>
    <mergeCell ref="H13:I13"/>
    <mergeCell ref="H11:I11"/>
    <mergeCell ref="H7:I7"/>
    <mergeCell ref="A11:E14"/>
    <mergeCell ref="A15:E15"/>
    <mergeCell ref="D9:E9"/>
  </mergeCells>
  <conditionalFormatting sqref="I1:J2 M1:O2">
    <cfRule type="cellIs" dxfId="36" priority="2" operator="equal">
      <formula>0</formula>
    </cfRule>
  </conditionalFormatting>
  <dataValidations count="2">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CB361A3-650F-4160-BD36-A2C0BDCD3683}">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توجه:" error="لطفا از موارد لیست شده انتخاب فرمایید">
          <x14:formula1>
            <xm:f>'Data Base'!$O$34:$O$36</xm:f>
          </x14:formula1>
          <xm:sqref>J7:J13</xm:sqref>
        </x14:dataValidation>
        <x14:dataValidation type="list" allowBlank="1" showInputMessage="1" showErrorMessage="1" errorTitle="خطا در ورود اطلاعات" error="لطفا از موارد لیست شده انتخاب نمایید">
          <x14:formula1>
            <xm:f>'Data Base'!$K$85:$K$86</xm:f>
          </x14:formula1>
          <xm:sqref>L7:L13</xm:sqref>
        </x14:dataValidation>
        <x14:dataValidation type="list" allowBlank="1" showInputMessage="1" showErrorMessage="1" errorTitle="خطا در ورود اطلاعات" error="لطفا از موارد ليست شده انتخاب نماييد">
          <x14:formula1>
            <xm:f>'Data Base'!$Q$83:$Q$84</xm:f>
          </x14:formula1>
          <xm:sqref>A11</xm:sqref>
        </x14:dataValidation>
        <x14:dataValidation type="list" allowBlank="1" showInputMessage="1" showErrorMessage="1">
          <x14:formula1>
            <xm:f>'Data Base'!$B$59:$B$60</xm:f>
          </x14:formula1>
          <xm:sqref>H8:I8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CB40"/>
  <sheetViews>
    <sheetView showGridLines="0" rightToLeft="1" view="pageBreakPreview" zoomScale="115" zoomScaleNormal="100" zoomScaleSheetLayoutView="115" workbookViewId="0">
      <pane ySplit="5" topLeftCell="A6" activePane="bottomLeft" state="frozen"/>
      <selection pane="bottomLeft" activeCell="N8" sqref="N8"/>
    </sheetView>
  </sheetViews>
  <sheetFormatPr defaultColWidth="9.140625" defaultRowHeight="15"/>
  <cols>
    <col min="1" max="1" width="2.85546875" style="11" customWidth="1"/>
    <col min="2" max="2" width="3.7109375" style="11" customWidth="1"/>
    <col min="3" max="7" width="5.140625" style="11" customWidth="1"/>
    <col min="8" max="11" width="11.140625" style="11" customWidth="1"/>
    <col min="12" max="12" width="5.140625" style="11" customWidth="1"/>
    <col min="13" max="14" width="5.5703125" style="11" customWidth="1"/>
    <col min="15" max="16" width="8.7109375" style="11" customWidth="1"/>
    <col min="17" max="17" width="5" style="11" customWidth="1"/>
    <col min="18" max="18" width="6.140625" style="11" customWidth="1"/>
    <col min="19" max="19" width="7.140625" style="11" customWidth="1"/>
    <col min="20" max="21" width="3.28515625" style="11" customWidth="1"/>
    <col min="22" max="26" width="10.85546875" style="11" hidden="1" customWidth="1"/>
    <col min="27" max="27" width="5.140625" style="11" hidden="1" customWidth="1"/>
    <col min="28" max="28" width="10.85546875" style="11" customWidth="1"/>
    <col min="29"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198">
        <f>IF(SUMIF(H6,'Data Base'!S46,Q6:Q15)&gt;2,2,SUMIF(H6,'Data Base'!S46,Q6:Q15))</f>
        <v>0</v>
      </c>
      <c r="X1" s="198">
        <f ca="1">IF(SUMIF(H6:L15,'Data Base'!S47,Q6:Q15)&gt;2,2,SUMIF(H6:L15,'Data Base'!S47,Q6:Q15))</f>
        <v>0</v>
      </c>
      <c r="Y1" s="198">
        <f ca="1">IF(SUMIF(H6:L15,'Data Base'!S48,Q6:Q15)&gt;2,2,SUMIF(H6:L15,'Data Base'!S48,Q6:Q15))</f>
        <v>0</v>
      </c>
      <c r="Z1" s="198">
        <f ca="1">IF(SUMIF(H6:L15,'Data Base'!S49,Q6:Q15)&gt;2,2,SUMIF(H6:L15,'Data Base'!S49,Q6:Q15))</f>
        <v>0</v>
      </c>
      <c r="AA1" s="198">
        <f ca="1">IF(SUMIF(H6:L15,'Data Base'!S50,Q6:Q15)&gt;2,2,SUMIF(H6:L15,'Data Base'!S50,Q6:Q15))</f>
        <v>0</v>
      </c>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198">
        <f>IF(SUMIF(H6:H15,'Data Base'!S46,S6:S15)&gt;2,2,SUMIF(H6:H15,'Data Base'!S46,S6:S15))</f>
        <v>0</v>
      </c>
      <c r="X2" s="198">
        <f>IF(SUMIF(H6:H15,'Data Base'!S47,S6:S15)&gt;2,2,SUMIF(H6:H15,'Data Base'!S47,S6:S15))</f>
        <v>0</v>
      </c>
      <c r="Y2" s="198">
        <f>IF(SUMIF(H6:H15,'Data Base'!S48,S6:S15)&gt;2,2,SUMIF(H6:H15,'Data Base'!S48,S6:S15))</f>
        <v>0</v>
      </c>
      <c r="Z2" s="198">
        <f>IF(SUMIF(H6:H15,'Data Base'!S49,S6:S15)&gt;2,2,SUMIF(H6:H15,'Data Base'!S49,S6:S15))</f>
        <v>0</v>
      </c>
      <c r="AA2" s="198">
        <f>IF(SUMIF(H6:H15,'Data Base'!S50,S6:S15)&gt;2,2,SUMIF(H6:H15,'Data Base'!S50,S6:S15))</f>
        <v>0</v>
      </c>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174" t="s">
        <v>559</v>
      </c>
      <c r="B3" s="1174"/>
      <c r="C3" s="1118"/>
      <c r="D3" s="1118"/>
      <c r="E3" s="1118"/>
      <c r="F3" s="1118"/>
      <c r="G3" s="1118"/>
      <c r="H3" s="1118"/>
      <c r="I3" s="1118"/>
      <c r="J3" s="1118"/>
      <c r="K3" s="1118"/>
      <c r="L3" s="1118"/>
      <c r="M3" s="1118"/>
      <c r="N3" s="1118"/>
      <c r="O3" s="1118"/>
      <c r="P3" s="1118"/>
      <c r="Q3" s="1118"/>
      <c r="R3" s="1118"/>
      <c r="S3" s="1119" t="s">
        <v>560</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4.25" customHeight="1">
      <c r="A4" s="1190" t="s">
        <v>9</v>
      </c>
      <c r="B4" s="1192" t="s">
        <v>561</v>
      </c>
      <c r="C4" s="1123"/>
      <c r="D4" s="1123"/>
      <c r="E4" s="1123"/>
      <c r="F4" s="1123"/>
      <c r="G4" s="1124"/>
      <c r="H4" s="1122" t="s">
        <v>557</v>
      </c>
      <c r="I4" s="1130"/>
      <c r="J4" s="1130"/>
      <c r="K4" s="1136"/>
      <c r="L4" s="1136" t="s">
        <v>1285</v>
      </c>
      <c r="M4" s="1122" t="s">
        <v>458</v>
      </c>
      <c r="N4" s="1136"/>
      <c r="O4" s="1122" t="s">
        <v>501</v>
      </c>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191"/>
      <c r="B5" s="1193"/>
      <c r="C5" s="1126"/>
      <c r="D5" s="1126"/>
      <c r="E5" s="1126"/>
      <c r="F5" s="1126"/>
      <c r="G5" s="1127"/>
      <c r="H5" s="1131"/>
      <c r="I5" s="1132"/>
      <c r="J5" s="1132"/>
      <c r="K5" s="1137"/>
      <c r="L5" s="1137"/>
      <c r="M5" s="134" t="s">
        <v>491</v>
      </c>
      <c r="N5" s="133" t="s">
        <v>492</v>
      </c>
      <c r="O5" s="1131"/>
      <c r="P5" s="1132"/>
      <c r="Q5" s="847" t="s">
        <v>1268</v>
      </c>
      <c r="R5" s="826" t="s">
        <v>1163</v>
      </c>
      <c r="S5" s="826"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1.75" customHeight="1">
      <c r="A6" s="151">
        <v>1</v>
      </c>
      <c r="B6" s="1196"/>
      <c r="C6" s="1197"/>
      <c r="D6" s="1197"/>
      <c r="E6" s="1197"/>
      <c r="F6" s="1197"/>
      <c r="G6" s="1198"/>
      <c r="H6" s="1180"/>
      <c r="I6" s="1195"/>
      <c r="J6" s="1195"/>
      <c r="K6" s="1181"/>
      <c r="L6" s="823"/>
      <c r="M6" s="780"/>
      <c r="N6" s="781"/>
      <c r="O6" s="1178" t="str">
        <f>IF(H6='Data Base'!$S$46,'Data Base'!$U$46,IF(H6='Data Base'!$S$47,'Data Base'!$U$47,IF(H6='Data Base'!$S$48,'Data Base'!$U$48,IF(H6='Data Base'!$S$49,'Data Base'!$U$49,IF(H6='Data Base'!$S$50,'Data Base'!$U$50,"")))))</f>
        <v/>
      </c>
      <c r="P6" s="1194"/>
      <c r="Q6" s="812">
        <f>IF(R6='Data Base'!$Q$79,0,IF(H6='Data Base'!$S$46,L6*'Data Base'!$T$46,IF(H6='Data Base'!$S$47,L6*'Data Base'!$T$47,IF(H6='Data Base'!$S$48,L6*'Data Base'!$T$48,IF(H6='Data Base'!$S$49,L6*'Data Base'!$T$49,IF(H6='Data Base'!$S$50,L6*'Data Base'!$T$50,))))))</f>
        <v>0</v>
      </c>
      <c r="R6" s="880"/>
      <c r="S6" s="772"/>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0" customHeight="1">
      <c r="A7" s="152">
        <v>2</v>
      </c>
      <c r="B7" s="1184"/>
      <c r="C7" s="1185"/>
      <c r="D7" s="1185"/>
      <c r="E7" s="1185"/>
      <c r="F7" s="1185"/>
      <c r="G7" s="1187"/>
      <c r="H7" s="1157"/>
      <c r="I7" s="1157"/>
      <c r="J7" s="1157"/>
      <c r="K7" s="1157"/>
      <c r="L7" s="823"/>
      <c r="M7" s="782"/>
      <c r="N7" s="783"/>
      <c r="O7" s="1183" t="str">
        <f>IF(H7='Data Base'!$S$46,'Data Base'!$U$46,IF(H7='Data Base'!$S$47,'Data Base'!$U$47,IF(H7='Data Base'!$S$48,'Data Base'!$U$48,IF(H7='Data Base'!$S$49,'Data Base'!$U$49,IF(H7='Data Base'!$S$50,'Data Base'!$U$50,"")))))</f>
        <v/>
      </c>
      <c r="P7" s="1183"/>
      <c r="Q7" s="812">
        <f>IF(R7='Data Base'!$Q$79,0,IF(H7='Data Base'!$S$46,L7*'Data Base'!$T$46,IF(H7='Data Base'!$S$47,L7*'Data Base'!$T$47,IF(H7='Data Base'!$S$48,L7*'Data Base'!$T$48,IF(H7='Data Base'!$S$49,L7*'Data Base'!$T$49,IF(H7='Data Base'!$S$50,L7*'Data Base'!$T$50,))))))</f>
        <v>0</v>
      </c>
      <c r="R7" s="881"/>
      <c r="S7" s="770"/>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 customHeight="1">
      <c r="A8" s="152">
        <v>3</v>
      </c>
      <c r="B8" s="1184"/>
      <c r="C8" s="1185"/>
      <c r="D8" s="1185"/>
      <c r="E8" s="1185"/>
      <c r="F8" s="1185"/>
      <c r="G8" s="1187"/>
      <c r="H8" s="1157"/>
      <c r="I8" s="1157"/>
      <c r="J8" s="1157"/>
      <c r="K8" s="1157"/>
      <c r="L8" s="823"/>
      <c r="M8" s="782"/>
      <c r="N8" s="783"/>
      <c r="O8" s="1183" t="str">
        <f>IF(H8='Data Base'!$S$46,'Data Base'!$U$46,IF(H8='Data Base'!$S$47,'Data Base'!$U$47,IF(H8='Data Base'!$S$48,'Data Base'!$U$48,IF(H8='Data Base'!$S$49,'Data Base'!$U$49,IF(H8='Data Base'!$S$50,'Data Base'!$U$50,"")))))</f>
        <v/>
      </c>
      <c r="P8" s="1183"/>
      <c r="Q8" s="812">
        <f>IF(R8='Data Base'!$Q$79,0,IF(H8='Data Base'!$S$46,L8*'Data Base'!$T$46,IF(H8='Data Base'!$S$47,L8*'Data Base'!$T$47,IF(H8='Data Base'!$S$48,L8*'Data Base'!$T$48,IF(H8='Data Base'!$S$49,L8*'Data Base'!$T$49,IF(H8='Data Base'!$S$50,L8*'Data Base'!$T$50,))))))</f>
        <v>0</v>
      </c>
      <c r="R8" s="881"/>
      <c r="S8" s="770"/>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 customHeight="1">
      <c r="A9" s="152">
        <v>4</v>
      </c>
      <c r="B9" s="1184"/>
      <c r="C9" s="1185"/>
      <c r="D9" s="1185"/>
      <c r="E9" s="1185"/>
      <c r="F9" s="1185"/>
      <c r="G9" s="1187"/>
      <c r="H9" s="1157"/>
      <c r="I9" s="1157"/>
      <c r="J9" s="1157"/>
      <c r="K9" s="1157"/>
      <c r="L9" s="823"/>
      <c r="M9" s="782"/>
      <c r="N9" s="783"/>
      <c r="O9" s="1183" t="str">
        <f>IF(H9='Data Base'!$S$46,'Data Base'!$U$46,IF(H9='Data Base'!$S$47,'Data Base'!$U$47,IF(H9='Data Base'!$S$48,'Data Base'!$U$48,IF(H9='Data Base'!$S$49,'Data Base'!$U$49,IF(H9='Data Base'!$S$50,'Data Base'!$U$50,"")))))</f>
        <v/>
      </c>
      <c r="P9" s="1183"/>
      <c r="Q9" s="812">
        <f>IF(R9='Data Base'!$Q$79,0,IF(H9='Data Base'!$S$46,L9*'Data Base'!$T$46,IF(H9='Data Base'!$S$47,L9*'Data Base'!$T$47,IF(H9='Data Base'!$S$48,L9*'Data Base'!$T$48,IF(H9='Data Base'!$S$49,L9*'Data Base'!$T$49,IF(H9='Data Base'!$S$50,L9*'Data Base'!$T$50,))))))</f>
        <v>0</v>
      </c>
      <c r="R9" s="881"/>
      <c r="S9" s="770"/>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 customHeight="1">
      <c r="A10" s="152">
        <v>5</v>
      </c>
      <c r="B10" s="1184"/>
      <c r="C10" s="1185"/>
      <c r="D10" s="1185"/>
      <c r="E10" s="1185"/>
      <c r="F10" s="1185"/>
      <c r="G10" s="1187"/>
      <c r="H10" s="1157"/>
      <c r="I10" s="1157"/>
      <c r="J10" s="1157"/>
      <c r="K10" s="1157"/>
      <c r="L10" s="823"/>
      <c r="M10" s="782"/>
      <c r="N10" s="783"/>
      <c r="O10" s="1183" t="str">
        <f>IF(H10='Data Base'!$S$46,'Data Base'!$U$46,IF(H10='Data Base'!$S$47,'Data Base'!$U$47,IF(H10='Data Base'!$S$48,'Data Base'!$U$48,IF(H10='Data Base'!$S$49,'Data Base'!$U$49,IF(H10='Data Base'!$S$50,'Data Base'!$U$50,"")))))</f>
        <v/>
      </c>
      <c r="P10" s="1183"/>
      <c r="Q10" s="812">
        <f>IF(R10='Data Base'!$Q$79,0,IF(H10='Data Base'!$S$46,L10*'Data Base'!$T$46,IF(H10='Data Base'!$S$47,L10*'Data Base'!$T$47,IF(H10='Data Base'!$S$48,L10*'Data Base'!$T$48,IF(H10='Data Base'!$S$49,L10*'Data Base'!$T$49,IF(H10='Data Base'!$S$50,L10*'Data Base'!$T$50,))))))</f>
        <v>0</v>
      </c>
      <c r="R10" s="881"/>
      <c r="S10" s="770"/>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 customHeight="1">
      <c r="A11" s="152">
        <v>6</v>
      </c>
      <c r="B11" s="1184"/>
      <c r="C11" s="1185"/>
      <c r="D11" s="1185"/>
      <c r="E11" s="1185"/>
      <c r="F11" s="1185"/>
      <c r="G11" s="1187"/>
      <c r="H11" s="1157"/>
      <c r="I11" s="1157"/>
      <c r="J11" s="1157"/>
      <c r="K11" s="1157"/>
      <c r="L11" s="823"/>
      <c r="M11" s="782"/>
      <c r="N11" s="783"/>
      <c r="O11" s="1183" t="str">
        <f>IF(H11='Data Base'!$S$46,'Data Base'!$U$46,IF(H11='Data Base'!$S$47,'Data Base'!$U$47,IF(H11='Data Base'!$S$48,'Data Base'!$U$48,IF(H11='Data Base'!$S$49,'Data Base'!$U$49,IF(H11='Data Base'!$S$50,'Data Base'!$U$50,"")))))</f>
        <v/>
      </c>
      <c r="P11" s="1183"/>
      <c r="Q11" s="812">
        <f>IF(R11='Data Base'!$Q$79,0,IF(H11='Data Base'!$S$46,L11*'Data Base'!$T$46,IF(H11='Data Base'!$S$47,L11*'Data Base'!$T$47,IF(H11='Data Base'!$S$48,L11*'Data Base'!$T$48,IF(H11='Data Base'!$S$49,L11*'Data Base'!$T$49,IF(H11='Data Base'!$S$50,L11*'Data Base'!$T$50,))))))</f>
        <v>0</v>
      </c>
      <c r="R11" s="881"/>
      <c r="S11" s="770"/>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 customHeight="1">
      <c r="A12" s="152">
        <v>7</v>
      </c>
      <c r="B12" s="1184"/>
      <c r="C12" s="1185"/>
      <c r="D12" s="1185"/>
      <c r="E12" s="1185"/>
      <c r="F12" s="1185"/>
      <c r="G12" s="1187"/>
      <c r="H12" s="1157"/>
      <c r="I12" s="1157"/>
      <c r="J12" s="1157"/>
      <c r="K12" s="1157"/>
      <c r="L12" s="823"/>
      <c r="M12" s="782"/>
      <c r="N12" s="783"/>
      <c r="O12" s="1183" t="str">
        <f>IF(H12='Data Base'!$S$46,'Data Base'!$U$46,IF(H12='Data Base'!$S$47,'Data Base'!$U$47,IF(H12='Data Base'!$S$48,'Data Base'!$U$48,IF(H12='Data Base'!$S$49,'Data Base'!$U$49,IF(H12='Data Base'!$S$50,'Data Base'!$U$50,"")))))</f>
        <v/>
      </c>
      <c r="P12" s="1183"/>
      <c r="Q12" s="812">
        <f>IF(R12='Data Base'!$Q$79,0,IF(H12='Data Base'!$S$46,L12*'Data Base'!$T$46,IF(H12='Data Base'!$S$47,L12*'Data Base'!$T$47,IF(H12='Data Base'!$S$48,L12*'Data Base'!$T$48,IF(H12='Data Base'!$S$49,L12*'Data Base'!$T$49,IF(H12='Data Base'!$S$50,L12*'Data Base'!$T$50,))))))</f>
        <v>0</v>
      </c>
      <c r="R12" s="881"/>
      <c r="S12" s="770"/>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 customHeight="1">
      <c r="A13" s="152">
        <v>8</v>
      </c>
      <c r="B13" s="1184"/>
      <c r="C13" s="1185"/>
      <c r="D13" s="1185"/>
      <c r="E13" s="1185"/>
      <c r="F13" s="1185"/>
      <c r="G13" s="1187"/>
      <c r="H13" s="1157"/>
      <c r="I13" s="1157"/>
      <c r="J13" s="1157"/>
      <c r="K13" s="1157"/>
      <c r="L13" s="823"/>
      <c r="M13" s="782"/>
      <c r="N13" s="783"/>
      <c r="O13" s="1183" t="str">
        <f>IF(H13='Data Base'!$S$46,'Data Base'!$U$46,IF(H13='Data Base'!$S$47,'Data Base'!$U$47,IF(H13='Data Base'!$S$48,'Data Base'!$U$48,IF(H13='Data Base'!$S$49,'Data Base'!$U$49,IF(H13='Data Base'!$S$50,'Data Base'!$U$50,"")))))</f>
        <v/>
      </c>
      <c r="P13" s="1183"/>
      <c r="Q13" s="812">
        <f>IF(R13='Data Base'!$Q$79,0,IF(H13='Data Base'!$S$46,L13*'Data Base'!$T$46,IF(H13='Data Base'!$S$47,L13*'Data Base'!$T$47,IF(H13='Data Base'!$S$48,L13*'Data Base'!$T$48,IF(H13='Data Base'!$S$49,L13*'Data Base'!$T$49,IF(H13='Data Base'!$S$50,L13*'Data Base'!$T$50,))))))</f>
        <v>0</v>
      </c>
      <c r="R13" s="881"/>
      <c r="S13" s="770"/>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 customHeight="1">
      <c r="A14" s="152">
        <v>9</v>
      </c>
      <c r="B14" s="1184"/>
      <c r="C14" s="1185"/>
      <c r="D14" s="1185"/>
      <c r="E14" s="1185"/>
      <c r="F14" s="1185"/>
      <c r="G14" s="1187"/>
      <c r="H14" s="1157"/>
      <c r="I14" s="1157"/>
      <c r="J14" s="1157"/>
      <c r="K14" s="1157"/>
      <c r="L14" s="823"/>
      <c r="M14" s="782"/>
      <c r="N14" s="783"/>
      <c r="O14" s="1183" t="str">
        <f>IF(H14='Data Base'!$S$46,'Data Base'!$U$46,IF(H14='Data Base'!$S$47,'Data Base'!$U$47,IF(H14='Data Base'!$S$48,'Data Base'!$U$48,IF(H14='Data Base'!$S$49,'Data Base'!$U$49,IF(H14='Data Base'!$S$50,'Data Base'!$U$50,"")))))</f>
        <v/>
      </c>
      <c r="P14" s="1183"/>
      <c r="Q14" s="812">
        <f>IF(R14='Data Base'!$Q$79,0,IF(H14='Data Base'!$S$46,L14*'Data Base'!$T$46,IF(H14='Data Base'!$S$47,L14*'Data Base'!$T$47,IF(H14='Data Base'!$S$48,L14*'Data Base'!$T$48,IF(H14='Data Base'!$S$49,L14*'Data Base'!$T$49,IF(H14='Data Base'!$S$50,L14*'Data Base'!$T$50,))))))</f>
        <v>0</v>
      </c>
      <c r="R14" s="881"/>
      <c r="S14" s="770"/>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 customHeight="1" thickBot="1">
      <c r="A15" s="152">
        <v>10</v>
      </c>
      <c r="B15" s="1184"/>
      <c r="C15" s="1185"/>
      <c r="D15" s="1185"/>
      <c r="E15" s="1185"/>
      <c r="F15" s="1185"/>
      <c r="G15" s="1186"/>
      <c r="H15" s="1160"/>
      <c r="I15" s="1201"/>
      <c r="J15" s="1201"/>
      <c r="K15" s="1161"/>
      <c r="L15" s="823"/>
      <c r="M15" s="784"/>
      <c r="N15" s="785"/>
      <c r="O15" s="1199" t="str">
        <f>IF(H15='Data Base'!$S$46,'Data Base'!$U$46,IF(H15='Data Base'!$S$47,'Data Base'!$U$47,IF(H15='Data Base'!$S$48,'Data Base'!$U$48,IF(H15='Data Base'!$S$49,'Data Base'!$U$49,IF(H15='Data Base'!$S$50,'Data Base'!$U$50,"")))))</f>
        <v/>
      </c>
      <c r="P15" s="1200"/>
      <c r="Q15" s="812">
        <f>IF(R15='Data Base'!$Q$79,0,IF(H15='Data Base'!$S$46,L15*'Data Base'!$T$46,IF(H15='Data Base'!$S$47,L15*'Data Base'!$T$47,IF(H15='Data Base'!$S$48,L15*'Data Base'!$T$48,IF(H15='Data Base'!$S$49,L15*'Data Base'!$T$49,IF(H15='Data Base'!$S$50,L15*'Data Base'!$T$50,))))))</f>
        <v>0</v>
      </c>
      <c r="R15" s="880"/>
      <c r="S15" s="786"/>
      <c r="T15" s="1158"/>
      <c r="U15" s="1159"/>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1190</v>
      </c>
      <c r="B16" s="1144"/>
      <c r="C16" s="1144"/>
      <c r="D16" s="1144"/>
      <c r="E16" s="1144"/>
      <c r="F16" s="1144"/>
      <c r="G16" s="1144"/>
      <c r="H16" s="1144"/>
      <c r="I16" s="1144"/>
      <c r="J16" s="1144"/>
      <c r="K16" s="215">
        <f>SUM(Q6:Q15)</f>
        <v>0</v>
      </c>
      <c r="L16" s="1188" t="s">
        <v>1225</v>
      </c>
      <c r="M16" s="1188"/>
      <c r="N16" s="1188"/>
      <c r="O16" s="1188"/>
      <c r="P16" s="1188"/>
      <c r="Q16" s="1189"/>
      <c r="R16" s="238">
        <f ca="1">IF(SUM(W1:AA1)&gt;10,10,SUM(W1:AA1))</f>
        <v>0</v>
      </c>
      <c r="S16" s="238">
        <f>IF(SUM(W2:AA2)&gt;10,10,SUM(W2:AA2))</f>
        <v>0</v>
      </c>
      <c r="T16" s="1102"/>
      <c r="U16" s="110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bOJszGEilYERxzsw1fsrx3PXv7pU+eeptPev7mbqwj7glj3HEj8eD9k3aze+p3BgDshub4/sNzsOr5xNHANiw==" saltValue="edYHh5k83+36d9HhWFm8jA==" spinCount="100000" sheet="1" objects="1" scenarios="1" formatCells="0" formatRows="0" selectLockedCells="1"/>
  <mergeCells count="66">
    <mergeCell ref="T6:U6"/>
    <mergeCell ref="O13:P13"/>
    <mergeCell ref="O14:P14"/>
    <mergeCell ref="O15:P15"/>
    <mergeCell ref="H7:K7"/>
    <mergeCell ref="H8:K8"/>
    <mergeCell ref="H9:K9"/>
    <mergeCell ref="H10:K10"/>
    <mergeCell ref="H11:K11"/>
    <mergeCell ref="H12:K12"/>
    <mergeCell ref="H13:K13"/>
    <mergeCell ref="H14:K14"/>
    <mergeCell ref="H15:K15"/>
    <mergeCell ref="O8:P8"/>
    <mergeCell ref="O9:P9"/>
    <mergeCell ref="O10:P10"/>
    <mergeCell ref="B10:G10"/>
    <mergeCell ref="M4:N4"/>
    <mergeCell ref="B8:G8"/>
    <mergeCell ref="B9:G9"/>
    <mergeCell ref="O6:P6"/>
    <mergeCell ref="H6:K6"/>
    <mergeCell ref="O7:P7"/>
    <mergeCell ref="B6:G6"/>
    <mergeCell ref="B7:G7"/>
    <mergeCell ref="A4:A5"/>
    <mergeCell ref="B4:G5"/>
    <mergeCell ref="O4:P5"/>
    <mergeCell ref="Q4:U4"/>
    <mergeCell ref="H4:K5"/>
    <mergeCell ref="L4:L5"/>
    <mergeCell ref="T5:U5"/>
    <mergeCell ref="A3:R3"/>
    <mergeCell ref="A1:B2"/>
    <mergeCell ref="C1:G1"/>
    <mergeCell ref="H1:L1"/>
    <mergeCell ref="M1:P1"/>
    <mergeCell ref="Q1:U1"/>
    <mergeCell ref="C2:G2"/>
    <mergeCell ref="H2:L2"/>
    <mergeCell ref="M2:P2"/>
    <mergeCell ref="Q2:U2"/>
    <mergeCell ref="S3:U3"/>
    <mergeCell ref="A17:K17"/>
    <mergeCell ref="L17:U17"/>
    <mergeCell ref="A18:K18"/>
    <mergeCell ref="L18:U18"/>
    <mergeCell ref="T7:U7"/>
    <mergeCell ref="T8:U8"/>
    <mergeCell ref="T9:U9"/>
    <mergeCell ref="T10:U10"/>
    <mergeCell ref="B14:G14"/>
    <mergeCell ref="T14:U14"/>
    <mergeCell ref="A16:J16"/>
    <mergeCell ref="T15:U15"/>
    <mergeCell ref="T16:U16"/>
    <mergeCell ref="T11:U11"/>
    <mergeCell ref="B11:G11"/>
    <mergeCell ref="L16:Q16"/>
    <mergeCell ref="O11:P11"/>
    <mergeCell ref="T12:U12"/>
    <mergeCell ref="T13:U13"/>
    <mergeCell ref="B15:G15"/>
    <mergeCell ref="B12:G12"/>
    <mergeCell ref="B13:G13"/>
    <mergeCell ref="O12:P12"/>
  </mergeCells>
  <conditionalFormatting sqref="B6:H6 L6:N6">
    <cfRule type="containsBlanks" dxfId="231" priority="6">
      <formula>LEN(TRIM(B6))=0</formula>
    </cfRule>
  </conditionalFormatting>
  <conditionalFormatting sqref="B7:G15 M7:N15">
    <cfRule type="containsBlanks" dxfId="230" priority="3">
      <formula>LEN(TRIM(B7))=0</formula>
    </cfRule>
  </conditionalFormatting>
  <conditionalFormatting sqref="H7:H15 L7:L15">
    <cfRule type="containsBlanks" dxfId="229" priority="1">
      <formula>LEN(TRIM(H7))=0</formula>
    </cfRule>
  </conditionalFormatting>
  <dataValidations count="2">
    <dataValidation type="decimal" operator="greaterThanOrEqual" allowBlank="1" showInputMessage="1" showErrorMessage="1" errorTitle="خطا در ورود امتياز" error="لطفا يك عدد بين صفر و 1 وارد نماييد" promptTitle="توجه:" prompt="ارائه مشاوره به تشکل های اسلامی 0/5_x000a_همکاری موثر با تشکل های اسلامی 1_x000a_همکاری موثر با معاونت فرهنگی، دفتر نهاد، دفتر هم اندیشی اساتید و... 1_x000a_عضویت در سازمان‌های مردم نهاد داخل و خارج دانشگاه 1_x000a_مشارکت و همکاری در اجرای برنامه‌های شبکه‌های صدا و سیما 0/5_x000a__x000a_" sqref="S6:S15">
      <formula1>0</formula1>
    </dataValidation>
    <dataValidation type="whole" operator="greaterThan" allowBlank="1" showInputMessage="1" showErrorMessage="1" errorTitle="توجه:" error="لطفا یک عدد صحیح وارد نمایید" sqref="L6:L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Base'!$S$46:$S$51</xm:f>
          </x14:formula1>
          <xm:sqref>H7:K15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Base'!$S$46:$S$50</xm:f>
          </x14:formula1>
          <xm:sqref>H6:K6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7"/>
  <sheetViews>
    <sheetView showGridLines="0" rightToLeft="1" view="pageBreakPreview" zoomScaleNormal="100" zoomScaleSheetLayoutView="100" workbookViewId="0">
      <selection activeCell="D8" sqref="D8"/>
    </sheetView>
  </sheetViews>
  <sheetFormatPr defaultColWidth="9" defaultRowHeight="18"/>
  <cols>
    <col min="1" max="16384" width="9" style="339"/>
  </cols>
  <sheetData>
    <row r="1" spans="1:13" ht="28.5" customHeight="1">
      <c r="A1" s="336"/>
      <c r="B1" s="337"/>
      <c r="C1" s="337"/>
      <c r="D1" s="337"/>
      <c r="E1" s="337"/>
      <c r="F1" s="337"/>
      <c r="G1" s="337"/>
      <c r="H1" s="337"/>
      <c r="I1" s="337"/>
      <c r="J1" s="337"/>
      <c r="K1" s="337"/>
      <c r="L1" s="337"/>
      <c r="M1" s="338"/>
    </row>
    <row r="2" spans="1:13" ht="28.5" customHeight="1">
      <c r="A2" s="340"/>
      <c r="B2" s="341"/>
      <c r="C2" s="341"/>
      <c r="D2" s="341"/>
      <c r="E2" s="341"/>
      <c r="F2" s="341"/>
      <c r="G2" s="341"/>
      <c r="H2" s="341"/>
      <c r="I2" s="341"/>
      <c r="J2" s="341"/>
      <c r="K2" s="341"/>
      <c r="L2" s="341"/>
      <c r="M2" s="342"/>
    </row>
    <row r="3" spans="1:13" ht="28.5" customHeight="1">
      <c r="A3" s="340"/>
      <c r="B3" s="341"/>
      <c r="C3" s="341"/>
      <c r="D3" s="341"/>
      <c r="E3" s="341"/>
      <c r="F3" s="341"/>
      <c r="G3" s="341"/>
      <c r="H3" s="341"/>
      <c r="I3" s="341"/>
      <c r="J3" s="341"/>
      <c r="K3" s="341"/>
      <c r="L3" s="341"/>
      <c r="M3" s="342"/>
    </row>
    <row r="4" spans="1:13" ht="28.5" customHeight="1">
      <c r="A4" s="340"/>
      <c r="B4" s="341"/>
      <c r="C4" s="341"/>
      <c r="D4" s="341"/>
      <c r="E4" s="341"/>
      <c r="F4" s="341"/>
      <c r="G4" s="341"/>
      <c r="H4" s="341"/>
      <c r="I4" s="341"/>
      <c r="J4" s="341"/>
      <c r="K4" s="341"/>
      <c r="L4" s="341"/>
      <c r="M4" s="342"/>
    </row>
    <row r="5" spans="1:13" ht="28.5" customHeight="1">
      <c r="A5" s="340"/>
      <c r="B5" s="341"/>
      <c r="C5" s="341"/>
      <c r="D5" s="1869" t="s">
        <v>1266</v>
      </c>
      <c r="E5" s="1869"/>
      <c r="F5" s="1869"/>
      <c r="G5" s="1869"/>
      <c r="H5" s="1869"/>
      <c r="I5" s="1869"/>
      <c r="J5" s="1869"/>
      <c r="K5" s="341"/>
      <c r="L5" s="341"/>
      <c r="M5" s="342"/>
    </row>
    <row r="6" spans="1:13" ht="28.5" customHeight="1">
      <c r="A6" s="340"/>
      <c r="B6" s="341"/>
      <c r="C6" s="341"/>
      <c r="D6" s="1869"/>
      <c r="E6" s="1869"/>
      <c r="F6" s="1869"/>
      <c r="G6" s="1869"/>
      <c r="H6" s="1869"/>
      <c r="I6" s="1869"/>
      <c r="J6" s="1869"/>
      <c r="K6" s="341"/>
      <c r="L6" s="341"/>
      <c r="M6" s="342"/>
    </row>
    <row r="7" spans="1:13" ht="28.5" customHeight="1">
      <c r="A7" s="340"/>
      <c r="B7" s="341"/>
      <c r="C7" s="341"/>
      <c r="D7" s="1869"/>
      <c r="E7" s="1869"/>
      <c r="F7" s="1869"/>
      <c r="G7" s="1869"/>
      <c r="H7" s="1869"/>
      <c r="I7" s="1869"/>
      <c r="J7" s="1869"/>
      <c r="K7" s="341"/>
      <c r="L7" s="341"/>
      <c r="M7" s="342"/>
    </row>
    <row r="8" spans="1:13" ht="28.5" customHeight="1">
      <c r="A8" s="340"/>
      <c r="B8" s="341"/>
      <c r="C8" s="341"/>
      <c r="D8" s="341"/>
      <c r="E8" s="341"/>
      <c r="F8" s="341"/>
      <c r="G8" s="341"/>
      <c r="H8" s="341"/>
      <c r="I8" s="341"/>
      <c r="J8" s="341"/>
      <c r="K8" s="341"/>
      <c r="L8" s="341"/>
      <c r="M8" s="342"/>
    </row>
    <row r="9" spans="1:13" ht="28.5" customHeight="1">
      <c r="A9" s="340"/>
      <c r="B9" s="341"/>
      <c r="C9" s="341"/>
      <c r="D9" s="341"/>
      <c r="E9" s="341"/>
      <c r="F9" s="341"/>
      <c r="G9" s="341"/>
      <c r="H9" s="341"/>
      <c r="I9" s="341"/>
      <c r="J9" s="341"/>
      <c r="K9" s="341"/>
      <c r="L9" s="341"/>
      <c r="M9" s="342"/>
    </row>
    <row r="10" spans="1:13" ht="28.5" customHeight="1">
      <c r="A10" s="340"/>
      <c r="B10" s="341"/>
      <c r="C10" s="341"/>
      <c r="D10" s="341"/>
      <c r="E10" s="341"/>
      <c r="F10" s="341"/>
      <c r="G10" s="341"/>
      <c r="H10" s="341"/>
      <c r="I10" s="341"/>
      <c r="J10" s="341"/>
      <c r="K10" s="341"/>
      <c r="L10" s="341"/>
      <c r="M10" s="342"/>
    </row>
    <row r="11" spans="1:13" ht="28.5" customHeight="1">
      <c r="A11" s="340"/>
      <c r="B11" s="341"/>
      <c r="C11" s="341"/>
      <c r="D11" s="341"/>
      <c r="E11" s="341"/>
      <c r="F11" s="341"/>
      <c r="G11" s="341"/>
      <c r="H11" s="341"/>
      <c r="I11" s="341"/>
      <c r="J11" s="341"/>
      <c r="K11" s="341"/>
      <c r="L11" s="341"/>
      <c r="M11" s="342"/>
    </row>
    <row r="12" spans="1:13" ht="28.5" customHeight="1">
      <c r="A12" s="340"/>
      <c r="B12" s="341"/>
      <c r="C12" s="341"/>
      <c r="D12" s="341"/>
      <c r="E12" s="341"/>
      <c r="F12" s="341"/>
      <c r="G12" s="341"/>
      <c r="H12" s="341"/>
      <c r="I12" s="341"/>
      <c r="J12" s="341"/>
      <c r="K12" s="341"/>
      <c r="L12" s="341"/>
      <c r="M12" s="342"/>
    </row>
    <row r="13" spans="1:13" ht="28.5" customHeight="1">
      <c r="A13" s="340"/>
      <c r="B13" s="341"/>
      <c r="C13" s="341"/>
      <c r="D13" s="341"/>
      <c r="E13" s="341"/>
      <c r="F13" s="341"/>
      <c r="G13" s="341"/>
      <c r="H13" s="341"/>
      <c r="I13" s="341"/>
      <c r="J13" s="341"/>
      <c r="K13" s="341"/>
      <c r="L13" s="341"/>
      <c r="M13" s="342"/>
    </row>
    <row r="14" spans="1:13" ht="28.5" customHeight="1">
      <c r="A14" s="340"/>
      <c r="B14" s="341"/>
      <c r="C14" s="341"/>
      <c r="D14" s="341"/>
      <c r="E14" s="341"/>
      <c r="F14" s="341"/>
      <c r="G14" s="341"/>
      <c r="H14" s="341"/>
      <c r="I14" s="341"/>
      <c r="J14" s="341"/>
      <c r="K14" s="341"/>
      <c r="L14" s="341"/>
      <c r="M14" s="342"/>
    </row>
    <row r="15" spans="1:13" ht="28.5" customHeight="1">
      <c r="A15" s="340"/>
      <c r="B15" s="341"/>
      <c r="C15" s="341"/>
      <c r="D15" s="341"/>
      <c r="E15" s="341"/>
      <c r="F15" s="341"/>
      <c r="G15" s="341"/>
      <c r="H15" s="341"/>
      <c r="I15" s="341"/>
      <c r="J15" s="341"/>
      <c r="K15" s="341"/>
      <c r="L15" s="341"/>
      <c r="M15" s="342"/>
    </row>
    <row r="16" spans="1:13" ht="28.5" customHeight="1">
      <c r="A16" s="340"/>
      <c r="B16" s="341"/>
      <c r="C16" s="341"/>
      <c r="D16" s="341"/>
      <c r="E16" s="341"/>
      <c r="F16" s="341"/>
      <c r="G16" s="341"/>
      <c r="H16" s="341"/>
      <c r="I16" s="341"/>
      <c r="J16" s="341"/>
      <c r="K16" s="341"/>
      <c r="L16" s="341"/>
      <c r="M16" s="342"/>
    </row>
    <row r="17" spans="1:13" ht="28.5" customHeight="1" thickBot="1">
      <c r="A17" s="343"/>
      <c r="B17" s="344"/>
      <c r="C17" s="344"/>
      <c r="D17" s="344"/>
      <c r="E17" s="344"/>
      <c r="F17" s="344"/>
      <c r="G17" s="344"/>
      <c r="H17" s="344"/>
      <c r="I17" s="344"/>
      <c r="J17" s="344"/>
      <c r="K17" s="344"/>
      <c r="L17" s="344"/>
      <c r="M17" s="345"/>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A25"/>
  <sheetViews>
    <sheetView showGridLines="0" rightToLeft="1" view="pageBreakPreview" zoomScaleNormal="100" zoomScaleSheetLayoutView="100" workbookViewId="0">
      <selection activeCell="D6" sqref="D6:E6"/>
    </sheetView>
  </sheetViews>
  <sheetFormatPr defaultColWidth="9" defaultRowHeight="18"/>
  <cols>
    <col min="1" max="1" width="7.28515625" style="762" customWidth="1"/>
    <col min="2" max="3" width="6.42578125" style="762" customWidth="1"/>
    <col min="4" max="4" width="8" style="762" customWidth="1"/>
    <col min="5" max="5" width="4.28515625" style="762" customWidth="1"/>
    <col min="6" max="6" width="5.5703125" style="762" customWidth="1"/>
    <col min="7" max="7" width="26.7109375" style="762" customWidth="1"/>
    <col min="8" max="8" width="10.5703125" style="762" customWidth="1"/>
    <col min="9" max="9" width="8.85546875" style="762" customWidth="1"/>
    <col min="10" max="10" width="8" style="762" customWidth="1"/>
    <col min="11" max="11" width="13" style="762" customWidth="1"/>
    <col min="12" max="12" width="8.42578125" style="762" customWidth="1"/>
    <col min="13" max="14" width="5.28515625" style="762" customWidth="1"/>
    <col min="15" max="15" width="7.42578125" style="762" customWidth="1"/>
    <col min="16" max="24" width="21.7109375" style="289" customWidth="1"/>
    <col min="25" max="26" width="9" style="762"/>
    <col min="27" max="27" width="48.28515625" style="762" customWidth="1"/>
    <col min="28" max="16384" width="9" style="762"/>
  </cols>
  <sheetData>
    <row r="1" spans="1:27" ht="19.5" customHeight="1">
      <c r="A1" s="1860" t="s">
        <v>873</v>
      </c>
      <c r="B1" s="1862" t="s">
        <v>107</v>
      </c>
      <c r="C1" s="1069"/>
      <c r="D1" s="1069"/>
      <c r="E1" s="1069"/>
      <c r="F1" s="1863" t="s">
        <v>1140</v>
      </c>
      <c r="G1" s="1863"/>
      <c r="H1" s="1863"/>
      <c r="I1" s="1864">
        <f>'فرم الف'!I4</f>
        <v>0</v>
      </c>
      <c r="J1" s="1864"/>
      <c r="K1" s="1863" t="s">
        <v>135</v>
      </c>
      <c r="L1" s="1863"/>
      <c r="M1" s="286">
        <f>'فرم الف'!M4</f>
        <v>0</v>
      </c>
      <c r="N1" s="287">
        <f>'فرم الف'!N4</f>
        <v>0</v>
      </c>
      <c r="O1" s="288">
        <f>'فرم الف'!O4</f>
        <v>0</v>
      </c>
      <c r="S1" s="762"/>
      <c r="T1" s="762"/>
    </row>
    <row r="2" spans="1:27" ht="19.5" customHeight="1" thickBot="1">
      <c r="A2" s="1861"/>
      <c r="B2" s="1865">
        <f>'فرم الف'!B5</f>
        <v>0</v>
      </c>
      <c r="C2" s="1866"/>
      <c r="D2" s="1866"/>
      <c r="E2" s="1866"/>
      <c r="F2" s="1867" t="s">
        <v>1141</v>
      </c>
      <c r="G2" s="1867"/>
      <c r="H2" s="1867"/>
      <c r="I2" s="1868">
        <f>'فرم الف'!I5</f>
        <v>0</v>
      </c>
      <c r="J2" s="1868"/>
      <c r="K2" s="1867" t="s">
        <v>131</v>
      </c>
      <c r="L2" s="1867"/>
      <c r="M2" s="291">
        <f>'فرم الف'!M5</f>
        <v>0</v>
      </c>
      <c r="N2" s="292">
        <f>'فرم الف'!N5</f>
        <v>0</v>
      </c>
      <c r="O2" s="293">
        <f>'فرم الف'!O5</f>
        <v>0</v>
      </c>
    </row>
    <row r="3" spans="1:27" ht="6" customHeight="1" thickBot="1">
      <c r="A3" s="803"/>
      <c r="B3" s="803"/>
      <c r="C3" s="803"/>
      <c r="D3" s="803"/>
      <c r="E3" s="803"/>
      <c r="F3" s="803"/>
      <c r="G3" s="803"/>
      <c r="H3" s="803"/>
      <c r="I3" s="803"/>
      <c r="J3" s="803"/>
      <c r="K3" s="803"/>
      <c r="L3" s="803"/>
      <c r="M3" s="803"/>
      <c r="N3" s="803"/>
      <c r="O3" s="803"/>
    </row>
    <row r="4" spans="1:27" ht="23.25" thickBot="1">
      <c r="A4" s="294" t="s">
        <v>1145</v>
      </c>
      <c r="B4" s="1874" t="s">
        <v>1146</v>
      </c>
      <c r="C4" s="1849"/>
      <c r="D4" s="1849"/>
      <c r="E4" s="1849"/>
      <c r="F4" s="1849"/>
      <c r="G4" s="1849"/>
      <c r="H4" s="1873">
        <f>'فرم الف'!A9</f>
        <v>0</v>
      </c>
      <c r="I4" s="1873"/>
      <c r="J4" s="798" t="s">
        <v>877</v>
      </c>
      <c r="K4" s="799" t="str">
        <f>'فرم الف'!H2</f>
        <v/>
      </c>
      <c r="L4" s="798" t="s">
        <v>878</v>
      </c>
      <c r="M4" s="1852" t="str">
        <f>'فرم الف'!K2</f>
        <v/>
      </c>
      <c r="N4" s="1852"/>
      <c r="O4" s="1853"/>
      <c r="P4" s="297"/>
    </row>
    <row r="5" spans="1:27" ht="5.25" customHeight="1" thickBot="1">
      <c r="A5" s="298"/>
      <c r="B5" s="298"/>
      <c r="C5" s="298"/>
      <c r="D5" s="298"/>
      <c r="E5" s="298"/>
      <c r="F5" s="299"/>
      <c r="G5" s="299"/>
      <c r="H5" s="300"/>
      <c r="I5" s="300"/>
      <c r="J5" s="300"/>
      <c r="K5" s="299"/>
      <c r="L5" s="299"/>
      <c r="M5" s="299"/>
      <c r="N5" s="299"/>
      <c r="O5" s="300"/>
    </row>
    <row r="6" spans="1:27" ht="33" customHeight="1">
      <c r="A6" s="1854" t="s">
        <v>887</v>
      </c>
      <c r="B6" s="1855"/>
      <c r="C6" s="1855"/>
      <c r="D6" s="1878"/>
      <c r="E6" s="1879"/>
      <c r="F6" s="309" t="s">
        <v>9</v>
      </c>
      <c r="G6" s="309" t="s">
        <v>879</v>
      </c>
      <c r="H6" s="1856" t="s">
        <v>880</v>
      </c>
      <c r="I6" s="1856"/>
      <c r="J6" s="800" t="s">
        <v>881</v>
      </c>
      <c r="K6" s="309" t="s">
        <v>882</v>
      </c>
      <c r="L6" s="309" t="s">
        <v>883</v>
      </c>
      <c r="M6" s="1857" t="s">
        <v>125</v>
      </c>
      <c r="N6" s="1858"/>
      <c r="O6" s="1859"/>
    </row>
    <row r="7" spans="1:27" ht="33" customHeight="1">
      <c r="A7" s="1812" t="s">
        <v>1162</v>
      </c>
      <c r="B7" s="1813"/>
      <c r="C7" s="1813"/>
      <c r="D7" s="1813"/>
      <c r="E7" s="1814"/>
      <c r="F7" s="301">
        <v>1</v>
      </c>
      <c r="G7" s="817" t="s">
        <v>1150</v>
      </c>
      <c r="H7" s="1844" t="s">
        <v>1154</v>
      </c>
      <c r="I7" s="1875"/>
      <c r="J7" s="300" t="s">
        <v>927</v>
      </c>
      <c r="K7" s="301" t="s">
        <v>1151</v>
      </c>
      <c r="L7" s="301" t="s">
        <v>875</v>
      </c>
      <c r="M7" s="1844"/>
      <c r="N7" s="1845"/>
      <c r="O7" s="1846"/>
      <c r="T7" s="762"/>
      <c r="Z7" s="763"/>
      <c r="AA7" s="303"/>
    </row>
    <row r="8" spans="1:27" ht="33" customHeight="1">
      <c r="A8" s="1812"/>
      <c r="B8" s="1813"/>
      <c r="C8" s="1813"/>
      <c r="D8" s="1813"/>
      <c r="E8" s="1814"/>
      <c r="F8" s="301">
        <v>2</v>
      </c>
      <c r="G8" s="818" t="s">
        <v>1152</v>
      </c>
      <c r="H8" s="1876" t="s">
        <v>1153</v>
      </c>
      <c r="I8" s="1877"/>
      <c r="J8" s="882"/>
      <c r="K8" s="311"/>
      <c r="L8" s="301" t="s">
        <v>875</v>
      </c>
      <c r="M8" s="1830"/>
      <c r="N8" s="1818"/>
      <c r="O8" s="1831"/>
      <c r="T8" s="762"/>
      <c r="AA8" s="303"/>
    </row>
    <row r="9" spans="1:27" ht="33" customHeight="1">
      <c r="A9" s="1842" t="s">
        <v>13</v>
      </c>
      <c r="B9" s="1843"/>
      <c r="C9" s="1870">
        <f>'فرم ج'!H20</f>
        <v>0</v>
      </c>
      <c r="D9" s="1871"/>
      <c r="E9" s="1872"/>
      <c r="F9" s="301">
        <v>3</v>
      </c>
      <c r="G9" s="817" t="s">
        <v>1155</v>
      </c>
      <c r="H9" s="1830" t="s">
        <v>636</v>
      </c>
      <c r="I9" s="1819"/>
      <c r="J9" s="300" t="s">
        <v>927</v>
      </c>
      <c r="K9" s="301" t="s">
        <v>166</v>
      </c>
      <c r="L9" s="301" t="s">
        <v>875</v>
      </c>
      <c r="M9" s="1830"/>
      <c r="N9" s="1818"/>
      <c r="O9" s="1831"/>
      <c r="AA9" s="303"/>
    </row>
    <row r="10" spans="1:27" ht="33" customHeight="1">
      <c r="A10" s="1882" t="s">
        <v>1161</v>
      </c>
      <c r="B10" s="1883"/>
      <c r="C10" s="1883"/>
      <c r="D10" s="1883"/>
      <c r="E10" s="1884"/>
      <c r="F10" s="301">
        <v>4</v>
      </c>
      <c r="G10" s="817" t="s">
        <v>1156</v>
      </c>
      <c r="H10" s="1830" t="s">
        <v>1157</v>
      </c>
      <c r="I10" s="1819"/>
      <c r="J10" s="300" t="s">
        <v>229</v>
      </c>
      <c r="K10" s="301" t="s">
        <v>1158</v>
      </c>
      <c r="L10" s="301" t="s">
        <v>875</v>
      </c>
      <c r="M10" s="1830"/>
      <c r="N10" s="1818"/>
      <c r="O10" s="1831"/>
      <c r="AA10" s="303"/>
    </row>
    <row r="11" spans="1:27" ht="33" customHeight="1">
      <c r="A11" s="1882"/>
      <c r="B11" s="1883"/>
      <c r="C11" s="1883"/>
      <c r="D11" s="1883"/>
      <c r="E11" s="1884"/>
      <c r="F11" s="301">
        <v>5</v>
      </c>
      <c r="G11" s="817" t="s">
        <v>1159</v>
      </c>
      <c r="H11" s="1830" t="s">
        <v>1160</v>
      </c>
      <c r="I11" s="1819"/>
      <c r="J11" s="300" t="s">
        <v>927</v>
      </c>
      <c r="K11" s="301" t="s">
        <v>161</v>
      </c>
      <c r="L11" s="301" t="s">
        <v>875</v>
      </c>
      <c r="M11" s="1830"/>
      <c r="N11" s="1818"/>
      <c r="O11" s="1831"/>
      <c r="AA11" s="303"/>
    </row>
    <row r="12" spans="1:27" ht="33" customHeight="1">
      <c r="A12" s="1822" t="s">
        <v>1136</v>
      </c>
      <c r="B12" s="1823"/>
      <c r="C12" s="1823"/>
      <c r="D12" s="1823"/>
      <c r="E12" s="1824"/>
      <c r="F12" s="301">
        <v>6</v>
      </c>
      <c r="G12" s="672"/>
      <c r="H12" s="1880"/>
      <c r="I12" s="1881"/>
      <c r="J12" s="797"/>
      <c r="K12" s="671"/>
      <c r="L12" s="671"/>
      <c r="M12" s="1830"/>
      <c r="N12" s="1818"/>
      <c r="O12" s="1831"/>
      <c r="AA12" s="303"/>
    </row>
    <row r="13" spans="1:27" ht="33" customHeight="1">
      <c r="A13" s="1822"/>
      <c r="B13" s="1823"/>
      <c r="C13" s="1823"/>
      <c r="D13" s="1823"/>
      <c r="E13" s="1824"/>
      <c r="F13" s="301">
        <v>7</v>
      </c>
      <c r="G13" s="673"/>
      <c r="H13" s="1880"/>
      <c r="I13" s="1881"/>
      <c r="J13" s="801"/>
      <c r="K13" s="675"/>
      <c r="L13" s="671"/>
      <c r="M13" s="1830"/>
      <c r="N13" s="1818"/>
      <c r="O13" s="1831"/>
      <c r="AA13" s="303"/>
    </row>
    <row r="14" spans="1:27" ht="31.5" customHeight="1">
      <c r="A14" s="1822"/>
      <c r="B14" s="1823"/>
      <c r="C14" s="1823"/>
      <c r="D14" s="1823"/>
      <c r="E14" s="1824"/>
      <c r="F14" s="1832" t="s">
        <v>886</v>
      </c>
      <c r="G14" s="1834"/>
      <c r="H14" s="1834"/>
      <c r="I14" s="1834"/>
      <c r="J14" s="1834"/>
      <c r="K14" s="1834"/>
      <c r="L14" s="1834"/>
      <c r="M14" s="1834"/>
      <c r="N14" s="1834"/>
      <c r="O14" s="1835"/>
      <c r="AA14" s="303"/>
    </row>
    <row r="15" spans="1:27" ht="51" customHeight="1" thickBot="1">
      <c r="A15" s="1825" t="str">
        <f>IF(C9&lt;10,'Data Base'!B106,"")</f>
        <v>متقاضي حداقل امتياز لازم را از ماده 1 كسب نكرده است!</v>
      </c>
      <c r="B15" s="1826"/>
      <c r="C15" s="1826"/>
      <c r="D15" s="1826"/>
      <c r="E15" s="1827"/>
      <c r="F15" s="1836"/>
      <c r="G15" s="1837"/>
      <c r="H15" s="1837"/>
      <c r="I15" s="1837"/>
      <c r="J15" s="1837"/>
      <c r="K15" s="1837"/>
      <c r="L15" s="1837"/>
      <c r="M15" s="1837"/>
      <c r="N15" s="1837"/>
      <c r="O15" s="1838"/>
    </row>
    <row r="16" spans="1:27" ht="22.5" customHeight="1">
      <c r="A16" s="1839"/>
      <c r="B16" s="1839"/>
      <c r="C16" s="305"/>
      <c r="D16" s="305"/>
      <c r="E16" s="305"/>
      <c r="F16" s="1840"/>
      <c r="G16" s="1840"/>
      <c r="H16" s="1840"/>
      <c r="I16" s="1841"/>
      <c r="J16" s="1841"/>
      <c r="K16" s="1841"/>
      <c r="L16" s="299"/>
      <c r="M16" s="299"/>
      <c r="N16" s="299"/>
      <c r="O16" s="299"/>
    </row>
    <row r="17" spans="1:15" ht="27" hidden="1" customHeight="1">
      <c r="A17" s="305"/>
      <c r="B17" s="305"/>
      <c r="C17" s="305"/>
      <c r="D17" s="305"/>
      <c r="E17" s="305"/>
      <c r="F17" s="306"/>
      <c r="G17" s="1811"/>
      <c r="H17" s="1811"/>
      <c r="I17" s="1811"/>
      <c r="J17" s="1811"/>
      <c r="K17" s="1811"/>
      <c r="L17" s="299"/>
      <c r="M17" s="299"/>
      <c r="N17" s="299"/>
      <c r="O17" s="299"/>
    </row>
    <row r="18" spans="1:15" ht="28.5" customHeight="1">
      <c r="A18" s="299"/>
      <c r="B18" s="299"/>
      <c r="C18" s="299"/>
      <c r="D18" s="299"/>
      <c r="E18" s="299"/>
      <c r="F18" s="299"/>
      <c r="G18" s="299"/>
      <c r="H18" s="299"/>
      <c r="I18" s="299"/>
      <c r="J18" s="299"/>
      <c r="K18" s="299"/>
      <c r="L18" s="299"/>
      <c r="M18" s="299"/>
      <c r="N18" s="299"/>
      <c r="O18" s="299"/>
    </row>
    <row r="19" spans="1:15" ht="28.5" customHeight="1">
      <c r="A19" s="307"/>
      <c r="B19" s="308"/>
      <c r="C19" s="308"/>
      <c r="D19" s="308"/>
      <c r="E19" s="308"/>
      <c r="F19" s="307"/>
      <c r="G19" s="307"/>
    </row>
    <row r="20" spans="1:15" ht="18" customHeight="1">
      <c r="A20" s="308"/>
      <c r="B20" s="308"/>
      <c r="C20" s="308"/>
      <c r="D20" s="308"/>
      <c r="E20" s="308"/>
      <c r="F20" s="307"/>
      <c r="G20" s="307"/>
    </row>
    <row r="21" spans="1:15" ht="18" customHeight="1">
      <c r="A21" s="308"/>
      <c r="B21" s="308"/>
      <c r="C21" s="308"/>
      <c r="D21" s="308"/>
      <c r="E21" s="308"/>
      <c r="F21" s="307"/>
      <c r="G21" s="307"/>
    </row>
    <row r="22" spans="1:15" ht="18" customHeight="1">
      <c r="A22" s="308"/>
      <c r="B22" s="308"/>
      <c r="C22" s="308"/>
      <c r="D22" s="308"/>
      <c r="E22" s="308"/>
      <c r="F22" s="307"/>
      <c r="G22" s="307"/>
    </row>
    <row r="23" spans="1:15">
      <c r="A23" s="307"/>
      <c r="B23" s="307"/>
      <c r="C23" s="307"/>
      <c r="D23" s="307"/>
      <c r="E23" s="307"/>
      <c r="F23" s="307"/>
      <c r="G23" s="307"/>
    </row>
    <row r="24" spans="1:15">
      <c r="A24" s="307"/>
      <c r="B24" s="307"/>
      <c r="C24" s="307"/>
      <c r="D24" s="307"/>
      <c r="E24" s="307"/>
      <c r="F24" s="307"/>
      <c r="G24" s="307"/>
    </row>
    <row r="25" spans="1:15">
      <c r="A25" s="307"/>
      <c r="B25" s="307"/>
      <c r="C25" s="307"/>
      <c r="D25" s="307"/>
      <c r="E25" s="307"/>
      <c r="F25" s="307"/>
      <c r="G25" s="307"/>
    </row>
  </sheetData>
  <sheetProtection algorithmName="SHA-512" hashValue="mOC1zXPPYbGzV/O4Lj5wqkmERnN1r4ujajqQixdjeuBX0pzIWpheeiypy/c/35pZGd9ad9lcEuVH1z/MMrWRcQ==" saltValue="ZcDbwTgeHbkDIW3eHEaFLQ==" spinCount="100000" sheet="1" objects="1" scenarios="1" formatCells="0" selectLockedCells="1"/>
  <mergeCells count="42">
    <mergeCell ref="A10:E11"/>
    <mergeCell ref="F14:O14"/>
    <mergeCell ref="F15:O15"/>
    <mergeCell ref="A16:B16"/>
    <mergeCell ref="F16:H16"/>
    <mergeCell ref="I16:K16"/>
    <mergeCell ref="A12:E14"/>
    <mergeCell ref="A15:E15"/>
    <mergeCell ref="G17:K17"/>
    <mergeCell ref="H10:I10"/>
    <mergeCell ref="M10:O10"/>
    <mergeCell ref="H11:I11"/>
    <mergeCell ref="M11:O11"/>
    <mergeCell ref="H12:I12"/>
    <mergeCell ref="M12:O12"/>
    <mergeCell ref="H13:I13"/>
    <mergeCell ref="M13:O13"/>
    <mergeCell ref="A9:B9"/>
    <mergeCell ref="C9:E9"/>
    <mergeCell ref="H9:I9"/>
    <mergeCell ref="M9:O9"/>
    <mergeCell ref="M4:O4"/>
    <mergeCell ref="A6:C6"/>
    <mergeCell ref="H6:I6"/>
    <mergeCell ref="M6:O6"/>
    <mergeCell ref="H4:I4"/>
    <mergeCell ref="B4:G4"/>
    <mergeCell ref="A7:E8"/>
    <mergeCell ref="H7:I7"/>
    <mergeCell ref="M7:O7"/>
    <mergeCell ref="H8:I8"/>
    <mergeCell ref="M8:O8"/>
    <mergeCell ref="D6:E6"/>
    <mergeCell ref="A1:A2"/>
    <mergeCell ref="B1:E1"/>
    <mergeCell ref="F1:H1"/>
    <mergeCell ref="I1:J1"/>
    <mergeCell ref="K1:L1"/>
    <mergeCell ref="B2:E2"/>
    <mergeCell ref="F2:H2"/>
    <mergeCell ref="I2:J2"/>
    <mergeCell ref="K2:L2"/>
  </mergeCells>
  <conditionalFormatting sqref="I1:J2">
    <cfRule type="cellIs" dxfId="34" priority="3" operator="equal">
      <formula>0</formula>
    </cfRule>
  </conditionalFormatting>
  <conditionalFormatting sqref="M1:O2">
    <cfRule type="cellIs" dxfId="33" priority="2" operator="equal">
      <formula>0</formula>
    </cfRule>
  </conditionalFormatting>
  <dataValidations count="2">
    <dataValidation type="list" allowBlank="1" showInputMessage="1" showErrorMessage="1" sqref="G5">
      <formula1>$R$5:$W$5</formula1>
    </dataValidation>
    <dataValidation errorStyle="information" allowBlank="1" showInputMessage="1" showErrorMessage="1" error="بهتر است از موارد لیست شده انتخاب نمایید" sqref="M7:O13"/>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70C0E03-2EE4-4F48-9192-E67001A7CE68}">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Base'!$Q$83:$Q$84</xm:f>
          </x14:formula1>
          <xm:sqref>A12</xm:sqref>
        </x14:dataValidation>
        <x14:dataValidation type="list" allowBlank="1" showInputMessage="1" showErrorMessage="1" errorTitle="خطا در ورود اطلاعات" error="لطفا از موارد لیست شده انتخاب نمایید">
          <x14:formula1>
            <xm:f>'Data Base'!$K$85:$K$86</xm:f>
          </x14:formula1>
          <xm:sqref>L7:L13</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J7:J13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27"/>
  <sheetViews>
    <sheetView showGridLines="0" rightToLeft="1" view="pageBreakPreview" zoomScaleNormal="100" zoomScaleSheetLayoutView="100" workbookViewId="0">
      <selection activeCell="D8" sqref="D8"/>
    </sheetView>
  </sheetViews>
  <sheetFormatPr defaultColWidth="9" defaultRowHeight="18"/>
  <cols>
    <col min="1" max="16384" width="9" style="339"/>
  </cols>
  <sheetData>
    <row r="1" spans="1:13" ht="28.5" customHeight="1">
      <c r="A1" s="336"/>
      <c r="B1" s="337"/>
      <c r="C1" s="337"/>
      <c r="D1" s="337"/>
      <c r="E1" s="337"/>
      <c r="F1" s="337"/>
      <c r="G1" s="337"/>
      <c r="H1" s="337"/>
      <c r="I1" s="337"/>
      <c r="J1" s="337"/>
      <c r="K1" s="337"/>
      <c r="L1" s="337"/>
      <c r="M1" s="338"/>
    </row>
    <row r="2" spans="1:13" ht="28.5" customHeight="1">
      <c r="A2" s="340"/>
      <c r="B2" s="341"/>
      <c r="C2" s="341"/>
      <c r="D2" s="341"/>
      <c r="E2" s="341"/>
      <c r="F2" s="341"/>
      <c r="G2" s="341"/>
      <c r="H2" s="341"/>
      <c r="I2" s="341"/>
      <c r="J2" s="341"/>
      <c r="K2" s="341"/>
      <c r="L2" s="341"/>
      <c r="M2" s="342"/>
    </row>
    <row r="3" spans="1:13" ht="28.5" customHeight="1">
      <c r="A3" s="340"/>
      <c r="B3" s="341"/>
      <c r="C3" s="341"/>
      <c r="D3" s="341"/>
      <c r="E3" s="341"/>
      <c r="F3" s="341"/>
      <c r="G3" s="341"/>
      <c r="H3" s="341"/>
      <c r="I3" s="341"/>
      <c r="J3" s="341"/>
      <c r="K3" s="341"/>
      <c r="L3" s="341"/>
      <c r="M3" s="342"/>
    </row>
    <row r="4" spans="1:13" ht="28.5" customHeight="1">
      <c r="A4" s="340"/>
      <c r="B4" s="341"/>
      <c r="C4" s="341"/>
      <c r="D4" s="341"/>
      <c r="E4" s="341"/>
      <c r="F4" s="341"/>
      <c r="G4" s="341"/>
      <c r="H4" s="341"/>
      <c r="I4" s="341"/>
      <c r="J4" s="341"/>
      <c r="K4" s="341"/>
      <c r="L4" s="341"/>
      <c r="M4" s="342"/>
    </row>
    <row r="5" spans="1:13" ht="28.5" customHeight="1">
      <c r="A5" s="340"/>
      <c r="B5" s="341"/>
      <c r="C5" s="341"/>
      <c r="D5" s="1869" t="s">
        <v>1265</v>
      </c>
      <c r="E5" s="1869"/>
      <c r="F5" s="1869"/>
      <c r="G5" s="1869"/>
      <c r="H5" s="1869"/>
      <c r="I5" s="1869"/>
      <c r="J5" s="1869"/>
      <c r="K5" s="341"/>
      <c r="L5" s="341"/>
      <c r="M5" s="342"/>
    </row>
    <row r="6" spans="1:13" ht="28.5" customHeight="1">
      <c r="A6" s="340"/>
      <c r="B6" s="341"/>
      <c r="C6" s="341"/>
      <c r="D6" s="1869"/>
      <c r="E6" s="1869"/>
      <c r="F6" s="1869"/>
      <c r="G6" s="1869"/>
      <c r="H6" s="1869"/>
      <c r="I6" s="1869"/>
      <c r="J6" s="1869"/>
      <c r="K6" s="341"/>
      <c r="L6" s="341"/>
      <c r="M6" s="342"/>
    </row>
    <row r="7" spans="1:13" ht="28.5" customHeight="1">
      <c r="A7" s="340"/>
      <c r="B7" s="341"/>
      <c r="C7" s="341"/>
      <c r="D7" s="1869"/>
      <c r="E7" s="1869"/>
      <c r="F7" s="1869"/>
      <c r="G7" s="1869"/>
      <c r="H7" s="1869"/>
      <c r="I7" s="1869"/>
      <c r="J7" s="1869"/>
      <c r="K7" s="341"/>
      <c r="L7" s="341"/>
      <c r="M7" s="342"/>
    </row>
    <row r="8" spans="1:13" ht="28.5" customHeight="1">
      <c r="A8" s="340"/>
      <c r="B8" s="341"/>
      <c r="C8" s="341"/>
      <c r="D8" s="341"/>
      <c r="E8" s="341"/>
      <c r="F8" s="341"/>
      <c r="G8" s="341"/>
      <c r="H8" s="341"/>
      <c r="I8" s="341"/>
      <c r="J8" s="341"/>
      <c r="K8" s="341"/>
      <c r="L8" s="341"/>
      <c r="M8" s="342"/>
    </row>
    <row r="9" spans="1:13" ht="28.5" customHeight="1">
      <c r="A9" s="340"/>
      <c r="B9" s="341"/>
      <c r="C9" s="341"/>
      <c r="D9" s="341"/>
      <c r="E9" s="341"/>
      <c r="F9" s="341"/>
      <c r="G9" s="341"/>
      <c r="H9" s="341"/>
      <c r="I9" s="341"/>
      <c r="J9" s="341"/>
      <c r="K9" s="341"/>
      <c r="L9" s="341"/>
      <c r="M9" s="342"/>
    </row>
    <row r="10" spans="1:13" ht="28.5" customHeight="1">
      <c r="A10" s="340"/>
      <c r="B10" s="341"/>
      <c r="C10" s="341"/>
      <c r="D10" s="341"/>
      <c r="E10" s="341"/>
      <c r="F10" s="341"/>
      <c r="G10" s="341"/>
      <c r="H10" s="341"/>
      <c r="I10" s="341"/>
      <c r="J10" s="341"/>
      <c r="K10" s="341"/>
      <c r="L10" s="341"/>
      <c r="M10" s="342"/>
    </row>
    <row r="11" spans="1:13" ht="28.5" customHeight="1">
      <c r="A11" s="340"/>
      <c r="B11" s="341"/>
      <c r="C11" s="341"/>
      <c r="D11" s="341"/>
      <c r="E11" s="341"/>
      <c r="F11" s="341"/>
      <c r="G11" s="341"/>
      <c r="H11" s="341"/>
      <c r="I11" s="341"/>
      <c r="J11" s="341"/>
      <c r="K11" s="341"/>
      <c r="L11" s="341"/>
      <c r="M11" s="342"/>
    </row>
    <row r="12" spans="1:13" ht="28.5" customHeight="1">
      <c r="A12" s="340"/>
      <c r="B12" s="341"/>
      <c r="C12" s="341"/>
      <c r="D12" s="341"/>
      <c r="E12" s="341"/>
      <c r="F12" s="341"/>
      <c r="G12" s="341"/>
      <c r="H12" s="341"/>
      <c r="I12" s="341"/>
      <c r="J12" s="341"/>
      <c r="K12" s="341"/>
      <c r="L12" s="341"/>
      <c r="M12" s="342"/>
    </row>
    <row r="13" spans="1:13" ht="28.5" customHeight="1">
      <c r="A13" s="340"/>
      <c r="B13" s="341"/>
      <c r="C13" s="341"/>
      <c r="D13" s="341"/>
      <c r="E13" s="341"/>
      <c r="F13" s="341"/>
      <c r="G13" s="341"/>
      <c r="H13" s="341"/>
      <c r="I13" s="341"/>
      <c r="J13" s="341"/>
      <c r="K13" s="341"/>
      <c r="L13" s="341"/>
      <c r="M13" s="342"/>
    </row>
    <row r="14" spans="1:13" ht="28.5" customHeight="1">
      <c r="A14" s="340"/>
      <c r="B14" s="341"/>
      <c r="C14" s="341"/>
      <c r="D14" s="341"/>
      <c r="E14" s="341"/>
      <c r="F14" s="341"/>
      <c r="G14" s="341"/>
      <c r="H14" s="341"/>
      <c r="I14" s="341"/>
      <c r="J14" s="341"/>
      <c r="K14" s="341"/>
      <c r="L14" s="341"/>
      <c r="M14" s="342"/>
    </row>
    <row r="15" spans="1:13" ht="28.5" customHeight="1">
      <c r="A15" s="340"/>
      <c r="B15" s="341"/>
      <c r="C15" s="341"/>
      <c r="D15" s="341"/>
      <c r="E15" s="341"/>
      <c r="F15" s="341"/>
      <c r="G15" s="341"/>
      <c r="H15" s="341"/>
      <c r="I15" s="341"/>
      <c r="J15" s="341"/>
      <c r="K15" s="341"/>
      <c r="L15" s="341"/>
      <c r="M15" s="342"/>
    </row>
    <row r="16" spans="1:13" ht="28.5" customHeight="1">
      <c r="A16" s="340"/>
      <c r="B16" s="341"/>
      <c r="C16" s="341"/>
      <c r="D16" s="341"/>
      <c r="E16" s="341"/>
      <c r="F16" s="341"/>
      <c r="G16" s="341"/>
      <c r="H16" s="341"/>
      <c r="I16" s="341"/>
      <c r="J16" s="341"/>
      <c r="K16" s="341"/>
      <c r="L16" s="341"/>
      <c r="M16" s="342"/>
    </row>
    <row r="17" spans="1:13" ht="28.5" customHeight="1" thickBot="1">
      <c r="A17" s="343"/>
      <c r="B17" s="344"/>
      <c r="C17" s="344"/>
      <c r="D17" s="344"/>
      <c r="E17" s="344"/>
      <c r="F17" s="344"/>
      <c r="G17" s="344"/>
      <c r="H17" s="344"/>
      <c r="I17" s="344"/>
      <c r="J17" s="344"/>
      <c r="K17" s="344"/>
      <c r="L17" s="344"/>
      <c r="M17" s="345"/>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5"/>
  <sheetViews>
    <sheetView showGridLines="0" rightToLeft="1" view="pageBreakPreview" zoomScaleNormal="100" zoomScaleSheetLayoutView="100" workbookViewId="0">
      <selection activeCell="G12" sqref="G12"/>
    </sheetView>
  </sheetViews>
  <sheetFormatPr defaultColWidth="9" defaultRowHeight="18"/>
  <cols>
    <col min="1" max="1" width="8.28515625" style="290" customWidth="1"/>
    <col min="2" max="2" width="6.42578125" style="290" customWidth="1"/>
    <col min="3" max="3" width="4.85546875" style="290" customWidth="1"/>
    <col min="4" max="4" width="9.7109375" style="290" customWidth="1"/>
    <col min="5" max="5" width="9.140625" style="290" customWidth="1"/>
    <col min="6" max="6" width="5.5703125" style="290" customWidth="1"/>
    <col min="7" max="7" width="21.28515625" style="290" customWidth="1"/>
    <col min="8" max="8" width="7.140625" style="290" customWidth="1"/>
    <col min="9" max="9" width="8.28515625" style="290" customWidth="1"/>
    <col min="10" max="10" width="8" style="290" customWidth="1"/>
    <col min="11" max="11" width="13" style="290" customWidth="1"/>
    <col min="12" max="12" width="8.42578125" style="290" customWidth="1"/>
    <col min="13" max="14" width="5.28515625" style="290" customWidth="1"/>
    <col min="15" max="15" width="7.42578125" style="290" customWidth="1"/>
    <col min="16" max="24" width="21.7109375" style="289" customWidth="1"/>
    <col min="25" max="26" width="9" style="290"/>
    <col min="27" max="27" width="48.28515625" style="290" customWidth="1"/>
    <col min="28" max="16384" width="9" style="290"/>
  </cols>
  <sheetData>
    <row r="1" spans="1:27" ht="19.5" customHeight="1">
      <c r="A1" s="1860" t="s">
        <v>873</v>
      </c>
      <c r="B1" s="1862" t="s">
        <v>107</v>
      </c>
      <c r="C1" s="1069"/>
      <c r="D1" s="1069"/>
      <c r="E1" s="1069"/>
      <c r="F1" s="1863" t="s">
        <v>132</v>
      </c>
      <c r="G1" s="1863"/>
      <c r="H1" s="1863"/>
      <c r="I1" s="1864">
        <f>'فرم الف'!I4</f>
        <v>0</v>
      </c>
      <c r="J1" s="1864"/>
      <c r="K1" s="1863" t="s">
        <v>135</v>
      </c>
      <c r="L1" s="1863"/>
      <c r="M1" s="286">
        <f>'فرم الف'!M4</f>
        <v>0</v>
      </c>
      <c r="N1" s="287">
        <f>'فرم الف'!N4</f>
        <v>0</v>
      </c>
      <c r="O1" s="288">
        <f>'فرم الف'!O4</f>
        <v>0</v>
      </c>
      <c r="S1" s="290"/>
      <c r="T1" s="290"/>
    </row>
    <row r="2" spans="1:27" ht="19.5" customHeight="1" thickBot="1">
      <c r="A2" s="1861"/>
      <c r="B2" s="1865">
        <f>'فرم الف'!B5</f>
        <v>0</v>
      </c>
      <c r="C2" s="1866"/>
      <c r="D2" s="1866"/>
      <c r="E2" s="1866"/>
      <c r="F2" s="1867" t="s">
        <v>133</v>
      </c>
      <c r="G2" s="1867"/>
      <c r="H2" s="1867"/>
      <c r="I2" s="1868">
        <f>'فرم الف'!I5:J5</f>
        <v>0</v>
      </c>
      <c r="J2" s="1868"/>
      <c r="K2" s="1867" t="s">
        <v>131</v>
      </c>
      <c r="L2" s="1867"/>
      <c r="M2" s="291">
        <f>'فرم الف'!M5</f>
        <v>0</v>
      </c>
      <c r="N2" s="292">
        <f>'فرم الف'!N5</f>
        <v>0</v>
      </c>
      <c r="O2" s="293">
        <f>'فرم الف'!O5</f>
        <v>0</v>
      </c>
    </row>
    <row r="3" spans="1:27" ht="6" customHeight="1" thickBot="1"/>
    <row r="4" spans="1:27" ht="23.25" thickBot="1">
      <c r="A4" s="294" t="s">
        <v>894</v>
      </c>
      <c r="B4" s="1849" t="s">
        <v>895</v>
      </c>
      <c r="C4" s="1849"/>
      <c r="D4" s="1849"/>
      <c r="E4" s="1849"/>
      <c r="F4" s="1849"/>
      <c r="G4" s="1850">
        <f>'فرم الف'!A9</f>
        <v>0</v>
      </c>
      <c r="H4" s="1851"/>
      <c r="I4" s="1851"/>
      <c r="J4" s="295" t="s">
        <v>877</v>
      </c>
      <c r="K4" s="296" t="str">
        <f>'فرم الف'!H2</f>
        <v/>
      </c>
      <c r="L4" s="295" t="s">
        <v>878</v>
      </c>
      <c r="M4" s="1852" t="str">
        <f>'فرم الف'!K2</f>
        <v/>
      </c>
      <c r="N4" s="1852"/>
      <c r="O4" s="1853"/>
      <c r="P4" s="297"/>
    </row>
    <row r="5" spans="1:27" ht="5.25" customHeight="1" thickBot="1">
      <c r="A5" s="298"/>
      <c r="B5" s="298"/>
      <c r="C5" s="298"/>
      <c r="D5" s="298"/>
      <c r="E5" s="298"/>
      <c r="F5" s="299"/>
      <c r="G5" s="299"/>
      <c r="H5" s="300"/>
      <c r="I5" s="300"/>
      <c r="J5" s="300"/>
      <c r="K5" s="299"/>
      <c r="L5" s="299"/>
      <c r="M5" s="299"/>
      <c r="N5" s="299"/>
      <c r="O5" s="300"/>
    </row>
    <row r="6" spans="1:27" ht="33" customHeight="1">
      <c r="A6" s="1854" t="s">
        <v>887</v>
      </c>
      <c r="B6" s="1855"/>
      <c r="C6" s="1855"/>
      <c r="D6" s="676"/>
      <c r="E6" s="479" t="s">
        <v>1006</v>
      </c>
      <c r="F6" s="309" t="s">
        <v>9</v>
      </c>
      <c r="G6" s="309" t="s">
        <v>879</v>
      </c>
      <c r="H6" s="1856" t="s">
        <v>880</v>
      </c>
      <c r="I6" s="1856"/>
      <c r="J6" s="310" t="s">
        <v>881</v>
      </c>
      <c r="K6" s="309" t="s">
        <v>882</v>
      </c>
      <c r="L6" s="309" t="s">
        <v>883</v>
      </c>
      <c r="M6" s="1857" t="s">
        <v>125</v>
      </c>
      <c r="N6" s="1858"/>
      <c r="O6" s="1859"/>
    </row>
    <row r="7" spans="1:27" ht="33" customHeight="1">
      <c r="A7" s="1909" t="s">
        <v>1007</v>
      </c>
      <c r="B7" s="1910"/>
      <c r="C7" s="1910"/>
      <c r="D7" s="1910"/>
      <c r="E7" s="1911"/>
      <c r="F7" s="301">
        <v>1</v>
      </c>
      <c r="G7" s="669" t="str">
        <f>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Base'!L33,IF(EXACT(B2,'Data Base'!M32),'Data Base'!M33,""))))))))))))</f>
        <v/>
      </c>
      <c r="H7" s="1912" t="s">
        <v>1005</v>
      </c>
      <c r="I7" s="1913"/>
      <c r="J7" s="670"/>
      <c r="K7" s="671"/>
      <c r="L7" s="671" t="s">
        <v>875</v>
      </c>
      <c r="M7" s="1914"/>
      <c r="N7" s="1915"/>
      <c r="O7" s="1916"/>
      <c r="T7" s="290"/>
      <c r="Z7" s="302"/>
      <c r="AA7" s="303"/>
    </row>
    <row r="8" spans="1:27" ht="33" customHeight="1">
      <c r="A8" s="1885" t="s">
        <v>889</v>
      </c>
      <c r="B8" s="1886"/>
      <c r="C8" s="1816">
        <f>'فرم ج'!G25</f>
        <v>0</v>
      </c>
      <c r="D8" s="1816"/>
      <c r="E8" s="1817"/>
      <c r="F8" s="301">
        <v>2</v>
      </c>
      <c r="G8" s="672"/>
      <c r="H8" s="1907"/>
      <c r="I8" s="1908"/>
      <c r="J8" s="670"/>
      <c r="K8" s="671"/>
      <c r="L8" s="671"/>
      <c r="M8" s="1880"/>
      <c r="N8" s="1887"/>
      <c r="O8" s="1888"/>
      <c r="T8" s="290"/>
      <c r="AA8" s="303"/>
    </row>
    <row r="9" spans="1:27" ht="33" customHeight="1">
      <c r="A9" s="1885" t="s">
        <v>890</v>
      </c>
      <c r="B9" s="1886"/>
      <c r="C9" s="1816" t="e">
        <f ca="1">'فرم ج'!G52</f>
        <v>#DIV/0!</v>
      </c>
      <c r="D9" s="1816"/>
      <c r="E9" s="1817"/>
      <c r="F9" s="301">
        <v>3</v>
      </c>
      <c r="G9" s="672"/>
      <c r="H9" s="1880"/>
      <c r="I9" s="1881"/>
      <c r="J9" s="670"/>
      <c r="K9" s="671"/>
      <c r="L9" s="671"/>
      <c r="M9" s="1880"/>
      <c r="N9" s="1887"/>
      <c r="O9" s="1888"/>
      <c r="AA9" s="303"/>
    </row>
    <row r="10" spans="1:27" ht="33" customHeight="1">
      <c r="A10" s="1885" t="s">
        <v>891</v>
      </c>
      <c r="B10" s="1886"/>
      <c r="C10" s="1816">
        <f>'فرم ج'!G75</f>
        <v>0</v>
      </c>
      <c r="D10" s="1816"/>
      <c r="E10" s="1817"/>
      <c r="F10" s="301">
        <v>4</v>
      </c>
      <c r="G10" s="672"/>
      <c r="H10" s="1880"/>
      <c r="I10" s="1881"/>
      <c r="J10" s="670"/>
      <c r="K10" s="671"/>
      <c r="L10" s="671"/>
      <c r="M10" s="1880"/>
      <c r="N10" s="1887"/>
      <c r="O10" s="1888"/>
      <c r="AA10" s="303"/>
    </row>
    <row r="11" spans="1:27" ht="33" customHeight="1">
      <c r="A11" s="1897" t="s">
        <v>892</v>
      </c>
      <c r="B11" s="1898"/>
      <c r="C11" s="1899">
        <f ca="1">SUM('فرم ج'!G75,'فرم ج'!G47,'فرم ج'!G25)</f>
        <v>0</v>
      </c>
      <c r="D11" s="1898"/>
      <c r="E11" s="1900"/>
      <c r="F11" s="301">
        <v>5</v>
      </c>
      <c r="G11" s="672"/>
      <c r="H11" s="1880"/>
      <c r="I11" s="1881"/>
      <c r="J11" s="670"/>
      <c r="K11" s="671"/>
      <c r="L11" s="671"/>
      <c r="M11" s="1880"/>
      <c r="N11" s="1887"/>
      <c r="O11" s="1888"/>
      <c r="AA11" s="303"/>
    </row>
    <row r="12" spans="1:27" ht="33" customHeight="1">
      <c r="A12" s="1894" t="s">
        <v>893</v>
      </c>
      <c r="B12" s="1895"/>
      <c r="C12" s="1895"/>
      <c r="D12" s="1895"/>
      <c r="E12" s="1896"/>
      <c r="F12" s="301">
        <v>6</v>
      </c>
      <c r="G12" s="672"/>
      <c r="H12" s="1880"/>
      <c r="I12" s="1881"/>
      <c r="J12" s="670"/>
      <c r="K12" s="671"/>
      <c r="L12" s="671"/>
      <c r="M12" s="1880"/>
      <c r="N12" s="1887"/>
      <c r="O12" s="1888"/>
      <c r="AA12" s="303"/>
    </row>
    <row r="13" spans="1:27" ht="33" customHeight="1">
      <c r="A13" s="1901" t="s">
        <v>885</v>
      </c>
      <c r="B13" s="1902"/>
      <c r="C13" s="1902"/>
      <c r="D13" s="1902"/>
      <c r="E13" s="1903"/>
      <c r="F13" s="301">
        <v>7</v>
      </c>
      <c r="G13" s="673"/>
      <c r="H13" s="1892"/>
      <c r="I13" s="1893"/>
      <c r="J13" s="674"/>
      <c r="K13" s="675"/>
      <c r="L13" s="671"/>
      <c r="M13" s="1880"/>
      <c r="N13" s="1887"/>
      <c r="O13" s="1888"/>
      <c r="AA13" s="303"/>
    </row>
    <row r="14" spans="1:27" ht="17.25" customHeight="1">
      <c r="A14" s="1901"/>
      <c r="B14" s="1902"/>
      <c r="C14" s="1902"/>
      <c r="D14" s="1902"/>
      <c r="E14" s="1903"/>
      <c r="F14" s="1832" t="s">
        <v>886</v>
      </c>
      <c r="G14" s="1834"/>
      <c r="H14" s="1834"/>
      <c r="I14" s="1834"/>
      <c r="J14" s="1834"/>
      <c r="K14" s="1834"/>
      <c r="L14" s="1834"/>
      <c r="M14" s="1834"/>
      <c r="N14" s="1834"/>
      <c r="O14" s="1835"/>
      <c r="AA14" s="303"/>
    </row>
    <row r="15" spans="1:27" ht="51" customHeight="1" thickBot="1">
      <c r="A15" s="1904"/>
      <c r="B15" s="1905"/>
      <c r="C15" s="1905"/>
      <c r="D15" s="1905"/>
      <c r="E15" s="1906"/>
      <c r="F15" s="1889"/>
      <c r="G15" s="1890"/>
      <c r="H15" s="1890"/>
      <c r="I15" s="1890"/>
      <c r="J15" s="1890"/>
      <c r="K15" s="1890"/>
      <c r="L15" s="1890"/>
      <c r="M15" s="1890"/>
      <c r="N15" s="1890"/>
      <c r="O15" s="1891"/>
    </row>
    <row r="16" spans="1:27" ht="27" customHeight="1">
      <c r="A16" s="1839"/>
      <c r="B16" s="1839"/>
      <c r="C16" s="305"/>
      <c r="D16" s="305"/>
      <c r="E16" s="305"/>
      <c r="F16" s="1840" t="s">
        <v>1029</v>
      </c>
      <c r="G16" s="1840"/>
      <c r="H16" s="1840"/>
      <c r="I16" s="1841">
        <f>'فرم الف'!L26</f>
        <v>0</v>
      </c>
      <c r="J16" s="1841"/>
      <c r="K16" s="1841"/>
      <c r="L16" s="299"/>
      <c r="M16" s="299"/>
      <c r="N16" s="299"/>
      <c r="O16" s="299"/>
    </row>
    <row r="17" spans="1:15" ht="27" customHeight="1">
      <c r="A17" s="305"/>
      <c r="B17" s="305"/>
      <c r="C17" s="305"/>
      <c r="D17" s="305"/>
      <c r="E17" s="305"/>
      <c r="F17" s="306"/>
      <c r="G17" s="1811" t="str">
        <f>'فرم الف'!J27</f>
        <v/>
      </c>
      <c r="H17" s="1811"/>
      <c r="I17" s="1811"/>
      <c r="J17" s="1811"/>
      <c r="K17" s="1811"/>
      <c r="L17" s="299"/>
      <c r="M17" s="299"/>
      <c r="N17" s="299"/>
      <c r="O17" s="299"/>
    </row>
    <row r="18" spans="1:15" ht="28.5" customHeight="1">
      <c r="A18" s="299"/>
      <c r="B18" s="299"/>
      <c r="C18" s="299"/>
      <c r="D18" s="299"/>
      <c r="E18" s="299"/>
      <c r="F18" s="299"/>
      <c r="G18" s="299"/>
      <c r="H18" s="299"/>
      <c r="I18" s="299"/>
      <c r="J18" s="299"/>
      <c r="K18" s="299"/>
      <c r="L18" s="299"/>
      <c r="M18" s="299"/>
      <c r="N18" s="299"/>
      <c r="O18" s="299"/>
    </row>
    <row r="19" spans="1:15" ht="28.5" customHeight="1">
      <c r="A19" s="307"/>
      <c r="B19" s="308"/>
      <c r="C19" s="308"/>
      <c r="D19" s="308"/>
      <c r="E19" s="308"/>
      <c r="F19" s="307"/>
      <c r="G19" s="307"/>
    </row>
    <row r="20" spans="1:15" ht="18" customHeight="1">
      <c r="A20" s="308"/>
      <c r="B20" s="308"/>
      <c r="C20" s="308"/>
      <c r="D20" s="308"/>
      <c r="E20" s="308"/>
      <c r="F20" s="307"/>
      <c r="G20" s="307"/>
    </row>
    <row r="21" spans="1:15" ht="18" customHeight="1">
      <c r="A21" s="308"/>
      <c r="B21" s="308"/>
      <c r="C21" s="308"/>
      <c r="D21" s="308"/>
      <c r="E21" s="308"/>
      <c r="F21" s="307"/>
      <c r="G21" s="307"/>
    </row>
    <row r="22" spans="1:15" ht="18" customHeight="1">
      <c r="A22" s="308"/>
      <c r="B22" s="308"/>
      <c r="C22" s="308"/>
      <c r="D22" s="308"/>
      <c r="E22" s="308"/>
      <c r="F22" s="307"/>
      <c r="G22" s="307"/>
    </row>
    <row r="23" spans="1:15">
      <c r="A23" s="307"/>
      <c r="B23" s="307"/>
      <c r="C23" s="307"/>
      <c r="D23" s="307"/>
      <c r="E23" s="307"/>
      <c r="F23" s="307"/>
      <c r="G23" s="307"/>
    </row>
    <row r="24" spans="1:15">
      <c r="A24" s="307"/>
      <c r="B24" s="307"/>
      <c r="C24" s="307"/>
      <c r="D24" s="307"/>
      <c r="E24" s="307"/>
      <c r="F24" s="307"/>
      <c r="G24" s="307"/>
    </row>
    <row r="25" spans="1:15">
      <c r="A25" s="307"/>
      <c r="B25" s="307"/>
      <c r="C25" s="307"/>
      <c r="D25" s="307"/>
      <c r="E25" s="307"/>
      <c r="F25" s="307"/>
      <c r="G25" s="307"/>
    </row>
  </sheetData>
  <sheetProtection algorithmName="SHA-512" hashValue="bi+Oiuj7lOfpg7rOnAEs0ZGIXXOV/aszHFcxjFV7lERJlk9k3D7oSVD+MHhHuabEWuvsk6XaqPNB+RMKhQ768g==" saltValue="FAxtZ2OtqwShI3uuK7fqOg==" spinCount="100000" sheet="1" objects="1" scenarios="1" formatCells="0" selectLockedCells="1"/>
  <mergeCells count="46">
    <mergeCell ref="C9:E9"/>
    <mergeCell ref="A7:E7"/>
    <mergeCell ref="H7:I7"/>
    <mergeCell ref="M7:O7"/>
    <mergeCell ref="K1:L1"/>
    <mergeCell ref="M4:O4"/>
    <mergeCell ref="H6:I6"/>
    <mergeCell ref="M6:O6"/>
    <mergeCell ref="G4:I4"/>
    <mergeCell ref="B4:F4"/>
    <mergeCell ref="H10:I10"/>
    <mergeCell ref="M10:O10"/>
    <mergeCell ref="H8:I8"/>
    <mergeCell ref="M8:O8"/>
    <mergeCell ref="H9:I9"/>
    <mergeCell ref="M9:O9"/>
    <mergeCell ref="C10:E10"/>
    <mergeCell ref="A12:E12"/>
    <mergeCell ref="A11:B11"/>
    <mergeCell ref="C11:E11"/>
    <mergeCell ref="A13:E15"/>
    <mergeCell ref="M11:O11"/>
    <mergeCell ref="A16:B16"/>
    <mergeCell ref="F16:H16"/>
    <mergeCell ref="I16:K16"/>
    <mergeCell ref="F15:O15"/>
    <mergeCell ref="F14:O14"/>
    <mergeCell ref="M12:O12"/>
    <mergeCell ref="H13:I13"/>
    <mergeCell ref="M13:O13"/>
    <mergeCell ref="G17:K17"/>
    <mergeCell ref="H12:I12"/>
    <mergeCell ref="A1:A2"/>
    <mergeCell ref="B1:E1"/>
    <mergeCell ref="F1:H1"/>
    <mergeCell ref="I1:J1"/>
    <mergeCell ref="B2:E2"/>
    <mergeCell ref="F2:H2"/>
    <mergeCell ref="I2:J2"/>
    <mergeCell ref="K2:L2"/>
    <mergeCell ref="A6:C6"/>
    <mergeCell ref="A8:B8"/>
    <mergeCell ref="A9:B9"/>
    <mergeCell ref="A10:B10"/>
    <mergeCell ref="C8:E8"/>
    <mergeCell ref="H11:I11"/>
  </mergeCells>
  <conditionalFormatting sqref="I1:J2 M1:O2">
    <cfRule type="cellIs" dxfId="31" priority="1" operator="equal">
      <formula>0</formula>
    </cfRule>
  </conditionalFormatting>
  <dataValidations count="2">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J7:J13</xm:sqref>
        </x14:dataValidation>
        <x14:dataValidation type="list" errorStyle="information" allowBlank="1" showInputMessage="1" showErrorMessage="1" errorTitle="توجه:" error="بهتر است از موارد لیست شده انتخاب نمایید در غير اين صورت جهت تاييد عنوان وارد شده دكمه تاييد را فشار دهيد">
          <x14:formula1>
            <xm:f>'Data Base'!$C$37:$C$38</xm:f>
          </x14:formula1>
          <xm:sqref>H8:I13</xm:sqref>
        </x14:dataValidation>
        <x14:dataValidation type="list" allowBlank="1" showInputMessage="1" showErrorMessage="1" errorTitle="خطا در ورود اطلاعات" error="لطفا از موارد لیست شده انتخاب نمایید">
          <x14:formula1>
            <xm:f>'Data Base'!$K$85:$K$86</xm:f>
          </x14:formula1>
          <xm:sqref>L7:L13</xm:sqref>
        </x14:dataValidation>
        <x14:dataValidation type="list" allowBlank="1" showInputMessage="1" showErrorMessage="1" errorTitle="خطا در ورود اطلاعات" error="لطفا از موارد ليست شده انتخاب نماييد">
          <x14:formula1>
            <xm:f>'Data Base'!$K$83:$K$84</xm:f>
          </x14:formula1>
          <xm:sqref>A13:E15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27"/>
  <sheetViews>
    <sheetView showGridLines="0" rightToLeft="1" view="pageBreakPreview" zoomScaleNormal="100" zoomScaleSheetLayoutView="100" workbookViewId="0">
      <selection activeCell="E10" sqref="E10"/>
    </sheetView>
  </sheetViews>
  <sheetFormatPr defaultColWidth="9" defaultRowHeight="18"/>
  <cols>
    <col min="1" max="16384" width="9" style="339"/>
  </cols>
  <sheetData>
    <row r="1" spans="1:13" ht="28.5" customHeight="1">
      <c r="A1" s="336"/>
      <c r="B1" s="337"/>
      <c r="C1" s="337"/>
      <c r="D1" s="337"/>
      <c r="E1" s="337"/>
      <c r="F1" s="337"/>
      <c r="G1" s="337"/>
      <c r="H1" s="337"/>
      <c r="I1" s="337"/>
      <c r="J1" s="337"/>
      <c r="K1" s="337"/>
      <c r="L1" s="337"/>
      <c r="M1" s="338"/>
    </row>
    <row r="2" spans="1:13" ht="28.5" customHeight="1">
      <c r="A2" s="340"/>
      <c r="B2" s="341"/>
      <c r="C2" s="341"/>
      <c r="D2" s="341"/>
      <c r="E2" s="341"/>
      <c r="F2" s="341"/>
      <c r="G2" s="341"/>
      <c r="H2" s="341"/>
      <c r="I2" s="341"/>
      <c r="J2" s="341"/>
      <c r="K2" s="341"/>
      <c r="L2" s="341"/>
      <c r="M2" s="342"/>
    </row>
    <row r="3" spans="1:13" ht="28.5" customHeight="1">
      <c r="A3" s="340"/>
      <c r="B3" s="341"/>
      <c r="C3" s="341"/>
      <c r="D3" s="341"/>
      <c r="E3" s="341"/>
      <c r="F3" s="341"/>
      <c r="G3" s="341"/>
      <c r="H3" s="341"/>
      <c r="I3" s="341"/>
      <c r="J3" s="341"/>
      <c r="K3" s="341"/>
      <c r="L3" s="341"/>
      <c r="M3" s="342"/>
    </row>
    <row r="4" spans="1:13" ht="28.5" customHeight="1">
      <c r="A4" s="340"/>
      <c r="B4" s="341"/>
      <c r="C4" s="341"/>
      <c r="D4" s="341"/>
      <c r="E4" s="341"/>
      <c r="F4" s="341"/>
      <c r="G4" s="341"/>
      <c r="H4" s="341"/>
      <c r="I4" s="341"/>
      <c r="J4" s="341"/>
      <c r="K4" s="341"/>
      <c r="L4" s="341"/>
      <c r="M4" s="342"/>
    </row>
    <row r="5" spans="1:13" ht="28.5" customHeight="1">
      <c r="A5" s="340"/>
      <c r="B5" s="341"/>
      <c r="C5" s="341"/>
      <c r="D5" s="1869" t="s">
        <v>972</v>
      </c>
      <c r="E5" s="1869"/>
      <c r="F5" s="1869"/>
      <c r="G5" s="1869"/>
      <c r="H5" s="1869"/>
      <c r="I5" s="1869"/>
      <c r="J5" s="1869"/>
      <c r="K5" s="341"/>
      <c r="L5" s="341"/>
      <c r="M5" s="342"/>
    </row>
    <row r="6" spans="1:13" ht="28.5" customHeight="1">
      <c r="A6" s="340"/>
      <c r="B6" s="341"/>
      <c r="C6" s="341"/>
      <c r="D6" s="1869"/>
      <c r="E6" s="1869"/>
      <c r="F6" s="1869"/>
      <c r="G6" s="1869"/>
      <c r="H6" s="1869"/>
      <c r="I6" s="1869"/>
      <c r="J6" s="1869"/>
      <c r="K6" s="341"/>
      <c r="L6" s="341"/>
      <c r="M6" s="342"/>
    </row>
    <row r="7" spans="1:13" ht="28.5" customHeight="1">
      <c r="A7" s="340"/>
      <c r="B7" s="341"/>
      <c r="C7" s="341"/>
      <c r="D7" s="1869"/>
      <c r="E7" s="1869"/>
      <c r="F7" s="1869"/>
      <c r="G7" s="1869"/>
      <c r="H7" s="1869"/>
      <c r="I7" s="1869"/>
      <c r="J7" s="1869"/>
      <c r="K7" s="341"/>
      <c r="L7" s="341"/>
      <c r="M7" s="342"/>
    </row>
    <row r="8" spans="1:13" ht="28.5" customHeight="1">
      <c r="A8" s="340"/>
      <c r="B8" s="341"/>
      <c r="C8" s="341"/>
      <c r="D8" s="341"/>
      <c r="E8" s="341"/>
      <c r="F8" s="341"/>
      <c r="G8" s="341"/>
      <c r="H8" s="341"/>
      <c r="I8" s="341"/>
      <c r="J8" s="341"/>
      <c r="K8" s="341"/>
      <c r="L8" s="341"/>
      <c r="M8" s="342"/>
    </row>
    <row r="9" spans="1:13" ht="28.5" customHeight="1">
      <c r="A9" s="340"/>
      <c r="B9" s="341"/>
      <c r="C9" s="341"/>
      <c r="D9" s="341"/>
      <c r="E9" s="341"/>
      <c r="F9" s="341"/>
      <c r="G9" s="341"/>
      <c r="H9" s="341"/>
      <c r="I9" s="341"/>
      <c r="J9" s="341"/>
      <c r="K9" s="341"/>
      <c r="L9" s="341"/>
      <c r="M9" s="342"/>
    </row>
    <row r="10" spans="1:13" ht="28.5" customHeight="1">
      <c r="A10" s="340"/>
      <c r="B10" s="341"/>
      <c r="C10" s="341"/>
      <c r="D10" s="341"/>
      <c r="E10" s="341"/>
      <c r="F10" s="341"/>
      <c r="G10" s="341"/>
      <c r="H10" s="341"/>
      <c r="I10" s="341"/>
      <c r="J10" s="341"/>
      <c r="K10" s="341"/>
      <c r="L10" s="341"/>
      <c r="M10" s="342"/>
    </row>
    <row r="11" spans="1:13" ht="28.5" customHeight="1">
      <c r="A11" s="340"/>
      <c r="B11" s="341"/>
      <c r="C11" s="341"/>
      <c r="D11" s="341"/>
      <c r="E11" s="341"/>
      <c r="F11" s="341"/>
      <c r="G11" s="341"/>
      <c r="H11" s="341"/>
      <c r="I11" s="341"/>
      <c r="J11" s="341"/>
      <c r="K11" s="341"/>
      <c r="L11" s="341"/>
      <c r="M11" s="342"/>
    </row>
    <row r="12" spans="1:13" ht="28.5" customHeight="1">
      <c r="A12" s="340"/>
      <c r="B12" s="341"/>
      <c r="C12" s="341"/>
      <c r="D12" s="341"/>
      <c r="E12" s="341"/>
      <c r="F12" s="341"/>
      <c r="G12" s="341"/>
      <c r="H12" s="341"/>
      <c r="I12" s="341"/>
      <c r="J12" s="341"/>
      <c r="K12" s="341"/>
      <c r="L12" s="341"/>
      <c r="M12" s="342"/>
    </row>
    <row r="13" spans="1:13" ht="28.5" customHeight="1">
      <c r="A13" s="340"/>
      <c r="B13" s="341"/>
      <c r="C13" s="341"/>
      <c r="D13" s="341"/>
      <c r="E13" s="341"/>
      <c r="F13" s="341"/>
      <c r="G13" s="341"/>
      <c r="H13" s="341"/>
      <c r="I13" s="341"/>
      <c r="J13" s="341"/>
      <c r="K13" s="341"/>
      <c r="L13" s="341"/>
      <c r="M13" s="342"/>
    </row>
    <row r="14" spans="1:13" ht="28.5" customHeight="1">
      <c r="A14" s="340"/>
      <c r="B14" s="341"/>
      <c r="C14" s="341"/>
      <c r="D14" s="341"/>
      <c r="E14" s="341"/>
      <c r="F14" s="341"/>
      <c r="G14" s="341"/>
      <c r="H14" s="341"/>
      <c r="I14" s="341"/>
      <c r="J14" s="341"/>
      <c r="K14" s="341"/>
      <c r="L14" s="341"/>
      <c r="M14" s="342"/>
    </row>
    <row r="15" spans="1:13" ht="28.5" customHeight="1">
      <c r="A15" s="340"/>
      <c r="B15" s="341"/>
      <c r="C15" s="341"/>
      <c r="D15" s="341"/>
      <c r="E15" s="341"/>
      <c r="F15" s="341"/>
      <c r="G15" s="341"/>
      <c r="H15" s="341"/>
      <c r="I15" s="341"/>
      <c r="J15" s="341"/>
      <c r="K15" s="341"/>
      <c r="L15" s="341"/>
      <c r="M15" s="342"/>
    </row>
    <row r="16" spans="1:13" ht="28.5" customHeight="1">
      <c r="A16" s="340"/>
      <c r="B16" s="341"/>
      <c r="C16" s="341"/>
      <c r="D16" s="341"/>
      <c r="E16" s="341"/>
      <c r="F16" s="341"/>
      <c r="G16" s="341"/>
      <c r="H16" s="341"/>
      <c r="I16" s="341"/>
      <c r="J16" s="341"/>
      <c r="K16" s="341"/>
      <c r="L16" s="341"/>
      <c r="M16" s="342"/>
    </row>
    <row r="17" spans="1:13" ht="28.5" customHeight="1" thickBot="1">
      <c r="A17" s="343"/>
      <c r="B17" s="344"/>
      <c r="C17" s="344"/>
      <c r="D17" s="344"/>
      <c r="E17" s="344"/>
      <c r="F17" s="344"/>
      <c r="G17" s="344"/>
      <c r="H17" s="344"/>
      <c r="I17" s="344"/>
      <c r="J17" s="344"/>
      <c r="K17" s="344"/>
      <c r="L17" s="344"/>
      <c r="M17" s="345"/>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1"/>
  <sheetViews>
    <sheetView showGridLines="0" rightToLeft="1" view="pageBreakPreview" zoomScaleNormal="100" zoomScaleSheetLayoutView="100" workbookViewId="0">
      <selection activeCell="L9" sqref="L9"/>
    </sheetView>
  </sheetViews>
  <sheetFormatPr defaultColWidth="9" defaultRowHeight="18"/>
  <cols>
    <col min="1" max="1" width="6.85546875" style="290" customWidth="1"/>
    <col min="2" max="2" width="5.42578125" style="290" customWidth="1"/>
    <col min="3" max="3" width="6.140625" style="290" customWidth="1"/>
    <col min="4" max="4" width="8.85546875" style="290" customWidth="1"/>
    <col min="5" max="5" width="4" style="290" customWidth="1"/>
    <col min="6" max="7" width="3.85546875" style="290" customWidth="1"/>
    <col min="8" max="8" width="6.140625" style="290" customWidth="1"/>
    <col min="9" max="9" width="17.140625" style="290" customWidth="1"/>
    <col min="10" max="10" width="8.140625" style="290" customWidth="1"/>
    <col min="11" max="11" width="15.5703125" style="290" customWidth="1"/>
    <col min="12" max="12" width="9.7109375" style="290" customWidth="1"/>
    <col min="13" max="13" width="11.7109375" style="290" customWidth="1"/>
    <col min="14" max="14" width="6.42578125" style="290" customWidth="1"/>
    <col min="15" max="15" width="6.28515625" style="290" customWidth="1"/>
    <col min="16" max="16" width="6.85546875" style="290" customWidth="1"/>
    <col min="17" max="34" width="11.42578125" style="290" customWidth="1"/>
    <col min="35" max="41" width="14.7109375" style="290" customWidth="1"/>
    <col min="42" max="16384" width="9" style="290"/>
  </cols>
  <sheetData>
    <row r="1" spans="1:19" ht="19.5" customHeight="1">
      <c r="A1" s="1919" t="s">
        <v>873</v>
      </c>
      <c r="B1" s="1069" t="s">
        <v>107</v>
      </c>
      <c r="C1" s="1069"/>
      <c r="D1" s="1069"/>
      <c r="E1" s="1069"/>
      <c r="F1" s="1069"/>
      <c r="G1" s="1069"/>
      <c r="H1" s="312"/>
      <c r="I1" s="1863" t="s">
        <v>920</v>
      </c>
      <c r="J1" s="1863"/>
      <c r="K1" s="1863"/>
      <c r="L1" s="313">
        <f>'فرم الف'!I4</f>
        <v>0</v>
      </c>
      <c r="M1" s="125" t="s">
        <v>135</v>
      </c>
      <c r="N1" s="286">
        <f>'فرم الف'!M4</f>
        <v>0</v>
      </c>
      <c r="O1" s="287">
        <f>'فرم الف'!N4</f>
        <v>0</v>
      </c>
      <c r="P1" s="288">
        <f>'فرم الف'!O4</f>
        <v>0</v>
      </c>
    </row>
    <row r="2" spans="1:19" ht="19.5" customHeight="1" thickBot="1">
      <c r="A2" s="1920"/>
      <c r="B2" s="1866">
        <f>'فرم الف'!B5</f>
        <v>0</v>
      </c>
      <c r="C2" s="1866"/>
      <c r="D2" s="1866"/>
      <c r="E2" s="1866"/>
      <c r="F2" s="1866"/>
      <c r="G2" s="1866"/>
      <c r="H2" s="1866"/>
      <c r="I2" s="1867" t="s">
        <v>133</v>
      </c>
      <c r="J2" s="1867"/>
      <c r="K2" s="1867"/>
      <c r="L2" s="314">
        <f>'فرم الف'!I5</f>
        <v>0</v>
      </c>
      <c r="M2" s="126" t="s">
        <v>131</v>
      </c>
      <c r="N2" s="291">
        <f>'فرم الف'!M5</f>
        <v>0</v>
      </c>
      <c r="O2" s="292">
        <f>'فرم الف'!N5</f>
        <v>0</v>
      </c>
      <c r="P2" s="293">
        <f>'فرم الف'!O5</f>
        <v>0</v>
      </c>
    </row>
    <row r="3" spans="1:19" ht="5.25" customHeight="1" thickBot="1"/>
    <row r="4" spans="1:19" ht="23.25" customHeight="1" thickBot="1">
      <c r="A4" s="294" t="s">
        <v>921</v>
      </c>
      <c r="B4" s="1932" t="s">
        <v>675</v>
      </c>
      <c r="C4" s="1933"/>
      <c r="D4" s="1933"/>
      <c r="E4" s="1849" t="str">
        <f>'فرم ج'!E4</f>
        <v/>
      </c>
      <c r="F4" s="1849"/>
      <c r="G4" s="1849"/>
      <c r="H4" s="1849"/>
      <c r="I4" s="315" t="s">
        <v>919</v>
      </c>
      <c r="J4" s="1850">
        <f>'فرم الف'!A9</f>
        <v>0</v>
      </c>
      <c r="K4" s="1851"/>
      <c r="L4" s="295" t="s">
        <v>918</v>
      </c>
      <c r="M4" s="296" t="str">
        <f>'فرم الف'!H2</f>
        <v/>
      </c>
      <c r="N4" s="295" t="s">
        <v>917</v>
      </c>
      <c r="O4" s="1852" t="str">
        <f>'فرم الف'!K2</f>
        <v/>
      </c>
      <c r="P4" s="1853"/>
    </row>
    <row r="5" spans="1:19" ht="6" customHeight="1">
      <c r="A5" s="299"/>
      <c r="B5" s="299"/>
      <c r="C5" s="299"/>
      <c r="D5" s="299"/>
      <c r="E5" s="299"/>
      <c r="F5" s="299"/>
      <c r="G5" s="299"/>
      <c r="H5" s="299"/>
      <c r="I5" s="299"/>
      <c r="J5" s="299"/>
      <c r="K5" s="300"/>
      <c r="L5" s="300"/>
      <c r="M5" s="299"/>
      <c r="N5" s="299"/>
      <c r="O5" s="300"/>
    </row>
    <row r="6" spans="1:19" ht="28.5" customHeight="1">
      <c r="A6" s="1936" t="s">
        <v>969</v>
      </c>
      <c r="B6" s="1937"/>
      <c r="C6" s="1937"/>
      <c r="D6" s="1937"/>
      <c r="E6" s="1937"/>
      <c r="F6" s="1937"/>
      <c r="G6" s="1938"/>
      <c r="H6" s="1942" t="s">
        <v>9</v>
      </c>
      <c r="I6" s="1947" t="s">
        <v>879</v>
      </c>
      <c r="J6" s="1949"/>
      <c r="K6" s="1942" t="s">
        <v>880</v>
      </c>
      <c r="L6" s="1942" t="s">
        <v>881</v>
      </c>
      <c r="M6" s="1942" t="s">
        <v>882</v>
      </c>
      <c r="N6" s="1947" t="s">
        <v>125</v>
      </c>
      <c r="O6" s="1948"/>
      <c r="P6" s="1949"/>
    </row>
    <row r="7" spans="1:19" ht="28.5" customHeight="1">
      <c r="A7" s="1939"/>
      <c r="B7" s="1940"/>
      <c r="C7" s="1940"/>
      <c r="D7" s="1940"/>
      <c r="E7" s="1940"/>
      <c r="F7" s="1940"/>
      <c r="G7" s="1941"/>
      <c r="H7" s="1943"/>
      <c r="I7" s="1950"/>
      <c r="J7" s="1952"/>
      <c r="K7" s="1943"/>
      <c r="L7" s="1943"/>
      <c r="M7" s="1943"/>
      <c r="N7" s="1950"/>
      <c r="O7" s="1951"/>
      <c r="P7" s="1952"/>
    </row>
    <row r="8" spans="1:19" ht="26.25" customHeight="1">
      <c r="A8" s="1953"/>
      <c r="B8" s="1954"/>
      <c r="C8" s="1955" t="s">
        <v>970</v>
      </c>
      <c r="D8" s="1955"/>
      <c r="E8" s="1955"/>
      <c r="F8" s="1955"/>
      <c r="G8" s="1955"/>
      <c r="H8" s="316">
        <v>1</v>
      </c>
      <c r="I8" s="1956">
        <f>IF(EXACT($E$4,'Data Base'!$Y$9),'Data Base'!Y10,IF(EXACT($E$4,'Data Base'!$AB$9),'Data Base'!AB10,IF(EXACT($E$4,'Data Base'!$AE$9),'Data Base'!AE10,IF(EXACT($E$4,'Data Base'!$AH$9),'Data Base'!AH10,IF(EXACT($E$4,'Data Base'!$AK$9),'Data Base'!AK10,IF(EXACT($E$4,'Data Base'!$AN$9),'Data Base'!AN10,))))))</f>
        <v>0</v>
      </c>
      <c r="J8" s="1957"/>
      <c r="K8" s="317" t="s">
        <v>704</v>
      </c>
      <c r="L8" s="321"/>
      <c r="M8" s="321"/>
      <c r="N8" s="1944"/>
      <c r="O8" s="1945"/>
      <c r="P8" s="1946"/>
    </row>
    <row r="9" spans="1:19" ht="25.5" customHeight="1">
      <c r="A9" s="1934" t="s">
        <v>925</v>
      </c>
      <c r="B9" s="1935"/>
      <c r="C9" s="1935"/>
      <c r="D9" s="1935">
        <f>'فرم ج'!H25</f>
        <v>0</v>
      </c>
      <c r="E9" s="1935"/>
      <c r="F9" s="1935"/>
      <c r="G9" s="1962"/>
      <c r="H9" s="318">
        <v>2</v>
      </c>
      <c r="I9" s="1917">
        <f>IF(EXACT($E$4,'Data Base'!$Y$9),'Data Base'!Y11,IF(EXACT($E$4,'Data Base'!$AB$9),'Data Base'!AB11,IF(EXACT($E$4,'Data Base'!$AE$9),'Data Base'!AE11,IF(EXACT($E$4,'Data Base'!$AH$9),'Data Base'!AH11,IF(EXACT($E$4,'Data Base'!$AK$9),'Data Base'!AK11,IF(EXACT($E$4,'Data Base'!$AN$9),'Data Base'!AN11,))))))</f>
        <v>0</v>
      </c>
      <c r="J9" s="1918"/>
      <c r="K9" s="304" t="s">
        <v>915</v>
      </c>
      <c r="L9" s="311"/>
      <c r="M9" s="311"/>
      <c r="N9" s="1929"/>
      <c r="O9" s="1847"/>
      <c r="P9" s="1848"/>
      <c r="S9" s="289"/>
    </row>
    <row r="10" spans="1:19" ht="25.5" customHeight="1">
      <c r="A10" s="1934" t="s">
        <v>924</v>
      </c>
      <c r="B10" s="1935"/>
      <c r="C10" s="1935"/>
      <c r="D10" s="1935" t="e">
        <f ca="1">'فرم ج'!H52</f>
        <v>#DIV/0!</v>
      </c>
      <c r="E10" s="1935"/>
      <c r="F10" s="1935"/>
      <c r="G10" s="1962"/>
      <c r="H10" s="318">
        <v>3</v>
      </c>
      <c r="I10" s="1917">
        <f>IF(EXACT($E$4,'Data Base'!$Y$9),'Data Base'!Y12,IF(EXACT($E$4,'Data Base'!$AB$9),'Data Base'!AB12,IF(EXACT($E$4,'Data Base'!$AE$9),'Data Base'!AE12,IF(EXACT($E$4,'Data Base'!$AH$9),'Data Base'!AH12,IF(EXACT($E$4,'Data Base'!$AK$9),'Data Base'!AK12,IF(EXACT($E$4,'Data Base'!$AN$9),'Data Base'!AN12,))))))</f>
        <v>0</v>
      </c>
      <c r="J10" s="1918"/>
      <c r="K10" s="304" t="s">
        <v>914</v>
      </c>
      <c r="L10" s="311"/>
      <c r="M10" s="311"/>
      <c r="N10" s="1929"/>
      <c r="O10" s="1847"/>
      <c r="P10" s="1848"/>
      <c r="S10" s="289"/>
    </row>
    <row r="11" spans="1:19" ht="25.5" customHeight="1">
      <c r="A11" s="1934" t="s">
        <v>923</v>
      </c>
      <c r="B11" s="1935"/>
      <c r="C11" s="1935"/>
      <c r="D11" s="1935">
        <f>'فرم ج'!H75</f>
        <v>0</v>
      </c>
      <c r="E11" s="1935"/>
      <c r="F11" s="1935"/>
      <c r="G11" s="1962"/>
      <c r="H11" s="318">
        <v>4</v>
      </c>
      <c r="I11" s="1917">
        <f>IF(EXACT($E$4,'Data Base'!$Y$9),'Data Base'!Y13,IF(EXACT($E$4,'Data Base'!$AB$9),'Data Base'!AB13,IF(EXACT($E$4,'Data Base'!$AE$9),'Data Base'!AE13,IF(EXACT($E$4,'Data Base'!$AH$9),'Data Base'!AH13,IF(EXACT($E$4,'Data Base'!$AK$9),'Data Base'!AK13,IF(EXACT($E$4,'Data Base'!$AN$9),'Data Base'!AN13,))))))</f>
        <v>0</v>
      </c>
      <c r="J11" s="1918"/>
      <c r="K11" s="304" t="s">
        <v>914</v>
      </c>
      <c r="L11" s="311"/>
      <c r="M11" s="311"/>
      <c r="N11" s="1929"/>
      <c r="O11" s="1847"/>
      <c r="P11" s="1848"/>
      <c r="S11" s="289"/>
    </row>
    <row r="12" spans="1:19" ht="25.5" customHeight="1">
      <c r="A12" s="1965" t="s">
        <v>922</v>
      </c>
      <c r="B12" s="1966"/>
      <c r="C12" s="1966"/>
      <c r="D12" s="1963">
        <f ca="1">SUM('فرم ج'!H25,'فرم ج'!H47,'فرم ج'!H75)</f>
        <v>0</v>
      </c>
      <c r="E12" s="1963"/>
      <c r="F12" s="1963"/>
      <c r="G12" s="1964"/>
      <c r="H12" s="318">
        <v>5</v>
      </c>
      <c r="I12" s="1917">
        <f>IF(EXACT($E$4,'Data Base'!$Y$9),'Data Base'!Y14,IF(EXACT($E$4,'Data Base'!$AB$9),'Data Base'!AB14,IF(EXACT($E$4,'Data Base'!$AE$9),'Data Base'!AE14,IF(EXACT($E$4,'Data Base'!$AH$9),'Data Base'!AH14,IF(EXACT($E$4,'Data Base'!$AK$9),'Data Base'!AK14,IF(EXACT($E$4,'Data Base'!$AN$9),'Data Base'!AN14,))))))</f>
        <v>0</v>
      </c>
      <c r="J12" s="1918"/>
      <c r="K12" s="304" t="s">
        <v>914</v>
      </c>
      <c r="L12" s="311"/>
      <c r="M12" s="311"/>
      <c r="N12" s="1929"/>
      <c r="O12" s="1847"/>
      <c r="P12" s="1848"/>
      <c r="S12" s="289"/>
    </row>
    <row r="13" spans="1:19" ht="25.5" customHeight="1">
      <c r="A13" s="1927" t="s">
        <v>926</v>
      </c>
      <c r="B13" s="1928"/>
      <c r="C13" s="1928"/>
      <c r="D13" s="1928"/>
      <c r="E13" s="1928"/>
      <c r="F13" s="1928"/>
      <c r="G13" s="1928"/>
      <c r="H13" s="318">
        <v>6</v>
      </c>
      <c r="I13" s="1917">
        <f>IF(EXACT($E$4,'Data Base'!$Y$9),'Data Base'!Y15,IF(EXACT($E$4,'Data Base'!$AB$9),'Data Base'!AB15,IF(EXACT($E$4,'Data Base'!$AE$9),'Data Base'!AE15,IF(EXACT($E$4,'Data Base'!$AH$9),'Data Base'!AH15,IF(EXACT($E$4,'Data Base'!$AK$9),'Data Base'!AK15,IF(EXACT($E$4,'Data Base'!$AN$9),'Data Base'!AN15,))))))</f>
        <v>0</v>
      </c>
      <c r="J13" s="1918"/>
      <c r="K13" s="304" t="str">
        <f>IF(EXACT(I13,0),"",'Data Base'!B74)</f>
        <v/>
      </c>
      <c r="L13" s="311"/>
      <c r="M13" s="311"/>
      <c r="N13" s="1929"/>
      <c r="O13" s="1847"/>
      <c r="P13" s="1848"/>
      <c r="S13" s="289"/>
    </row>
    <row r="14" spans="1:19" ht="25.5" customHeight="1">
      <c r="A14" s="1958" t="s">
        <v>885</v>
      </c>
      <c r="B14" s="1959"/>
      <c r="C14" s="1959"/>
      <c r="D14" s="1959"/>
      <c r="E14" s="1959"/>
      <c r="F14" s="1959"/>
      <c r="G14" s="1959"/>
      <c r="H14" s="318">
        <v>7</v>
      </c>
      <c r="I14" s="1917">
        <f>IF(EXACT($E$4,'Data Base'!$Y$9),'Data Base'!Y16,IF(EXACT($E$4,'Data Base'!$AB$9),'Data Base'!AB16,IF(EXACT($E$4,'Data Base'!$AE$9),'Data Base'!AE16,IF(EXACT($E$4,'Data Base'!$AH$9),'Data Base'!AH16,IF(EXACT($E$4,'Data Base'!$AK$9),'Data Base'!#REF!,IF(EXACT($E$4,'Data Base'!$AN$9),'Data Base'!AN16,))))))</f>
        <v>0</v>
      </c>
      <c r="J14" s="1918"/>
      <c r="K14" s="323" t="str">
        <f>IF(EXACT(I14,0),"",'Data Base'!B74)</f>
        <v/>
      </c>
      <c r="L14" s="311"/>
      <c r="M14" s="311"/>
      <c r="N14" s="1929"/>
      <c r="O14" s="1847"/>
      <c r="P14" s="1848"/>
    </row>
    <row r="15" spans="1:19" ht="25.5" customHeight="1">
      <c r="A15" s="1958"/>
      <c r="B15" s="1959"/>
      <c r="C15" s="1959"/>
      <c r="D15" s="1959"/>
      <c r="E15" s="1959"/>
      <c r="F15" s="1959"/>
      <c r="G15" s="1959"/>
      <c r="H15" s="318">
        <v>8</v>
      </c>
      <c r="I15" s="1917">
        <f>IF(EXACT($E$4,'Data Base'!$Y$9),'Data Base'!Y17,IF(EXACT($E$4,'Data Base'!$AB$9),'Data Base'!AB17,IF(EXACT($E$4,'Data Base'!$AE$9),'Data Base'!AE17,IF(EXACT($E$4,'Data Base'!$AH$9),'Data Base'!AH17,IF(EXACT($E$4,'Data Base'!$AK$9),'Data Base'!AK16,IF(EXACT($E$4,'Data Base'!$AN$9),'Data Base'!AN17,))))))</f>
        <v>0</v>
      </c>
      <c r="J15" s="1918"/>
      <c r="K15" s="323" t="str">
        <f>IF(EXACT(I15,0),"",'Data Base'!B74)</f>
        <v/>
      </c>
      <c r="L15" s="311"/>
      <c r="M15" s="311"/>
      <c r="N15" s="1929"/>
      <c r="O15" s="1847"/>
      <c r="P15" s="1848"/>
    </row>
    <row r="16" spans="1:19" ht="25.5" customHeight="1">
      <c r="A16" s="1958"/>
      <c r="B16" s="1959"/>
      <c r="C16" s="1959"/>
      <c r="D16" s="1959"/>
      <c r="E16" s="1959"/>
      <c r="F16" s="1959"/>
      <c r="G16" s="1959"/>
      <c r="H16" s="318">
        <v>9</v>
      </c>
      <c r="I16" s="1917">
        <f>IF(EXACT($E$4,'Data Base'!$Y$9),'Data Base'!Y18,IF(EXACT($E$4,'Data Base'!$AB$9),'Data Base'!AB18,IF(EXACT($E$4,'Data Base'!$AE$9),'Data Base'!AE18,IF(EXACT($E$4,'Data Base'!$AH$9),'Data Base'!AH18,IF(EXACT($E$4,'Data Base'!$AK$9),'Data Base'!AK18,IF(EXACT($E$4,'Data Base'!$AN$9),'Data Base'!AN18,))))))</f>
        <v>0</v>
      </c>
      <c r="J16" s="1918"/>
      <c r="K16" s="323" t="str">
        <f>IF(EXACT(I16,0),"",'Data Base'!B74)</f>
        <v/>
      </c>
      <c r="L16" s="311"/>
      <c r="M16" s="311"/>
      <c r="N16" s="1929"/>
      <c r="O16" s="1847"/>
      <c r="P16" s="1848"/>
    </row>
    <row r="17" spans="1:16" ht="25.5" customHeight="1">
      <c r="A17" s="1960"/>
      <c r="B17" s="1961"/>
      <c r="C17" s="1961"/>
      <c r="D17" s="1961"/>
      <c r="E17" s="1961"/>
      <c r="F17" s="1961"/>
      <c r="G17" s="1961"/>
      <c r="H17" s="319">
        <v>10</v>
      </c>
      <c r="I17" s="1930">
        <f>IF(EXACT($E$4,'Data Base'!$Y$9),'Data Base'!Y19,IF(EXACT($E$4,'Data Base'!$AB$9),'Data Base'!AB19,IF(EXACT($E$4,'Data Base'!$AE$9),'Data Base'!AE19,IF(EXACT($E$4,'Data Base'!$AH$9),'Data Base'!AH19,IF(EXACT($E$4,'Data Base'!$AK$9),'Data Base'!AK19,IF(EXACT($E$4,'Data Base'!$AN$9),'Data Base'!AN19,))))))</f>
        <v>0</v>
      </c>
      <c r="J17" s="1931"/>
      <c r="K17" s="323" t="str">
        <f>IF(EXACT(I17,0),"",'Data Base'!B74)</f>
        <v/>
      </c>
      <c r="L17" s="322"/>
      <c r="M17" s="322"/>
      <c r="N17" s="1924"/>
      <c r="O17" s="1925"/>
      <c r="P17" s="1926"/>
    </row>
    <row r="18" spans="1:16" ht="67.5" customHeight="1">
      <c r="A18" s="1921" t="s">
        <v>911</v>
      </c>
      <c r="B18" s="1922"/>
      <c r="C18" s="1922"/>
      <c r="D18" s="1922"/>
      <c r="E18" s="1922"/>
      <c r="F18" s="1922"/>
      <c r="G18" s="1922"/>
      <c r="H18" s="1922"/>
      <c r="I18" s="1922"/>
      <c r="J18" s="1922"/>
      <c r="K18" s="1922"/>
      <c r="L18" s="1922"/>
      <c r="M18" s="1922"/>
      <c r="N18" s="1922"/>
      <c r="O18" s="1922"/>
      <c r="P18" s="1923"/>
    </row>
    <row r="19" spans="1:16" ht="28.5" customHeight="1">
      <c r="A19" s="299"/>
      <c r="B19" s="299"/>
      <c r="C19" s="299"/>
      <c r="D19" s="299"/>
      <c r="E19" s="299"/>
      <c r="F19" s="299"/>
      <c r="G19" s="299"/>
    </row>
    <row r="20" spans="1:16">
      <c r="A20" s="299"/>
      <c r="B20" s="299"/>
      <c r="C20" s="299"/>
      <c r="D20" s="299"/>
      <c r="E20" s="299"/>
      <c r="F20" s="299"/>
      <c r="G20" s="299"/>
    </row>
    <row r="21" spans="1:16">
      <c r="A21" s="320"/>
      <c r="B21" s="320"/>
      <c r="C21" s="320"/>
      <c r="D21" s="320"/>
      <c r="E21" s="320"/>
      <c r="F21" s="320"/>
      <c r="G21" s="320"/>
    </row>
  </sheetData>
  <sheetProtection algorithmName="SHA-512" hashValue="thafM/puGgSUIDh7sEwl7j+7fOQCnW7DH6K62DjAdUhFVV0wLxkF4hnSjytEhIQZ/27QPyYWVt1XNWQ0sx/HQw==" saltValue="MPvVGHp4f+3nxffTFF2Apw==" spinCount="100000" sheet="1" objects="1" scenarios="1" selectLockedCells="1"/>
  <mergeCells count="49">
    <mergeCell ref="A14:G17"/>
    <mergeCell ref="D9:G9"/>
    <mergeCell ref="D10:G10"/>
    <mergeCell ref="D11:G11"/>
    <mergeCell ref="D12:G12"/>
    <mergeCell ref="A11:C11"/>
    <mergeCell ref="A12:C12"/>
    <mergeCell ref="M6:M7"/>
    <mergeCell ref="L6:L7"/>
    <mergeCell ref="K6:K7"/>
    <mergeCell ref="I6:J7"/>
    <mergeCell ref="A8:B8"/>
    <mergeCell ref="C8:G8"/>
    <mergeCell ref="I8:J8"/>
    <mergeCell ref="O4:P4"/>
    <mergeCell ref="N8:P8"/>
    <mergeCell ref="N9:P9"/>
    <mergeCell ref="N10:P10"/>
    <mergeCell ref="N13:P13"/>
    <mergeCell ref="N12:P12"/>
    <mergeCell ref="N11:P11"/>
    <mergeCell ref="N6:P7"/>
    <mergeCell ref="I9:J9"/>
    <mergeCell ref="A9:C9"/>
    <mergeCell ref="A6:G7"/>
    <mergeCell ref="H6:H7"/>
    <mergeCell ref="A10:C10"/>
    <mergeCell ref="I10:J10"/>
    <mergeCell ref="A1:A2"/>
    <mergeCell ref="B1:G1"/>
    <mergeCell ref="A18:P18"/>
    <mergeCell ref="N17:P17"/>
    <mergeCell ref="A13:G13"/>
    <mergeCell ref="N14:P14"/>
    <mergeCell ref="N15:P15"/>
    <mergeCell ref="N16:P16"/>
    <mergeCell ref="I16:J16"/>
    <mergeCell ref="I17:J17"/>
    <mergeCell ref="B4:D4"/>
    <mergeCell ref="I1:K1"/>
    <mergeCell ref="I2:K2"/>
    <mergeCell ref="J4:K4"/>
    <mergeCell ref="B2:H2"/>
    <mergeCell ref="E4:H4"/>
    <mergeCell ref="I11:J11"/>
    <mergeCell ref="I12:J12"/>
    <mergeCell ref="I13:J13"/>
    <mergeCell ref="I14:J14"/>
    <mergeCell ref="I15:J15"/>
  </mergeCells>
  <conditionalFormatting sqref="D9:G12">
    <cfRule type="containsErrors" dxfId="30" priority="2">
      <formula>ISERROR(D9)</formula>
    </cfRule>
  </conditionalFormatting>
  <conditionalFormatting sqref="L1:L2 N1:P2">
    <cfRule type="cellIs" dxfId="29" priority="1" operator="equal">
      <formula>0</formula>
    </cfRule>
  </conditionalFormatting>
  <dataValidations count="1">
    <dataValidation type="list" allowBlank="1" showInputMessage="1" showErrorMessage="1" sqref="I5:J5">
      <formula1>$S$4:$X$4</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لطفا از موارد لیست شده انتخاب نمایید.">
          <x14:formula1>
            <xm:f>'Data Base'!$B$73:$B$74</xm:f>
          </x14:formula1>
          <xm:sqref>K9</xm:sqref>
        </x14:dataValidation>
        <x14:dataValidation type="list" allowBlank="1" showInputMessage="1" showErrorMessage="1" errorTitle="خطا در ورود اطلاعات" error="لطفا از موارد ليست شده انتخاب نماييد">
          <x14:formula1>
            <xm:f>'Data Base'!$C$73:$C$74</xm:f>
          </x14:formula1>
          <xm:sqref>A14:G17</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L8:L17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159"/>
  <sheetViews>
    <sheetView rightToLeft="1" view="pageBreakPreview" zoomScaleNormal="130" zoomScaleSheetLayoutView="100" workbookViewId="0">
      <selection activeCell="G102" sqref="G102"/>
    </sheetView>
  </sheetViews>
  <sheetFormatPr defaultColWidth="9" defaultRowHeight="15"/>
  <cols>
    <col min="1" max="1" width="4.5703125" style="406" customWidth="1"/>
    <col min="2" max="2" width="10.85546875" style="406" customWidth="1"/>
    <col min="3" max="3" width="17.28515625" style="406" customWidth="1"/>
    <col min="4" max="4" width="3.7109375" style="406" customWidth="1"/>
    <col min="5" max="5" width="7.42578125" style="406" customWidth="1"/>
    <col min="6" max="6" width="7" style="406" customWidth="1"/>
    <col min="7" max="9" width="7.28515625" style="406" customWidth="1"/>
    <col min="10" max="10" width="5.5703125" style="406" customWidth="1"/>
    <col min="11" max="11" width="11.85546875" style="407" customWidth="1"/>
    <col min="12" max="14" width="15.42578125" style="407" customWidth="1"/>
    <col min="15" max="18" width="15.42578125" style="406" customWidth="1"/>
    <col min="19" max="16384" width="9" style="406"/>
  </cols>
  <sheetData>
    <row r="1" spans="1:18" ht="20.25">
      <c r="I1" s="498">
        <f>'فرم الف'!M4</f>
        <v>0</v>
      </c>
      <c r="J1" s="498">
        <f>'فرم الف'!N4</f>
        <v>0</v>
      </c>
      <c r="K1" s="499">
        <f>'فرم الف'!O4</f>
        <v>0</v>
      </c>
      <c r="L1" s="408"/>
      <c r="M1" s="408"/>
      <c r="N1" s="408"/>
      <c r="O1" s="409"/>
      <c r="P1" s="409"/>
      <c r="Q1" s="409"/>
      <c r="R1" s="409"/>
    </row>
    <row r="2" spans="1:18" ht="32.25">
      <c r="A2" s="2038" t="s">
        <v>674</v>
      </c>
      <c r="B2" s="2039"/>
      <c r="C2" s="2039"/>
      <c r="D2" s="2039"/>
      <c r="E2" s="2039"/>
      <c r="F2" s="2039"/>
      <c r="G2" s="2039"/>
      <c r="H2" s="2039"/>
      <c r="I2" s="2039"/>
      <c r="J2" s="2039"/>
      <c r="K2" s="2039"/>
      <c r="L2" s="408"/>
      <c r="M2" s="408"/>
      <c r="N2" s="408"/>
      <c r="O2" s="409"/>
      <c r="P2" s="409"/>
      <c r="Q2" s="409"/>
      <c r="R2" s="409"/>
    </row>
    <row r="3" spans="1:18" ht="15" customHeight="1">
      <c r="G3" s="2043"/>
      <c r="H3" s="2043"/>
      <c r="I3" s="496"/>
      <c r="J3" s="495"/>
      <c r="K3" s="497"/>
      <c r="L3" s="408"/>
      <c r="M3" s="408"/>
      <c r="N3" s="408"/>
      <c r="O3" s="409"/>
      <c r="P3" s="409"/>
      <c r="Q3" s="409"/>
      <c r="R3" s="409"/>
    </row>
    <row r="4" spans="1:18" ht="48" customHeight="1">
      <c r="A4" s="2040" t="s">
        <v>675</v>
      </c>
      <c r="B4" s="2040"/>
      <c r="C4" s="2040"/>
      <c r="D4" s="2040"/>
      <c r="E4" s="2041" t="str">
        <f>IF(EXACT('فرم الف'!B5,'Data Base'!A32),'Data Base'!A34,IF(EXACT('فرم الف'!B5,'Data Base'!B32),'Data Base'!A34,IF(EXACT('فرم الف'!B5,'Data Base'!C32),'Data Base'!A34,IF(EXACT('فرم الف'!B5,'Data Base'!D32),'Data Base'!A34,IF(EXACT('فرم الف'!B5,'Data Base'!E32),'Data Base'!E34,IF(EXACT('فرم الف'!B5,'Data Base'!F32),'Data Base'!F34,IF(EXACT('فرم الف'!B5,'Data Base'!G32),'Data Base'!F34,IF(EXACT('فرم الف'!B5,'Data Base'!H32),'Data Base'!H34,IF(EXACT('فرم الف'!B5,'Data Base'!I32),'Data Base'!H34,IF(EXACT('فرم الف'!B5,'Data Base'!J32),'Data Base'!J34,IF(EXACT('فرم الف'!B5,'Data Base'!K32),'Data Base'!J34,IF(EXACT('فرم الف'!B5,'Data Base'!L32),'Data Base'!L34,IF(EXACT('فرم الف'!B5,'Data Base'!M32),'Data Base'!L34,"")))))))))))))</f>
        <v/>
      </c>
      <c r="F4" s="2041"/>
      <c r="G4" s="2041"/>
      <c r="H4" s="2041"/>
      <c r="I4" s="2041"/>
      <c r="J4" s="2042" t="s">
        <v>676</v>
      </c>
      <c r="K4" s="2042"/>
      <c r="L4" s="408"/>
      <c r="M4" s="408"/>
      <c r="N4" s="408"/>
      <c r="O4" s="409"/>
      <c r="P4" s="409"/>
      <c r="Q4" s="409"/>
      <c r="R4" s="409"/>
    </row>
    <row r="5" spans="1:18" ht="24" customHeight="1">
      <c r="A5" s="2033" t="s">
        <v>677</v>
      </c>
      <c r="B5" s="2033"/>
      <c r="C5" s="2032" t="str">
        <f>E4</f>
        <v/>
      </c>
      <c r="D5" s="2032"/>
      <c r="E5" s="2033" t="s">
        <v>678</v>
      </c>
      <c r="F5" s="2033"/>
      <c r="G5" s="2032">
        <f>'فرم ب - 3'!A8</f>
        <v>0</v>
      </c>
      <c r="H5" s="2032"/>
      <c r="I5" s="2033" t="s">
        <v>679</v>
      </c>
      <c r="J5" s="2033"/>
      <c r="K5" s="2033"/>
      <c r="L5" s="410"/>
      <c r="M5" s="408"/>
      <c r="N5" s="408"/>
      <c r="O5" s="409"/>
      <c r="P5" s="409"/>
      <c r="Q5" s="409"/>
      <c r="R5" s="409"/>
    </row>
    <row r="6" spans="1:18" ht="24" customHeight="1">
      <c r="A6" s="2033" t="s">
        <v>680</v>
      </c>
      <c r="B6" s="2033"/>
      <c r="C6" s="2036">
        <f>'فرم الف'!A9</f>
        <v>0</v>
      </c>
      <c r="D6" s="2037"/>
      <c r="E6" s="2033" t="s">
        <v>937</v>
      </c>
      <c r="F6" s="2033"/>
      <c r="G6" s="2033"/>
      <c r="H6" s="2032" t="str">
        <f>'فرم الف'!K2</f>
        <v/>
      </c>
      <c r="I6" s="2032"/>
      <c r="J6" s="2033" t="s">
        <v>681</v>
      </c>
      <c r="K6" s="2033"/>
      <c r="L6" s="408"/>
      <c r="M6" s="408"/>
      <c r="N6" s="408"/>
      <c r="O6" s="409"/>
      <c r="P6" s="409"/>
      <c r="Q6" s="409"/>
      <c r="R6" s="409"/>
    </row>
    <row r="7" spans="1:18" ht="24" customHeight="1">
      <c r="A7" s="2034" t="s">
        <v>682</v>
      </c>
      <c r="B7" s="2034"/>
      <c r="C7" s="1508">
        <f>'فرم الف'!B5</f>
        <v>0</v>
      </c>
      <c r="D7" s="1508"/>
      <c r="E7" s="1508"/>
      <c r="F7" s="2035" t="s">
        <v>683</v>
      </c>
      <c r="G7" s="2035"/>
      <c r="H7" s="2035"/>
      <c r="I7" s="2035"/>
      <c r="J7" s="2035"/>
      <c r="K7" s="2035"/>
      <c r="L7" s="410"/>
      <c r="M7" s="408"/>
      <c r="N7" s="408"/>
      <c r="O7" s="409"/>
      <c r="P7" s="409"/>
      <c r="Q7" s="409"/>
      <c r="R7" s="409"/>
    </row>
    <row r="8" spans="1:18" ht="34.5" customHeight="1" thickBot="1">
      <c r="A8" s="411"/>
      <c r="B8" s="411"/>
      <c r="C8" s="411"/>
      <c r="D8" s="411"/>
      <c r="E8" s="411"/>
      <c r="F8" s="411"/>
      <c r="G8" s="411"/>
      <c r="H8" s="411"/>
      <c r="I8" s="411"/>
      <c r="J8" s="411"/>
      <c r="K8" s="411"/>
      <c r="L8" s="410"/>
      <c r="M8" s="408"/>
      <c r="N8" s="408"/>
      <c r="O8" s="409"/>
      <c r="P8" s="409"/>
      <c r="Q8" s="409"/>
      <c r="R8" s="409"/>
    </row>
    <row r="9" spans="1:18" ht="63" customHeight="1" thickBot="1">
      <c r="A9" s="412" t="s">
        <v>684</v>
      </c>
      <c r="B9" s="1967" t="s">
        <v>685</v>
      </c>
      <c r="C9" s="1967"/>
      <c r="D9" s="1967"/>
      <c r="E9" s="1967"/>
      <c r="F9" s="474" t="s">
        <v>686</v>
      </c>
      <c r="G9" s="474" t="s">
        <v>687</v>
      </c>
      <c r="H9" s="474" t="s">
        <v>688</v>
      </c>
      <c r="I9" s="474" t="s">
        <v>689</v>
      </c>
      <c r="J9" s="474" t="s">
        <v>690</v>
      </c>
      <c r="K9" s="413" t="s">
        <v>14</v>
      </c>
      <c r="L9" s="408"/>
      <c r="M9" s="408"/>
      <c r="N9" s="408"/>
      <c r="O9" s="409"/>
      <c r="P9" s="409"/>
      <c r="Q9" s="409"/>
      <c r="R9" s="409"/>
    </row>
    <row r="10" spans="1:18" ht="24" customHeight="1">
      <c r="A10" s="2023" t="s">
        <v>692</v>
      </c>
      <c r="B10" s="1975" t="s">
        <v>714</v>
      </c>
      <c r="C10" s="1976"/>
      <c r="D10" s="1976"/>
      <c r="E10" s="1976"/>
      <c r="F10" s="414">
        <f ca="1">'بند1-1تدوين كتاب در حوزه فرهنگي'!R26</f>
        <v>0</v>
      </c>
      <c r="G10" s="414">
        <f ca="1">'بند1-1تدوين كتاب در حوزه فرهنگي'!R26</f>
        <v>0</v>
      </c>
      <c r="H10" s="414">
        <f>'بند1-1تدوين كتاب در حوزه فرهنگي'!S26</f>
        <v>0</v>
      </c>
      <c r="I10" s="415"/>
      <c r="J10" s="415"/>
      <c r="K10" s="416"/>
      <c r="L10" s="408"/>
      <c r="M10" s="408"/>
      <c r="N10" s="408"/>
      <c r="O10" s="409"/>
      <c r="P10" s="409"/>
      <c r="Q10" s="409"/>
      <c r="R10" s="409"/>
    </row>
    <row r="11" spans="1:18" ht="24" customHeight="1">
      <c r="A11" s="2024"/>
      <c r="B11" s="1968" t="s">
        <v>708</v>
      </c>
      <c r="C11" s="1969"/>
      <c r="D11" s="1969"/>
      <c r="E11" s="1969"/>
      <c r="F11" s="477">
        <f>'بند1-2تهيه و تدوين پيوست فرهنگي'!R16</f>
        <v>0</v>
      </c>
      <c r="G11" s="477">
        <f>'بند1-2تهيه و تدوين پيوست فرهنگي'!R16</f>
        <v>0</v>
      </c>
      <c r="H11" s="802">
        <f>'بند1-2تهيه و تدوين پيوست فرهنگي'!S16</f>
        <v>0</v>
      </c>
      <c r="I11" s="476"/>
      <c r="J11" s="476"/>
      <c r="K11" s="417"/>
      <c r="L11" s="408"/>
      <c r="M11" s="408"/>
      <c r="N11" s="408"/>
      <c r="O11" s="409"/>
      <c r="P11" s="409"/>
      <c r="Q11" s="409"/>
      <c r="R11" s="409"/>
    </row>
    <row r="12" spans="1:18" ht="24" customHeight="1">
      <c r="A12" s="2024"/>
      <c r="B12" s="1968" t="s">
        <v>709</v>
      </c>
      <c r="C12" s="1969"/>
      <c r="D12" s="1969"/>
      <c r="E12" s="1969"/>
      <c r="F12" s="477">
        <f ca="1">'بند1-3مشاوره فرهنگي يا همكاري..'!R16</f>
        <v>0</v>
      </c>
      <c r="G12" s="477">
        <f ca="1">'بند1-3مشاوره فرهنگي يا همكاري..'!R16</f>
        <v>0</v>
      </c>
      <c r="H12" s="802">
        <f>'بند1-3مشاوره فرهنگي يا همكاري..'!S16</f>
        <v>0</v>
      </c>
      <c r="I12" s="476"/>
      <c r="J12" s="476"/>
      <c r="K12" s="417"/>
      <c r="L12" s="408"/>
      <c r="M12" s="408"/>
      <c r="N12" s="408"/>
      <c r="O12" s="409"/>
      <c r="P12" s="409"/>
      <c r="Q12" s="409"/>
      <c r="R12" s="409"/>
    </row>
    <row r="13" spans="1:18" ht="24" customHeight="1">
      <c r="A13" s="2024"/>
      <c r="B13" s="1968" t="s">
        <v>710</v>
      </c>
      <c r="C13" s="1969"/>
      <c r="D13" s="1969"/>
      <c r="E13" s="1969"/>
      <c r="F13" s="477">
        <f>'بند1-4استاد مشاور فرهنگي'!L16</f>
        <v>0</v>
      </c>
      <c r="G13" s="477">
        <f>'بند1-4استاد مشاور فرهنگي'!R16</f>
        <v>0</v>
      </c>
      <c r="H13" s="802">
        <f>'بند1-4استاد مشاور فرهنگي'!S16</f>
        <v>0</v>
      </c>
      <c r="I13" s="476">
        <v>5</v>
      </c>
      <c r="J13" s="476"/>
      <c r="K13" s="417"/>
      <c r="L13" s="408"/>
      <c r="M13" s="408"/>
      <c r="N13" s="408"/>
      <c r="O13" s="409"/>
      <c r="P13" s="409"/>
      <c r="Q13" s="409"/>
      <c r="R13" s="409"/>
    </row>
    <row r="14" spans="1:18" ht="24" customHeight="1">
      <c r="A14" s="2024"/>
      <c r="B14" s="1968" t="s">
        <v>778</v>
      </c>
      <c r="C14" s="1969"/>
      <c r="D14" s="1969"/>
      <c r="E14" s="1969"/>
      <c r="F14" s="477">
        <f>'بند1-5مسئوليت پذيري در اصلاح و '!L26</f>
        <v>0</v>
      </c>
      <c r="G14" s="477">
        <f>'بند1-5مسئوليت پذيري در اصلاح و '!R26</f>
        <v>0</v>
      </c>
      <c r="H14" s="802">
        <f>'بند1-5مسئوليت پذيري در اصلاح و '!S26</f>
        <v>0</v>
      </c>
      <c r="I14" s="476">
        <v>8</v>
      </c>
      <c r="J14" s="476"/>
      <c r="K14" s="417"/>
      <c r="L14" s="408"/>
      <c r="M14" s="408"/>
      <c r="N14" s="408"/>
      <c r="O14" s="409"/>
      <c r="P14" s="409"/>
      <c r="Q14" s="409"/>
      <c r="R14" s="409"/>
    </row>
    <row r="15" spans="1:18" ht="24" customHeight="1">
      <c r="A15" s="2024"/>
      <c r="B15" s="1968" t="s">
        <v>711</v>
      </c>
      <c r="C15" s="1969"/>
      <c r="D15" s="1969"/>
      <c r="E15" s="1969"/>
      <c r="F15" s="477">
        <f>'بند1-6استمرار در تقيد و پايبندي'!L16</f>
        <v>0</v>
      </c>
      <c r="G15" s="477">
        <f>'بند1-6استمرار در تقيد و پايبندي'!R16</f>
        <v>0</v>
      </c>
      <c r="H15" s="802">
        <f>'بند1-6استمرار در تقيد و پايبندي'!S16</f>
        <v>0</v>
      </c>
      <c r="I15" s="476">
        <v>5</v>
      </c>
      <c r="J15" s="476"/>
      <c r="K15" s="417"/>
      <c r="L15" s="408"/>
      <c r="M15" s="408"/>
      <c r="N15" s="408"/>
      <c r="O15" s="409"/>
      <c r="P15" s="409"/>
      <c r="Q15" s="409"/>
      <c r="R15" s="409"/>
    </row>
    <row r="16" spans="1:18" ht="24" customHeight="1">
      <c r="A16" s="2024"/>
      <c r="B16" s="1968" t="s">
        <v>712</v>
      </c>
      <c r="C16" s="1969"/>
      <c r="D16" s="1969"/>
      <c r="E16" s="1969"/>
      <c r="F16" s="477">
        <f>'بند1-7كسب جوايز فرهنگي...'!K16</f>
        <v>0</v>
      </c>
      <c r="G16" s="477">
        <f>'بند1-7كسب جوايز فرهنگي...'!R16</f>
        <v>0</v>
      </c>
      <c r="H16" s="802">
        <f>'بند1-7كسب جوايز فرهنگي...'!S16</f>
        <v>0</v>
      </c>
      <c r="I16" s="476">
        <v>8</v>
      </c>
      <c r="J16" s="476"/>
      <c r="K16" s="417"/>
      <c r="L16" s="408"/>
      <c r="M16" s="408"/>
      <c r="N16" s="408"/>
      <c r="O16" s="409"/>
      <c r="P16" s="409"/>
      <c r="Q16" s="409"/>
      <c r="R16" s="409"/>
    </row>
    <row r="17" spans="1:18" ht="24" customHeight="1">
      <c r="A17" s="2024"/>
      <c r="B17" s="1968" t="s">
        <v>713</v>
      </c>
      <c r="C17" s="1969"/>
      <c r="D17" s="1969"/>
      <c r="E17" s="1969"/>
      <c r="F17" s="477">
        <f>'بند1-8طراحي و مشاركت فعالانه...'!L16</f>
        <v>0</v>
      </c>
      <c r="G17" s="477">
        <f>'بند1-8طراحي و مشاركت فعالانه...'!R16</f>
        <v>0</v>
      </c>
      <c r="H17" s="802">
        <f>'بند1-8طراحي و مشاركت فعالانه...'!S16</f>
        <v>0</v>
      </c>
      <c r="I17" s="476">
        <v>6</v>
      </c>
      <c r="J17" s="476"/>
      <c r="K17" s="417"/>
      <c r="L17" s="408"/>
      <c r="M17" s="408"/>
      <c r="N17" s="408"/>
      <c r="O17" s="409"/>
      <c r="P17" s="409"/>
      <c r="Q17" s="409"/>
      <c r="R17" s="409"/>
    </row>
    <row r="18" spans="1:18" ht="24" customHeight="1">
      <c r="A18" s="2024"/>
      <c r="B18" s="1968" t="s">
        <v>715</v>
      </c>
      <c r="C18" s="1969"/>
      <c r="D18" s="1969"/>
      <c r="E18" s="1969"/>
      <c r="F18" s="477">
        <f>'بند1-9شركت در كارگاه هاي دانش..'!L26</f>
        <v>0</v>
      </c>
      <c r="G18" s="477">
        <f>'بند1-9شركت در كارگاه هاي دانش..'!R26</f>
        <v>0</v>
      </c>
      <c r="H18" s="802">
        <f>'بند1-9شركت در كارگاه هاي دانش..'!S26</f>
        <v>0</v>
      </c>
      <c r="I18" s="476">
        <v>10</v>
      </c>
      <c r="J18" s="476"/>
      <c r="K18" s="417"/>
      <c r="L18" s="408"/>
      <c r="M18" s="408"/>
      <c r="N18" s="408"/>
      <c r="O18" s="409"/>
      <c r="P18" s="409"/>
      <c r="Q18" s="409"/>
      <c r="R18" s="409"/>
    </row>
    <row r="19" spans="1:18" ht="24" customHeight="1" thickBot="1">
      <c r="A19" s="2024"/>
      <c r="B19" s="1973" t="s">
        <v>716</v>
      </c>
      <c r="C19" s="1974"/>
      <c r="D19" s="1974"/>
      <c r="E19" s="1974"/>
      <c r="F19" s="418">
        <f>'بند1-10برگزاري نمايشگاه آثار و.'!L17</f>
        <v>0</v>
      </c>
      <c r="G19" s="418">
        <f>'بند1-10برگزاري نمايشگاه آثار و.'!R17</f>
        <v>0</v>
      </c>
      <c r="H19" s="418">
        <f>'بند1-10برگزاري نمايشگاه آثار و.'!S17</f>
        <v>0</v>
      </c>
      <c r="I19" s="419">
        <v>5</v>
      </c>
      <c r="J19" s="419"/>
      <c r="K19" s="420"/>
      <c r="L19" s="408"/>
      <c r="M19" s="408"/>
      <c r="N19" s="408"/>
      <c r="O19" s="409"/>
      <c r="P19" s="409"/>
      <c r="Q19" s="409"/>
      <c r="R19" s="409"/>
    </row>
    <row r="20" spans="1:18" ht="24" customHeight="1" thickBot="1">
      <c r="A20" s="2025"/>
      <c r="B20" s="2021" t="str">
        <f>IF(H20&lt;10,'Data Base'!K21,'Data Base'!K17)</f>
        <v>متقاضي حداقل امتياز لازم را از اين ماده كسب نكرده است!</v>
      </c>
      <c r="C20" s="2022"/>
      <c r="D20" s="2022"/>
      <c r="E20" s="2022"/>
      <c r="F20" s="421">
        <f ca="1">SUM(F10:F19)</f>
        <v>0</v>
      </c>
      <c r="G20" s="421">
        <f ca="1">SUM(G10:G19)</f>
        <v>0</v>
      </c>
      <c r="H20" s="421">
        <f>IF((SUM(H10:H19))&gt;30,30,SUM(H10:H19))</f>
        <v>0</v>
      </c>
      <c r="I20" s="422">
        <v>30</v>
      </c>
      <c r="J20" s="422">
        <v>10</v>
      </c>
      <c r="K20" s="423"/>
      <c r="L20" s="408"/>
      <c r="M20" s="408"/>
      <c r="N20" s="408"/>
      <c r="O20" s="409"/>
      <c r="P20" s="409"/>
      <c r="Q20" s="409"/>
      <c r="R20" s="409"/>
    </row>
    <row r="21" spans="1:18" ht="24" customHeight="1">
      <c r="A21" s="2023" t="s">
        <v>693</v>
      </c>
      <c r="B21" s="2030" t="s">
        <v>717</v>
      </c>
      <c r="C21" s="2031"/>
      <c r="D21" s="2031"/>
      <c r="E21" s="2031"/>
      <c r="F21" s="414">
        <f>'بند2-1رعایت نظم وانضباط درسی'!L7</f>
        <v>0</v>
      </c>
      <c r="G21" s="414">
        <f>'بند2-1رعایت نظم وانضباط درسی'!L7</f>
        <v>0</v>
      </c>
      <c r="H21" s="414">
        <f>'بند2-1رعایت نظم وانضباط درسی'!L7</f>
        <v>0</v>
      </c>
      <c r="I21" s="415">
        <v>7</v>
      </c>
      <c r="J21" s="415">
        <v>5</v>
      </c>
      <c r="K21" s="416"/>
      <c r="L21" s="408"/>
      <c r="M21" s="408"/>
      <c r="N21" s="408"/>
      <c r="O21" s="409"/>
      <c r="P21" s="409"/>
      <c r="Q21" s="409"/>
      <c r="R21" s="409"/>
    </row>
    <row r="22" spans="1:18" ht="24" customHeight="1">
      <c r="A22" s="2024"/>
      <c r="B22" s="2026" t="s">
        <v>694</v>
      </c>
      <c r="C22" s="2027"/>
      <c r="D22" s="2027"/>
      <c r="E22" s="2027"/>
      <c r="F22" s="477" t="str">
        <f>'بند2-2کیفیت تدریس'!G6</f>
        <v/>
      </c>
      <c r="G22" s="477" t="str">
        <f>'بند2-2کیفیت تدریس'!I6</f>
        <v/>
      </c>
      <c r="H22" s="477" t="str">
        <f>'بند2-2کیفیت تدریس'!J6</f>
        <v/>
      </c>
      <c r="I22" s="476">
        <v>8</v>
      </c>
      <c r="J22" s="476" t="s">
        <v>959</v>
      </c>
      <c r="K22" s="417"/>
      <c r="L22" s="408"/>
      <c r="M22" s="408"/>
      <c r="N22" s="408"/>
      <c r="O22" s="409"/>
      <c r="P22" s="409"/>
      <c r="Q22" s="409"/>
      <c r="R22" s="409"/>
    </row>
    <row r="23" spans="1:18" ht="24" customHeight="1">
      <c r="A23" s="2024"/>
      <c r="B23" s="2026" t="s">
        <v>718</v>
      </c>
      <c r="C23" s="2027"/>
      <c r="D23" s="2027"/>
      <c r="E23" s="2027"/>
      <c r="F23" s="477">
        <f>'بند 2-3کمیت تدریس'!I245</f>
        <v>0</v>
      </c>
      <c r="G23" s="477" t="str">
        <f>'بند 2-3کمیت تدریس'!M245</f>
        <v/>
      </c>
      <c r="H23" s="477" t="str">
        <f>'بند 2-3کمیت تدریس'!M245</f>
        <v/>
      </c>
      <c r="I23" s="476">
        <v>30</v>
      </c>
      <c r="J23" s="476">
        <v>15</v>
      </c>
      <c r="K23" s="424"/>
      <c r="L23" s="408"/>
      <c r="M23" s="408"/>
      <c r="N23" s="408"/>
      <c r="O23" s="409"/>
      <c r="P23" s="409"/>
      <c r="Q23" s="409"/>
      <c r="R23" s="409"/>
    </row>
    <row r="24" spans="1:18" ht="24" customHeight="1" thickBot="1">
      <c r="A24" s="2024"/>
      <c r="B24" s="2028" t="s">
        <v>957</v>
      </c>
      <c r="C24" s="2029"/>
      <c r="D24" s="2029"/>
      <c r="E24" s="2029"/>
      <c r="F24" s="418">
        <f>'بند2-4راهنمايي پروژه كارشناسي..'!L46</f>
        <v>0</v>
      </c>
      <c r="G24" s="418">
        <f>'بند2-4راهنمايي پروژه كارشناسي..'!R46</f>
        <v>0</v>
      </c>
      <c r="H24" s="418">
        <f>'بند2-4راهنمايي پروژه كارشناسي..'!S46</f>
        <v>0</v>
      </c>
      <c r="I24" s="419">
        <v>5</v>
      </c>
      <c r="J24" s="419"/>
      <c r="K24" s="420"/>
      <c r="L24" s="410"/>
      <c r="M24" s="408"/>
      <c r="N24" s="408"/>
      <c r="O24" s="409"/>
      <c r="P24" s="409"/>
      <c r="Q24" s="409"/>
      <c r="R24" s="409"/>
    </row>
    <row r="25" spans="1:18" ht="24" customHeight="1" thickBot="1">
      <c r="A25" s="2025"/>
      <c r="B25" s="2021" t="str">
        <f>IF(H25&lt;20,'Data Base'!K21,'Data Base'!K17)</f>
        <v>متقاضي حداقل امتياز لازم را از اين ماده كسب نكرده است!</v>
      </c>
      <c r="C25" s="2022"/>
      <c r="D25" s="2022"/>
      <c r="E25" s="2022"/>
      <c r="F25" s="421">
        <f>SUM(F21:F24)</f>
        <v>0</v>
      </c>
      <c r="G25" s="421">
        <f>IF((SUM(G21:G24))&gt;40,40,SUM(G21:G24))</f>
        <v>0</v>
      </c>
      <c r="H25" s="421">
        <f>IF((SUM(H21:H24))&gt;40,40,SUM(H21:H24))</f>
        <v>0</v>
      </c>
      <c r="I25" s="422">
        <v>40</v>
      </c>
      <c r="J25" s="422">
        <v>20</v>
      </c>
      <c r="K25" s="423"/>
      <c r="L25" s="410"/>
      <c r="M25" s="408"/>
      <c r="N25" s="408"/>
      <c r="O25" s="409"/>
      <c r="P25" s="409"/>
      <c r="Q25" s="409"/>
      <c r="R25" s="409"/>
    </row>
    <row r="26" spans="1:18" ht="24" customHeight="1" thickBot="1">
      <c r="B26" s="425"/>
      <c r="C26" s="425"/>
      <c r="D26" s="425"/>
      <c r="E26" s="425"/>
      <c r="F26" s="426"/>
      <c r="G26" s="426"/>
      <c r="H26" s="426"/>
      <c r="I26" s="427"/>
      <c r="J26" s="427"/>
      <c r="K26" s="428"/>
      <c r="L26" s="410"/>
      <c r="M26" s="408"/>
      <c r="N26" s="408"/>
      <c r="O26" s="409"/>
      <c r="P26" s="409"/>
      <c r="Q26" s="409"/>
      <c r="R26" s="409"/>
    </row>
    <row r="27" spans="1:18" ht="56.25" customHeight="1" thickBot="1">
      <c r="A27" s="412" t="s">
        <v>684</v>
      </c>
      <c r="B27" s="1967" t="s">
        <v>685</v>
      </c>
      <c r="C27" s="1967"/>
      <c r="D27" s="1967"/>
      <c r="E27" s="1967"/>
      <c r="F27" s="474" t="s">
        <v>686</v>
      </c>
      <c r="G27" s="474" t="s">
        <v>687</v>
      </c>
      <c r="H27" s="474" t="s">
        <v>688</v>
      </c>
      <c r="I27" s="474" t="s">
        <v>689</v>
      </c>
      <c r="J27" s="474" t="s">
        <v>690</v>
      </c>
      <c r="K27" s="413" t="s">
        <v>14</v>
      </c>
      <c r="L27" s="410"/>
      <c r="M27" s="408"/>
      <c r="N27" s="408"/>
      <c r="O27" s="409"/>
      <c r="P27" s="409"/>
      <c r="Q27" s="409"/>
      <c r="R27" s="409"/>
    </row>
    <row r="28" spans="1:18" ht="24" customHeight="1">
      <c r="A28" s="2070" t="s">
        <v>852</v>
      </c>
      <c r="B28" s="1975" t="s">
        <v>1123</v>
      </c>
      <c r="C28" s="1976"/>
      <c r="D28" s="1976"/>
      <c r="E28" s="1976"/>
      <c r="F28" s="414">
        <f ca="1">'بند3-1مقاله علمي پژوهشيJCRو...'!R306</f>
        <v>0</v>
      </c>
      <c r="G28" s="414">
        <f ca="1">'بند3-1مقاله علمي پژوهشيJCRو...'!R306</f>
        <v>0</v>
      </c>
      <c r="H28" s="414">
        <f ca="1">'بند3-1مقاله علمي پژوهشيJCRو...'!S306</f>
        <v>0</v>
      </c>
      <c r="I28" s="415"/>
      <c r="J28" s="429" t="s">
        <v>960</v>
      </c>
      <c r="K28" s="430" t="s">
        <v>17</v>
      </c>
      <c r="L28" s="410"/>
      <c r="M28" s="408"/>
      <c r="N28" s="408"/>
      <c r="O28" s="409"/>
      <c r="P28" s="409"/>
      <c r="Q28" s="409"/>
      <c r="R28" s="409"/>
    </row>
    <row r="29" spans="1:18" ht="24" customHeight="1">
      <c r="A29" s="2071"/>
      <c r="B29" s="1968" t="s">
        <v>719</v>
      </c>
      <c r="C29" s="1969"/>
      <c r="D29" s="1969"/>
      <c r="E29" s="1969"/>
      <c r="F29" s="477">
        <f>'بند3-2و3-3مقاله مروري و ترويجي'!H81</f>
        <v>0</v>
      </c>
      <c r="G29" s="477">
        <f>'بند3-2و3-3مقاله مروري و ترويجي'!R81</f>
        <v>0</v>
      </c>
      <c r="H29" s="477">
        <f>'بند3-2و3-3مقاله مروري و ترويجي'!S81</f>
        <v>0</v>
      </c>
      <c r="I29" s="476">
        <v>30</v>
      </c>
      <c r="J29" s="431"/>
      <c r="K29" s="2017" t="str">
        <f ca="1">IF(AND(('فرم الف'!E10='Data Base'!O34),G28&lt;25,G42&lt;8,SUM(G28,G35,G36,G37,G38,G40,G41,G44)&lt;30,G47&lt;65),'Data Base'!B89,IF(AND(('فرم الف'!E10='Data Base'!O34),G28&lt;25,G42&lt;8,SUM(G28,G35,G36,G37,G38,G40,G41,G44)&lt;30),'Data Base'!B90,IF(AND(('فرم الف'!E10='Data Base'!O34),G28&lt;25,G42&lt;8,G47&lt;65),'Data Base'!B91,IF(AND(('فرم الف'!E10='Data Base'!O34),G28&lt;25,SUM(G28,G35,G36,G37,G38,G40,G41,G44)&lt;30,G47&lt;65),'Data Base'!B92,IF(AND(('فرم الف'!E10='Data Base'!O34),G42&lt;8,SUM(G28,G35,G36,G37,G38,G40,G41,G44)&lt;30,G47&lt;65),'Data Base'!B93,IF(AND(('فرم الف'!E10='Data Base'!O34),G28&lt;25,G42&lt;8),'Data Base'!B94,IF(AND(('فرم الف'!E10='Data Base'!O34),G28&lt;25,SUM(G28,G35,G36,G37,G38,G40,G41,G44)&lt;30),'Data Base'!B95,IF(AND(('فرم الف'!E10='Data Base'!O34),G28&lt;25,G47&lt;65),'Data Base'!B96,IF(AND(('فرم الف'!E10='Data Base'!O34),G42&lt;8,SUM(G28,G35,G36,G37,G38,G40,G41,G44)&lt;30),'Data Base'!B97,IF(AND(('فرم الف'!E10='Data Base'!O34),G42&lt;8,G47&lt;65),'Data Base'!B98,IF(AND(('فرم الف'!E10='Data Base'!O34),SUM(G28,G35,G36,G37,G38,G40,G41,G44)&lt;30,G47&lt;65),'Data Base'!B99,IF(AND(('فرم الف'!E10='Data Base'!O34),G28&lt;25),'Data Base'!B100,IF(AND(('فرم الف'!E10='Data Base'!O34),G42&lt;8),'Data Base'!B101,IF(AND(('فرم الف'!E10='Data Base'!O34),G47&lt;65),'Data Base'!B102,IF(AND(('فرم الف'!E10='Data Base'!O34),SUM(G28,G35,G36,G37,G38,G40,G41,G44)&lt;30),'Data Base'!B103,IF(AND(('فرم الف'!E10='Data Base'!O35),G28&lt;25,G42&lt;8,SUM(G28,G35,G36,G37,G38,G40,G41,G44)&lt;30,G47&lt;65),'Data Base'!B89,IF(AND(('فرم الف'!E10='Data Base'!O35),G28&lt;25,G42&lt;8,SUM(G28,G35,G36,G37,G38,G40,G41,G44)&lt;30),'Data Base'!B90,IF(AND(('فرم الف'!E10='Data Base'!O35),G28&lt;25,G42&lt;8,G47&lt;65),'Data Base'!B91,IF(AND(('فرم الف'!E10='Data Base'!O35),G28&lt;25,SUM(G28,G35,G36,G37,G38,G40,G41,G44)&lt;30,G47&lt;65),'Data Base'!B92,IF(AND(('فرم الف'!E10='Data Base'!O35),G42&lt;8,SUM(G28,G35,G36,G37,G38,G40,G41,G44)&lt;30,G47&lt;65),'Data Base'!B93,IF(AND(('فرم الف'!E10='Data Base'!O35),G28&lt;25,G42&lt;8),'Data Base'!B94,IF(AND(('فرم الف'!E10='Data Base'!O35),G28&lt;25,SUM(G28,G35,G36,G37,G38,G40,G41,G44)&lt;30),'Data Base'!B95,IF(AND(('فرم الف'!E10='Data Base'!O35),G28&lt;25,G47&lt;65),'Data Base'!B96,IF(AND(('فرم الف'!E10='Data Base'!O35),G42&lt;8,SUM(G28,G35,G36,G37,G38,G40,G41,G44)&lt;30),'Data Base'!B97,IF(AND(('فرم الف'!E10='Data Base'!O35),G42&lt;8,G47&lt;65),'Data Base'!B98,IF(AND(('فرم الف'!E10='Data Base'!O35),SUM(G28,G35,G36,G37,G38,G40,G41,G44)&lt;30,G47&lt;65),'Data Base'!B99,IF(AND(('فرم الف'!E10='Data Base'!O35),G28&lt;25),'Data Base'!B100,IF(AND(('فرم الف'!E10='Data Base'!O35),G42&lt;8),'Data Base'!B101,IF(AND(('فرم الف'!E10='Data Base'!O35),G47&lt;65),'Data Base'!B102,IF(AND(('فرم الف'!E10='Data Base'!O35),SUM(G28,G35,G36,G37,G38,G40,G41,G44)&lt;30),'Data Base'!B103,'Data Base'!B104))))))))))))))))))))))))))))))</f>
        <v>متقاضی شرایط ارتقا را از این ماده دارا می باشد.</v>
      </c>
      <c r="L29" s="410"/>
      <c r="M29" s="408"/>
      <c r="N29" s="408"/>
      <c r="O29" s="409"/>
      <c r="P29" s="409"/>
      <c r="Q29" s="409"/>
      <c r="R29" s="409"/>
    </row>
    <row r="30" spans="1:18" ht="24" customHeight="1">
      <c r="A30" s="2071"/>
      <c r="B30" s="1968" t="s">
        <v>721</v>
      </c>
      <c r="C30" s="1969"/>
      <c r="D30" s="1969"/>
      <c r="E30" s="1969"/>
      <c r="F30" s="477">
        <f>'بند3-2و3-3مقاله مروري و ترويجي'!H82</f>
        <v>0</v>
      </c>
      <c r="G30" s="477">
        <f>'بند3-2و3-3مقاله مروري و ترويجي'!R82</f>
        <v>0</v>
      </c>
      <c r="H30" s="477">
        <f>'بند3-2و3-3مقاله مروري و ترويجي'!S82</f>
        <v>0</v>
      </c>
      <c r="I30" s="476">
        <v>9</v>
      </c>
      <c r="J30" s="431"/>
      <c r="K30" s="2017"/>
      <c r="L30" s="409"/>
      <c r="M30" s="408"/>
      <c r="N30" s="408"/>
      <c r="O30" s="409"/>
      <c r="P30" s="409"/>
      <c r="Q30" s="409"/>
      <c r="R30" s="409"/>
    </row>
    <row r="31" spans="1:18" ht="24" customHeight="1">
      <c r="A31" s="2071"/>
      <c r="B31" s="1968" t="s">
        <v>720</v>
      </c>
      <c r="C31" s="1969"/>
      <c r="D31" s="1969"/>
      <c r="E31" s="1969"/>
      <c r="F31" s="477">
        <f>'بند3-4مدخل چاپ شده در دانشنامه'!L16</f>
        <v>0</v>
      </c>
      <c r="G31" s="477">
        <f>'بند3-4مدخل چاپ شده در دانشنامه'!R16</f>
        <v>0</v>
      </c>
      <c r="H31" s="477">
        <f>'بند3-4مدخل چاپ شده در دانشنامه'!S16</f>
        <v>0</v>
      </c>
      <c r="I31" s="476">
        <v>8</v>
      </c>
      <c r="J31" s="431"/>
      <c r="K31" s="2017"/>
      <c r="L31" s="408"/>
      <c r="M31" s="408"/>
      <c r="N31" s="408"/>
      <c r="O31" s="409"/>
      <c r="P31" s="409"/>
      <c r="Q31" s="409"/>
      <c r="R31" s="409"/>
    </row>
    <row r="32" spans="1:18" ht="24" customHeight="1">
      <c r="A32" s="2071"/>
      <c r="B32" s="1968" t="s">
        <v>722</v>
      </c>
      <c r="C32" s="1969"/>
      <c r="D32" s="1969"/>
      <c r="E32" s="1969"/>
      <c r="F32" s="477">
        <f>'بند3-5و3-6مقاله علمی کامل وخلاص'!J506</f>
        <v>0</v>
      </c>
      <c r="G32" s="477">
        <f>'بند3-5و3-6مقاله علمی کامل وخلاص'!Q506</f>
        <v>0</v>
      </c>
      <c r="H32" s="477">
        <f>'بند3-5و3-6مقاله علمی کامل وخلاص'!R506</f>
        <v>0</v>
      </c>
      <c r="I32" s="476">
        <v>12</v>
      </c>
      <c r="J32" s="431"/>
      <c r="K32" s="2017"/>
      <c r="L32" s="408"/>
      <c r="M32" s="408"/>
      <c r="N32" s="408"/>
      <c r="O32" s="409"/>
      <c r="P32" s="409"/>
      <c r="Q32" s="409"/>
      <c r="R32" s="409"/>
    </row>
    <row r="33" spans="1:18" ht="24" customHeight="1">
      <c r="A33" s="2071"/>
      <c r="B33" s="1968" t="s">
        <v>723</v>
      </c>
      <c r="C33" s="1969"/>
      <c r="D33" s="1969"/>
      <c r="E33" s="1969"/>
      <c r="F33" s="477">
        <f>'بند3-5و3-6مقاله علمی کامل وخلاص'!J507</f>
        <v>0</v>
      </c>
      <c r="G33" s="477">
        <f>'بند3-5و3-6مقاله علمی کامل وخلاص'!Q507</f>
        <v>0</v>
      </c>
      <c r="H33" s="477">
        <f>'بند3-5و3-6مقاله علمی کامل وخلاص'!R507</f>
        <v>0</v>
      </c>
      <c r="I33" s="476">
        <v>5</v>
      </c>
      <c r="J33" s="431"/>
      <c r="K33" s="2017"/>
      <c r="L33" s="408"/>
      <c r="M33" s="408"/>
      <c r="N33" s="408"/>
      <c r="O33" s="409"/>
      <c r="P33" s="409"/>
      <c r="Q33" s="409"/>
      <c r="R33" s="409"/>
    </row>
    <row r="34" spans="1:18" ht="24" customHeight="1">
      <c r="A34" s="2071"/>
      <c r="B34" s="1968" t="s">
        <v>977</v>
      </c>
      <c r="C34" s="1969"/>
      <c r="D34" s="1969"/>
      <c r="E34" s="1969"/>
      <c r="F34" s="477">
        <f>'بند3-7مقاله مستخرج از رساله'!K16</f>
        <v>0</v>
      </c>
      <c r="G34" s="477">
        <f>'بند3-7مقاله مستخرج از رساله'!Q16</f>
        <v>0</v>
      </c>
      <c r="H34" s="477">
        <f>'بند3-7مقاله مستخرج از رساله'!R16</f>
        <v>0</v>
      </c>
      <c r="I34" s="476">
        <v>5</v>
      </c>
      <c r="J34" s="431"/>
      <c r="K34" s="2017"/>
      <c r="L34" s="408"/>
      <c r="M34" s="408"/>
      <c r="N34" s="408"/>
      <c r="O34" s="409"/>
      <c r="P34" s="409"/>
      <c r="Q34" s="409"/>
      <c r="R34" s="409"/>
    </row>
    <row r="35" spans="1:18" ht="24" customHeight="1">
      <c r="A35" s="2071"/>
      <c r="B35" s="1968" t="s">
        <v>724</v>
      </c>
      <c r="C35" s="1969"/>
      <c r="D35" s="1969"/>
      <c r="E35" s="1969"/>
      <c r="F35" s="477">
        <f>'بند3-8توليد دانش فني اختراع و..'!J26</f>
        <v>0</v>
      </c>
      <c r="G35" s="477">
        <f ca="1">IF(SUM('بند3-8توليد دانش فني اختراع و..'!S26:S27)&gt;50,50,SUM('بند3-8توليد دانش فني اختراع و..'!S26:S27))</f>
        <v>0</v>
      </c>
      <c r="H35" s="477">
        <f ca="1">IF(SUM('بند3-8توليد دانش فني اختراع و..'!T26:T27)&gt;50,50,SUM('بند3-8توليد دانش فني اختراع و..'!T26:T27))</f>
        <v>0</v>
      </c>
      <c r="I35" s="476">
        <v>50</v>
      </c>
      <c r="J35" s="431"/>
      <c r="K35" s="2017"/>
      <c r="L35" s="408"/>
      <c r="M35" s="408"/>
      <c r="N35" s="408"/>
      <c r="O35" s="409"/>
      <c r="P35" s="409"/>
      <c r="Q35" s="409"/>
      <c r="R35" s="409"/>
    </row>
    <row r="36" spans="1:18" ht="24" customHeight="1">
      <c r="A36" s="2071"/>
      <c r="B36" s="1968" t="s">
        <v>748</v>
      </c>
      <c r="C36" s="1969"/>
      <c r="D36" s="1969"/>
      <c r="E36" s="1969"/>
      <c r="F36" s="477">
        <f>'بند3-9-1و2گزارش علمي طرح پژوهشي'!O26</f>
        <v>0</v>
      </c>
      <c r="G36" s="477">
        <f>'بند3-9-1و2گزارش علمي طرح پژوهشي'!R26</f>
        <v>0</v>
      </c>
      <c r="H36" s="477">
        <f>'بند3-9-1و2گزارش علمي طرح پژوهشي'!S26</f>
        <v>0</v>
      </c>
      <c r="I36" s="476">
        <v>6</v>
      </c>
      <c r="J36" s="431"/>
      <c r="K36" s="2017"/>
      <c r="L36" s="408"/>
      <c r="M36" s="408"/>
      <c r="N36" s="408"/>
      <c r="O36" s="409"/>
      <c r="P36" s="409"/>
      <c r="Q36" s="409"/>
      <c r="R36" s="409"/>
    </row>
    <row r="37" spans="1:18" ht="24" customHeight="1" thickBot="1">
      <c r="A37" s="2071"/>
      <c r="B37" s="1968" t="s">
        <v>749</v>
      </c>
      <c r="C37" s="1969"/>
      <c r="D37" s="1969"/>
      <c r="E37" s="1969"/>
      <c r="F37" s="477">
        <f ca="1">'بند3-9-1و2گزارش علمي طرح پژوهشي'!R27</f>
        <v>0</v>
      </c>
      <c r="G37" s="477">
        <f ca="1">'بند3-9-1و2گزارش علمي طرح پژوهشي'!R27</f>
        <v>0</v>
      </c>
      <c r="H37" s="477">
        <f>'بند3-9-1و2گزارش علمي طرح پژوهشي'!S27</f>
        <v>0</v>
      </c>
      <c r="I37" s="476"/>
      <c r="J37" s="431"/>
      <c r="K37" s="2018"/>
      <c r="L37" s="408"/>
      <c r="M37" s="408"/>
      <c r="N37" s="408"/>
      <c r="O37" s="409"/>
      <c r="P37" s="409"/>
      <c r="Q37" s="409"/>
      <c r="R37" s="409"/>
    </row>
    <row r="38" spans="1:18" ht="24" customHeight="1">
      <c r="A38" s="2071"/>
      <c r="B38" s="1968" t="s">
        <v>725</v>
      </c>
      <c r="C38" s="1969"/>
      <c r="D38" s="1969"/>
      <c r="E38" s="1969"/>
      <c r="F38" s="477">
        <f>'بند3-10 اثر بديع و ارزنده'!K16</f>
        <v>0</v>
      </c>
      <c r="G38" s="477">
        <f>'بند3-10 اثر بديع و ارزنده'!Q16</f>
        <v>0</v>
      </c>
      <c r="H38" s="477">
        <f>'بند3-10 اثر بديع و ارزنده'!R16</f>
        <v>0</v>
      </c>
      <c r="I38" s="476">
        <v>30</v>
      </c>
      <c r="J38" s="431"/>
      <c r="K38" s="430" t="s">
        <v>622</v>
      </c>
      <c r="L38" s="408"/>
      <c r="M38" s="408"/>
      <c r="N38" s="408"/>
      <c r="O38" s="409"/>
      <c r="P38" s="409"/>
      <c r="Q38" s="409"/>
      <c r="R38" s="409"/>
    </row>
    <row r="39" spans="1:18" ht="24" customHeight="1">
      <c r="A39" s="2071"/>
      <c r="B39" s="1968" t="s">
        <v>726</v>
      </c>
      <c r="C39" s="1969"/>
      <c r="D39" s="1969"/>
      <c r="E39" s="1969"/>
      <c r="F39" s="477">
        <f>'بند3-11 ايجاد ظرفيت در جذب گرنت'!N21</f>
        <v>0</v>
      </c>
      <c r="G39" s="477">
        <f>'بند3-11 ايجاد ظرفيت در جذب گرنت'!R21</f>
        <v>0</v>
      </c>
      <c r="H39" s="477">
        <f>'بند3-11 ايجاد ظرفيت در جذب گرنت'!S21</f>
        <v>0</v>
      </c>
      <c r="I39" s="476">
        <v>12</v>
      </c>
      <c r="J39" s="431"/>
      <c r="K39" s="2017" t="str">
        <f ca="1">IF(AND(('فرم الف'!E10='Data Base'!O34),H28&lt;25,H42&lt;8,SUM(H28,H35,H36,H37,H38,H40,H41,H44)&lt;30,H47&lt;65),'Data Base'!B89,IF(AND(('فرم الف'!E10='Data Base'!O34),H28&lt;25,H42&lt;8,SUM(H28,H35,H36,H37,H38,H40,H41,H44)&lt;30),'Data Base'!B90,IF(AND(('فرم الف'!E10='Data Base'!O34),H28&lt;25,H42&lt;8,H47&lt;65),'Data Base'!B91,IF(AND(('فرم الف'!E10='Data Base'!O34),H28&lt;25,SUM(H28,H35,H36,H37,H38,H40,H41,H44)&lt;30,H47&lt;65),'Data Base'!B92,IF(AND(('فرم الف'!E10='Data Base'!O34),H42&lt;8,SUM(H28,H35,H36,H37,H38,H40,H41,H44)&lt;30,H47&lt;65),'Data Base'!B93,IF(AND(('فرم الف'!E10='Data Base'!O34),H28&lt;25,H42&lt;8),'Data Base'!B94,IF(AND(('فرم الف'!E10='Data Base'!O34),H28&lt;25,SUM(H28,H35,H36,H37,H38,H40,H41,H44)&lt;30),'Data Base'!B95,IF(AND(('فرم الف'!E10='Data Base'!O34),H28&lt;25,H47&lt;65),'Data Base'!B96,IF(AND(('فرم الف'!E10='Data Base'!O34),H42&lt;8,SUM(H28,H35,H36,H37,H38,H40,H41,H44)&lt;30),'Data Base'!B97,IF(AND(('فرم الف'!E10='Data Base'!O34),H42&lt;8,H47&lt;65),'Data Base'!B98,IF(AND(('فرم الف'!E10='Data Base'!O34),SUM(H28,H35,H36,H37,H38,H40,H41,H44)&lt;30,H47&lt;65),'Data Base'!B99,IF(AND(('فرم الف'!E10='Data Base'!O34),H28&lt;25),'Data Base'!B100,IF(AND(('فرم الف'!E10='Data Base'!O34),H42&lt;8),'Data Base'!B101,IF(AND(('فرم الف'!E10='Data Base'!O34),H47&lt;65),'Data Base'!B102,IF(AND(('فرم الف'!E10='Data Base'!O34),SUM(H28,H35,H36,H37,H38,H40,H41,H44)&lt;30),'Data Base'!B103,IF(AND(('فرم الف'!E10='Data Base'!O35),H28&lt;25,H42&lt;8,SUM(H28,H35,H36,H37,H38,H40,H41,H44)&lt;30,H47&lt;65),'Data Base'!B89,IF(AND(('فرم الف'!E10='Data Base'!O35),H28&lt;25,H42&lt;8,SUM(H28,H35,H36,H37,H38,H40,H41,H44)&lt;30),'Data Base'!B90,IF(AND(('فرم الف'!E10='Data Base'!O35),H28&lt;25,H42&lt;8,H47&lt;65),'Data Base'!B91,IF(AND(('فرم الف'!E10='Data Base'!O35),H28&lt;25,SUM(H28,H35,H36,H37,H38,H40,H41,H44)&lt;30,H47&lt;65),'Data Base'!B92,IF(AND(('فرم الف'!E10='Data Base'!O35),H42&lt;8,SUM(H28,H35,H36,H37,H38,H40,H41,H44)&lt;30,H47&lt;65),'Data Base'!B93,IF(AND(('فرم الف'!E10='Data Base'!O35),H28&lt;25,H42&lt;8),'Data Base'!B94,IF(AND(('فرم الف'!E10='Data Base'!O35),H28&lt;25,SUM(H28,H35,H36,H37,H38,H40,H41,H44)&lt;30),'Data Base'!B95,IF(AND(('فرم الف'!E10='Data Base'!O35),H28&lt;25,H47&lt;65),'Data Base'!B96,IF(AND(('فرم الف'!E10='Data Base'!O35),H42&lt;8,SUM(H28,H35,H36,H37,H38,H40,H41,H44)&lt;30),'Data Base'!B97,IF(AND(('فرم الف'!E10='Data Base'!O35),H42&lt;8,H47&lt;65),'Data Base'!B98,IF(AND(('فرم الف'!E10='Data Base'!O35),SUM(H28,H35,H36,H37,H38,H40,H41,H44)&lt;30,H47&lt;65),'Data Base'!B99,IF(AND(('فرم الف'!E10='Data Base'!O35),H28&lt;25),'Data Base'!B100,IF(AND(('فرم الف'!E10='Data Base'!O35),H42&lt;8),'Data Base'!B101,IF(AND(('فرم الف'!E10='Data Base'!O35),H47&lt;65),'Data Base'!B102,IF(AND(('فرم الف'!E10='Data Base'!O35),SUM(H28,H35,H36,H37,H38,H40,H41,H44)&lt;30),'Data Base'!B103,'Data Base'!B104))))))))))))))))))))))))))))))</f>
        <v>متقاضی شرایط ارتقا را از این ماده دارا می باشد.</v>
      </c>
      <c r="L39" s="408"/>
      <c r="M39" s="408"/>
      <c r="N39" s="408"/>
      <c r="O39" s="409"/>
      <c r="P39" s="409"/>
      <c r="Q39" s="409"/>
      <c r="R39" s="409"/>
    </row>
    <row r="40" spans="1:18" ht="24" customHeight="1">
      <c r="A40" s="2071"/>
      <c r="B40" s="1968" t="s">
        <v>850</v>
      </c>
      <c r="C40" s="1969"/>
      <c r="D40" s="1969"/>
      <c r="E40" s="1969"/>
      <c r="F40" s="1986">
        <f>SUM('بند3-12 تصنيف تاليف ترجمه كتاب'!R27,'بند3-12 تصنيف تاليف ترجمه كتاب'!R28,'بند3-12 تصنيف تاليف ترجمه كتاب'!J29:J30)</f>
        <v>0</v>
      </c>
      <c r="G40" s="477">
        <f>SUM('بند3-12 تصنيف تاليف ترجمه كتاب'!R27:R28)</f>
        <v>0</v>
      </c>
      <c r="H40" s="477">
        <f>SUM('بند3-12 تصنيف تاليف ترجمه كتاب'!S27:S28)</f>
        <v>0</v>
      </c>
      <c r="I40" s="476"/>
      <c r="J40" s="431"/>
      <c r="K40" s="2017"/>
      <c r="L40" s="408"/>
      <c r="M40" s="408"/>
      <c r="N40" s="408"/>
      <c r="O40" s="409"/>
      <c r="P40" s="409"/>
      <c r="Q40" s="409"/>
      <c r="R40" s="409"/>
    </row>
    <row r="41" spans="1:18" ht="24" customHeight="1">
      <c r="A41" s="2071"/>
      <c r="B41" s="1968" t="s">
        <v>851</v>
      </c>
      <c r="C41" s="1969"/>
      <c r="D41" s="1969"/>
      <c r="E41" s="1969"/>
      <c r="F41" s="1986"/>
      <c r="G41" s="477">
        <f>'بند3-12 تصنيف تاليف ترجمه كتاب'!R29</f>
        <v>0</v>
      </c>
      <c r="H41" s="477">
        <f>'بند3-12 تصنيف تاليف ترجمه كتاب'!S29</f>
        <v>0</v>
      </c>
      <c r="I41" s="476">
        <v>10</v>
      </c>
      <c r="J41" s="431"/>
      <c r="K41" s="2017"/>
      <c r="L41" s="408"/>
      <c r="M41" s="408"/>
      <c r="N41" s="408"/>
      <c r="O41" s="409"/>
      <c r="P41" s="409"/>
      <c r="Q41" s="409"/>
      <c r="R41" s="409"/>
    </row>
    <row r="42" spans="1:18" ht="24" customHeight="1">
      <c r="A42" s="2071"/>
      <c r="B42" s="1968" t="s">
        <v>728</v>
      </c>
      <c r="C42" s="1969"/>
      <c r="D42" s="1969"/>
      <c r="E42" s="1969"/>
      <c r="F42" s="477">
        <f>'بند3-13 راهنمايي پايان نامه'!K56</f>
        <v>0</v>
      </c>
      <c r="G42" s="1986">
        <f>'بند3-13 راهنمايي پايان نامه'!S56</f>
        <v>0</v>
      </c>
      <c r="H42" s="1986">
        <f>'بند3-13 راهنمايي پايان نامه'!T56</f>
        <v>0</v>
      </c>
      <c r="I42" s="2046">
        <v>25</v>
      </c>
      <c r="J42" s="2016" t="s">
        <v>961</v>
      </c>
      <c r="K42" s="2017"/>
      <c r="L42" s="408"/>
      <c r="M42" s="408"/>
      <c r="N42" s="408"/>
      <c r="O42" s="409"/>
      <c r="P42" s="409"/>
      <c r="Q42" s="409"/>
      <c r="R42" s="409"/>
    </row>
    <row r="43" spans="1:18" ht="24" customHeight="1">
      <c r="A43" s="2071"/>
      <c r="B43" s="1968" t="s">
        <v>731</v>
      </c>
      <c r="C43" s="1969"/>
      <c r="D43" s="1969"/>
      <c r="E43" s="1969"/>
      <c r="F43" s="477">
        <f>'بند3-13 راهنمايي پايان نامه'!K57</f>
        <v>0</v>
      </c>
      <c r="G43" s="1986"/>
      <c r="H43" s="1986"/>
      <c r="I43" s="2046"/>
      <c r="J43" s="2016"/>
      <c r="K43" s="2017"/>
      <c r="L43" s="408"/>
      <c r="M43" s="408"/>
      <c r="N43" s="408"/>
      <c r="O43" s="409"/>
      <c r="P43" s="409"/>
      <c r="Q43" s="409"/>
      <c r="R43" s="409"/>
    </row>
    <row r="44" spans="1:18" ht="24" customHeight="1">
      <c r="A44" s="2071"/>
      <c r="B44" s="1968" t="s">
        <v>377</v>
      </c>
      <c r="C44" s="1969"/>
      <c r="D44" s="1969"/>
      <c r="E44" s="1969"/>
      <c r="F44" s="477">
        <f>'بند 3-14 کرسی های نظریه پردازی'!Q16</f>
        <v>0</v>
      </c>
      <c r="G44" s="477">
        <f>'بند 3-14 کرسی های نظریه پردازی'!Q16</f>
        <v>0</v>
      </c>
      <c r="H44" s="477">
        <f>'بند 3-14 کرسی های نظریه پردازی'!R16</f>
        <v>0</v>
      </c>
      <c r="I44" s="432"/>
      <c r="J44" s="431"/>
      <c r="K44" s="2017"/>
      <c r="L44" s="408"/>
      <c r="M44" s="408"/>
      <c r="N44" s="408"/>
      <c r="O44" s="409"/>
      <c r="P44" s="409"/>
      <c r="Q44" s="409"/>
      <c r="R44" s="409"/>
    </row>
    <row r="45" spans="1:18" ht="24" customHeight="1">
      <c r="A45" s="2071"/>
      <c r="B45" s="1968" t="s">
        <v>727</v>
      </c>
      <c r="C45" s="1969"/>
      <c r="D45" s="1969"/>
      <c r="E45" s="1969"/>
      <c r="F45" s="477">
        <f>'بند 3-15 كسب رتبه در جشنواره ها'!L16</f>
        <v>0</v>
      </c>
      <c r="G45" s="477">
        <f>'بند 3-15 كسب رتبه در جشنواره ها'!Q16</f>
        <v>0</v>
      </c>
      <c r="H45" s="477">
        <f>'بند 3-15 كسب رتبه در جشنواره ها'!R16</f>
        <v>0</v>
      </c>
      <c r="I45" s="476">
        <v>10</v>
      </c>
      <c r="J45" s="431"/>
      <c r="K45" s="2017"/>
      <c r="L45" s="408"/>
      <c r="M45" s="408"/>
      <c r="N45" s="408"/>
      <c r="O45" s="409"/>
      <c r="P45" s="409"/>
      <c r="Q45" s="409"/>
      <c r="R45" s="409"/>
    </row>
    <row r="46" spans="1:18" ht="24" customHeight="1" thickBot="1">
      <c r="A46" s="2071"/>
      <c r="B46" s="1973" t="s">
        <v>395</v>
      </c>
      <c r="C46" s="1974"/>
      <c r="D46" s="1974"/>
      <c r="E46" s="1974"/>
      <c r="F46" s="418">
        <f>'بند 3-16 داوري و نظارت پژوهشي'!K26</f>
        <v>0</v>
      </c>
      <c r="G46" s="418">
        <f>'بند 3-16 داوري و نظارت پژوهشي'!Q26</f>
        <v>0</v>
      </c>
      <c r="H46" s="418">
        <f>'بند 3-16 داوري و نظارت پژوهشي'!R26</f>
        <v>0</v>
      </c>
      <c r="I46" s="419">
        <v>10</v>
      </c>
      <c r="J46" s="433"/>
      <c r="K46" s="2018"/>
      <c r="L46" s="408"/>
      <c r="M46" s="408"/>
      <c r="N46" s="408"/>
      <c r="O46" s="409"/>
      <c r="P46" s="409"/>
      <c r="Q46" s="409"/>
      <c r="R46" s="409"/>
    </row>
    <row r="47" spans="1:18" ht="21" customHeight="1" thickBot="1">
      <c r="A47" s="2071"/>
      <c r="B47" s="1984" t="s">
        <v>691</v>
      </c>
      <c r="C47" s="1985"/>
      <c r="D47" s="1985"/>
      <c r="E47" s="1985"/>
      <c r="F47" s="421">
        <f ca="1">SUM(F28:F46)</f>
        <v>0</v>
      </c>
      <c r="G47" s="421">
        <f ca="1">SUM(G28:G46)</f>
        <v>0</v>
      </c>
      <c r="H47" s="421">
        <f ca="1">SUM(H28:H46)</f>
        <v>0</v>
      </c>
      <c r="I47" s="422"/>
      <c r="J47" s="434"/>
      <c r="K47" s="423"/>
      <c r="L47" s="408"/>
      <c r="M47" s="408"/>
      <c r="N47" s="408"/>
      <c r="O47" s="409"/>
      <c r="P47" s="409"/>
      <c r="Q47" s="409"/>
      <c r="R47" s="409"/>
    </row>
    <row r="48" spans="1:18" ht="24" customHeight="1">
      <c r="A48" s="2071"/>
      <c r="B48" s="2076" t="s">
        <v>1347</v>
      </c>
      <c r="C48" s="2077"/>
      <c r="D48" s="2078"/>
      <c r="E48" s="2085" t="s">
        <v>1346</v>
      </c>
      <c r="F48" s="976">
        <f>'فرم الف'!D22</f>
        <v>0</v>
      </c>
      <c r="G48" s="2073" t="s">
        <v>13</v>
      </c>
      <c r="H48" s="977">
        <f>0.5*'فرم الف'!D22</f>
        <v>0</v>
      </c>
      <c r="I48" s="2088" t="s">
        <v>1359</v>
      </c>
      <c r="J48" s="2089"/>
      <c r="K48" s="2090"/>
      <c r="L48" s="408"/>
      <c r="M48" s="408"/>
      <c r="N48" s="408"/>
      <c r="O48" s="409"/>
      <c r="P48" s="409"/>
      <c r="Q48" s="409"/>
      <c r="R48" s="409"/>
    </row>
    <row r="49" spans="1:18" ht="24" customHeight="1">
      <c r="A49" s="2071"/>
      <c r="B49" s="2079" t="s">
        <v>1348</v>
      </c>
      <c r="C49" s="2080"/>
      <c r="D49" s="2081"/>
      <c r="E49" s="2086"/>
      <c r="F49" s="982">
        <f>'فرم الف'!B22</f>
        <v>0</v>
      </c>
      <c r="G49" s="2074"/>
      <c r="H49" s="981" t="e">
        <f>IF(EXACT('فرم الف'!E10,'Data Base'!O34),('فرم الف'!B22*0.5/'Data Base'!U14),('فرم الف'!B22*0.5/'Data Base'!U10))</f>
        <v>#DIV/0!</v>
      </c>
      <c r="I49" s="2091"/>
      <c r="J49" s="2092"/>
      <c r="K49" s="2093"/>
      <c r="L49" s="408"/>
      <c r="M49" s="408"/>
      <c r="N49" s="408"/>
      <c r="O49" s="409"/>
      <c r="P49" s="409"/>
      <c r="Q49" s="409"/>
      <c r="R49" s="409"/>
    </row>
    <row r="50" spans="1:18" ht="24" customHeight="1">
      <c r="A50" s="2071"/>
      <c r="B50" s="2079" t="s">
        <v>1356</v>
      </c>
      <c r="C50" s="2080"/>
      <c r="D50" s="2081"/>
      <c r="E50" s="2086"/>
      <c r="F50" s="982">
        <f>'فرم الف'!L22</f>
        <v>0</v>
      </c>
      <c r="G50" s="2074"/>
      <c r="H50" s="981">
        <f>0.5*'فرم الف'!L22</f>
        <v>0</v>
      </c>
      <c r="I50" s="2094" t="s">
        <v>1360</v>
      </c>
      <c r="J50" s="2095"/>
      <c r="K50" s="2096"/>
      <c r="L50" s="408"/>
      <c r="M50" s="408"/>
      <c r="N50" s="408"/>
      <c r="O50" s="409"/>
      <c r="P50" s="409"/>
      <c r="Q50" s="409"/>
      <c r="R50" s="409"/>
    </row>
    <row r="51" spans="1:18" ht="24" customHeight="1" thickBot="1">
      <c r="A51" s="2071"/>
      <c r="B51" s="2082" t="s">
        <v>1357</v>
      </c>
      <c r="C51" s="2083"/>
      <c r="D51" s="2084"/>
      <c r="E51" s="2087"/>
      <c r="F51" s="978">
        <f>'فرم الف'!I22</f>
        <v>0</v>
      </c>
      <c r="G51" s="2075"/>
      <c r="H51" s="979" t="e">
        <f>IF(EXACT('فرم الف'!E10,'Data Base'!O34),('فرم الف'!I22*0.5/'Data Base'!U14),('فرم الف'!I22*0.5/'Data Base'!U10))</f>
        <v>#DIV/0!</v>
      </c>
      <c r="I51" s="2097"/>
      <c r="J51" s="2098"/>
      <c r="K51" s="2099"/>
      <c r="L51" s="408"/>
      <c r="M51" s="408"/>
      <c r="N51" s="408"/>
      <c r="O51" s="409"/>
      <c r="P51" s="409"/>
      <c r="Q51" s="409"/>
      <c r="R51" s="409"/>
    </row>
    <row r="52" spans="1:18" ht="31.5" customHeight="1" thickBot="1">
      <c r="A52" s="2072"/>
      <c r="B52" s="2021" t="s">
        <v>766</v>
      </c>
      <c r="C52" s="2022"/>
      <c r="D52" s="2022"/>
      <c r="E52" s="2022"/>
      <c r="F52" s="421" t="e">
        <f ca="1">IF(NOT(OR(EXACT(E4,'Data Base'!Y9),EXACT(E4,'Data Base'!AB9))),SUM(H47:H49),IF((SUM(H48:H49)&gt;SUM(H50:H51)),SUM(H47:H49),(SUM(H50:H51)+F47)))</f>
        <v>#DIV/0!</v>
      </c>
      <c r="G52" s="421" t="e">
        <f ca="1">IF(NOT(OR(EXACT(E4,'Data Base'!Y9),EXACT(E4,'Data Base'!AB9))),SUM(H48:H49)+G47,IF((SUM(H48:H49)&gt;SUM(H50:H51)),SUM(H48:H49)+G47,(SUM(H50:H51)+G47)))</f>
        <v>#DIV/0!</v>
      </c>
      <c r="H52" s="421" t="e">
        <f ca="1">IF(NOT(OR(EXACT(E4,'Data Base'!Y9),EXACT(E4,'Data Base'!AB9))),SUM(H48:H49)+H47,IF((SUM(H48:H49)&gt;SUM(H50:H51)),SUM(H47:H49),(SUM(H50:H51)+H47)))</f>
        <v>#DIV/0!</v>
      </c>
      <c r="I52" s="422"/>
      <c r="J52" s="422" t="s">
        <v>1338</v>
      </c>
      <c r="K52" s="423"/>
      <c r="L52" s="408"/>
      <c r="M52" s="408"/>
      <c r="N52" s="408"/>
      <c r="O52" s="409"/>
      <c r="P52" s="409"/>
      <c r="Q52" s="409"/>
      <c r="R52" s="409"/>
    </row>
    <row r="53" spans="1:18" ht="15.75" customHeight="1">
      <c r="A53" s="966"/>
      <c r="B53" s="435"/>
      <c r="C53" s="435"/>
      <c r="D53" s="435"/>
      <c r="E53" s="435"/>
      <c r="F53" s="967"/>
      <c r="G53" s="967"/>
      <c r="H53" s="967"/>
      <c r="I53" s="427"/>
      <c r="J53" s="436"/>
      <c r="K53" s="428"/>
      <c r="L53" s="408"/>
      <c r="M53" s="408"/>
      <c r="N53" s="408"/>
      <c r="O53" s="409"/>
      <c r="P53" s="409"/>
      <c r="Q53" s="409"/>
      <c r="R53" s="409"/>
    </row>
    <row r="54" spans="1:18" ht="15.75" customHeight="1" thickBot="1">
      <c r="B54" s="435"/>
      <c r="C54" s="435"/>
      <c r="D54" s="435"/>
      <c r="E54" s="435"/>
      <c r="F54" s="426"/>
      <c r="G54" s="426"/>
      <c r="H54" s="426"/>
      <c r="I54" s="427"/>
      <c r="J54" s="436"/>
      <c r="K54" s="428"/>
      <c r="L54" s="408"/>
      <c r="M54" s="408"/>
      <c r="N54" s="408"/>
      <c r="O54" s="409"/>
      <c r="P54" s="409"/>
      <c r="Q54" s="409"/>
      <c r="R54" s="409"/>
    </row>
    <row r="55" spans="1:18" ht="56.25" customHeight="1" thickBot="1">
      <c r="A55" s="412" t="s">
        <v>684</v>
      </c>
      <c r="B55" s="1967" t="s">
        <v>685</v>
      </c>
      <c r="C55" s="1967"/>
      <c r="D55" s="1967"/>
      <c r="E55" s="1967"/>
      <c r="F55" s="474" t="s">
        <v>686</v>
      </c>
      <c r="G55" s="474" t="s">
        <v>687</v>
      </c>
      <c r="H55" s="474" t="s">
        <v>688</v>
      </c>
      <c r="I55" s="474" t="s">
        <v>689</v>
      </c>
      <c r="J55" s="474" t="s">
        <v>690</v>
      </c>
      <c r="K55" s="413" t="s">
        <v>14</v>
      </c>
      <c r="L55" s="408"/>
      <c r="M55" s="408"/>
      <c r="N55" s="408"/>
      <c r="O55" s="409"/>
      <c r="P55" s="409"/>
      <c r="Q55" s="409"/>
      <c r="R55" s="409"/>
    </row>
    <row r="56" spans="1:18" ht="21.75" customHeight="1">
      <c r="A56" s="2023" t="s">
        <v>695</v>
      </c>
      <c r="B56" s="1975" t="s">
        <v>733</v>
      </c>
      <c r="C56" s="1976"/>
      <c r="D56" s="1976"/>
      <c r="E56" s="1976"/>
      <c r="F56" s="414">
        <f>'بند4-1حضور فعال وتمام وقت'!F16</f>
        <v>0</v>
      </c>
      <c r="G56" s="414">
        <f>'بند4-1حضور فعال وتمام وقت'!K16</f>
        <v>0</v>
      </c>
      <c r="H56" s="414">
        <f>'بند4-1حضور فعال وتمام وقت'!L16</f>
        <v>0</v>
      </c>
      <c r="I56" s="415">
        <v>8</v>
      </c>
      <c r="J56" s="429">
        <v>5</v>
      </c>
      <c r="K56" s="430" t="s">
        <v>17</v>
      </c>
      <c r="L56" s="408"/>
      <c r="M56" s="408"/>
      <c r="N56" s="408"/>
      <c r="O56" s="409"/>
      <c r="P56" s="409"/>
      <c r="Q56" s="409"/>
      <c r="R56" s="409"/>
    </row>
    <row r="57" spans="1:18" ht="21.75" customHeight="1">
      <c r="A57" s="2024"/>
      <c r="B57" s="1968" t="s">
        <v>737</v>
      </c>
      <c r="C57" s="1969"/>
      <c r="D57" s="1969"/>
      <c r="E57" s="1969"/>
      <c r="F57" s="477">
        <f>'بند4-2برپايي نمايشگاه اردوها...'!L26</f>
        <v>0</v>
      </c>
      <c r="G57" s="477">
        <f>'بند4-2برپايي نمايشگاه اردوها...'!R26</f>
        <v>0</v>
      </c>
      <c r="H57" s="477">
        <f>'بند4-2برپايي نمايشگاه اردوها...'!S26</f>
        <v>0</v>
      </c>
      <c r="I57" s="476">
        <v>6</v>
      </c>
      <c r="J57" s="431"/>
      <c r="K57" s="2019" t="str">
        <f>IF(AND(G56&lt;5,G75&lt;10),'Data Base'!B109,IF(G56&lt;5,'Data Base'!B110,IF(G75&lt;10,'Data Base'!B111,'Data Base'!B104)))</f>
        <v>متقاضی حداقل امتیاز لازم از بند 4-1 و جمع کل بندهای ماده 4 را کسب نکرده است!</v>
      </c>
      <c r="L57" s="408"/>
      <c r="M57" s="408"/>
      <c r="N57" s="408"/>
      <c r="O57" s="409"/>
      <c r="P57" s="409"/>
      <c r="Q57" s="409"/>
      <c r="R57" s="409"/>
    </row>
    <row r="58" spans="1:18" ht="21.75" customHeight="1">
      <c r="A58" s="2024"/>
      <c r="B58" s="1968" t="s">
        <v>732</v>
      </c>
      <c r="C58" s="1969"/>
      <c r="D58" s="1969"/>
      <c r="E58" s="1969"/>
      <c r="F58" s="477">
        <f>'بند4-3طراحي و راه اندازي آزمايش'!L26</f>
        <v>0</v>
      </c>
      <c r="G58" s="477">
        <f>'بند4-3طراحي و راه اندازي آزمايش'!R26</f>
        <v>0</v>
      </c>
      <c r="H58" s="477">
        <f>'بند4-3طراحي و راه اندازي آزمايش'!S26</f>
        <v>0</v>
      </c>
      <c r="I58" s="432">
        <v>6</v>
      </c>
      <c r="J58" s="431"/>
      <c r="K58" s="2019"/>
      <c r="L58" s="408"/>
      <c r="M58" s="408"/>
      <c r="N58" s="408"/>
      <c r="O58" s="409"/>
      <c r="P58" s="409"/>
      <c r="Q58" s="409"/>
      <c r="R58" s="409"/>
    </row>
    <row r="59" spans="1:18" ht="21.75" customHeight="1">
      <c r="A59" s="2024"/>
      <c r="B59" s="1968" t="s">
        <v>734</v>
      </c>
      <c r="C59" s="1969"/>
      <c r="D59" s="1969"/>
      <c r="E59" s="1969"/>
      <c r="F59" s="477">
        <f>'بند4-4همكاري در تاسيس دانشگاه و'!L26</f>
        <v>0</v>
      </c>
      <c r="G59" s="477">
        <f>'بند4-4همكاري در تاسيس دانشگاه و'!R26</f>
        <v>0</v>
      </c>
      <c r="H59" s="477">
        <f>'بند4-4همكاري در تاسيس دانشگاه و'!S26</f>
        <v>0</v>
      </c>
      <c r="I59" s="432">
        <v>8</v>
      </c>
      <c r="J59" s="431"/>
      <c r="K59" s="2019"/>
      <c r="L59" s="409"/>
      <c r="M59" s="408"/>
      <c r="N59" s="408"/>
      <c r="O59" s="409"/>
      <c r="P59" s="409"/>
      <c r="Q59" s="409"/>
      <c r="R59" s="409"/>
    </row>
    <row r="60" spans="1:18" ht="21.75" customHeight="1">
      <c r="A60" s="2024"/>
      <c r="B60" s="1968" t="s">
        <v>735</v>
      </c>
      <c r="C60" s="1969"/>
      <c r="D60" s="1969"/>
      <c r="E60" s="1969"/>
      <c r="F60" s="477">
        <f>'بند4-5مدير مسئولي سردبيري و...'!L16</f>
        <v>0</v>
      </c>
      <c r="G60" s="477">
        <f>'بند4-5مدير مسئولي سردبيري و...'!R16</f>
        <v>0</v>
      </c>
      <c r="H60" s="477">
        <f>'بند4-5مدير مسئولي سردبيري و...'!S16</f>
        <v>0</v>
      </c>
      <c r="I60" s="476">
        <v>12</v>
      </c>
      <c r="J60" s="431"/>
      <c r="K60" s="2019"/>
      <c r="L60" s="409"/>
      <c r="M60" s="408"/>
      <c r="N60" s="408"/>
      <c r="O60" s="409"/>
      <c r="P60" s="409"/>
      <c r="Q60" s="409"/>
      <c r="R60" s="409"/>
    </row>
    <row r="61" spans="1:18" ht="21.75" customHeight="1">
      <c r="A61" s="2024"/>
      <c r="B61" s="1968" t="s">
        <v>736</v>
      </c>
      <c r="C61" s="1969"/>
      <c r="D61" s="1969"/>
      <c r="E61" s="1969"/>
      <c r="F61" s="477">
        <f>'بند4-6عضويت در هسته قطب علمي'!L16</f>
        <v>0</v>
      </c>
      <c r="G61" s="477">
        <f>'بند4-6عضويت در هسته قطب علمي'!R16</f>
        <v>0</v>
      </c>
      <c r="H61" s="477">
        <f>'بند4-6عضويت در هسته قطب علمي'!S16</f>
        <v>0</v>
      </c>
      <c r="I61" s="476">
        <v>4</v>
      </c>
      <c r="J61" s="431"/>
      <c r="K61" s="2019"/>
      <c r="L61" s="409"/>
      <c r="M61" s="408"/>
      <c r="N61" s="408"/>
      <c r="O61" s="409"/>
      <c r="P61" s="409"/>
      <c r="Q61" s="409"/>
      <c r="R61" s="409"/>
    </row>
    <row r="62" spans="1:18" ht="21.75" customHeight="1">
      <c r="A62" s="2024"/>
      <c r="B62" s="1968" t="s">
        <v>738</v>
      </c>
      <c r="C62" s="1969"/>
      <c r="D62" s="1969"/>
      <c r="E62" s="1969"/>
      <c r="F62" s="477">
        <f>'بند4-7عضويت در شوراي پارك ها...'!L16</f>
        <v>0</v>
      </c>
      <c r="G62" s="477">
        <f>'بند4-7عضويت در شوراي پارك ها...'!R16</f>
        <v>0</v>
      </c>
      <c r="H62" s="477">
        <f>'بند4-7عضويت در شوراي پارك ها...'!S16</f>
        <v>0</v>
      </c>
      <c r="I62" s="476">
        <v>4</v>
      </c>
      <c r="J62" s="431"/>
      <c r="K62" s="2019"/>
      <c r="L62" s="409"/>
      <c r="M62" s="408"/>
      <c r="N62" s="408"/>
      <c r="O62" s="409"/>
      <c r="P62" s="409"/>
      <c r="Q62" s="409"/>
      <c r="R62" s="409"/>
    </row>
    <row r="63" spans="1:18" ht="21.75" customHeight="1">
      <c r="A63" s="2024"/>
      <c r="B63" s="1968" t="s">
        <v>740</v>
      </c>
      <c r="C63" s="1969"/>
      <c r="D63" s="1969"/>
      <c r="E63" s="1969"/>
      <c r="F63" s="477">
        <f>'بند4-8 دبيري همايش هاي علمي...'!M16</f>
        <v>0</v>
      </c>
      <c r="G63" s="477">
        <f>'بند4-8 دبيري همايش هاي علمي...'!R16</f>
        <v>0</v>
      </c>
      <c r="H63" s="477">
        <f>'بند4-8 دبيري همايش هاي علمي...'!S16</f>
        <v>0</v>
      </c>
      <c r="I63" s="432">
        <v>6</v>
      </c>
      <c r="J63" s="431"/>
      <c r="K63" s="2019"/>
      <c r="L63" s="409"/>
      <c r="M63" s="408"/>
      <c r="N63" s="408"/>
      <c r="O63" s="409"/>
      <c r="P63" s="409"/>
      <c r="Q63" s="409"/>
      <c r="R63" s="409"/>
    </row>
    <row r="64" spans="1:18" ht="21.75" customHeight="1" thickBot="1">
      <c r="A64" s="2024"/>
      <c r="B64" s="1968" t="s">
        <v>739</v>
      </c>
      <c r="C64" s="1969"/>
      <c r="D64" s="1969"/>
      <c r="E64" s="1969"/>
      <c r="F64" s="477">
        <f>'بند4-9ايفاي مسئوليت درقواي سه..'!R21</f>
        <v>0</v>
      </c>
      <c r="G64" s="477">
        <f>'بند4-9ايفاي مسئوليت درقواي سه..'!R21</f>
        <v>0</v>
      </c>
      <c r="H64" s="477">
        <f>'بند4-9ايفاي مسئوليت درقواي سه..'!S21</f>
        <v>0</v>
      </c>
      <c r="I64" s="476"/>
      <c r="J64" s="431"/>
      <c r="K64" s="2020"/>
      <c r="L64" s="409"/>
      <c r="M64" s="408"/>
      <c r="N64" s="408"/>
      <c r="O64" s="409"/>
      <c r="P64" s="409"/>
      <c r="Q64" s="409"/>
      <c r="R64" s="409"/>
    </row>
    <row r="65" spans="1:18" ht="21.75" customHeight="1">
      <c r="A65" s="2024"/>
      <c r="B65" s="1968" t="s">
        <v>741</v>
      </c>
      <c r="C65" s="1969"/>
      <c r="D65" s="1969"/>
      <c r="E65" s="1969"/>
      <c r="F65" s="477">
        <f>'بند4-10شركت در شوراها كارگروه..'!L21</f>
        <v>0</v>
      </c>
      <c r="G65" s="477">
        <f>'بند4-10شركت در شوراها كارگروه..'!R21</f>
        <v>0</v>
      </c>
      <c r="H65" s="477">
        <f>'بند4-10شركت در شوراها كارگروه..'!S21</f>
        <v>0</v>
      </c>
      <c r="I65" s="476">
        <v>10</v>
      </c>
      <c r="J65" s="431"/>
      <c r="K65" s="430" t="s">
        <v>622</v>
      </c>
      <c r="L65" s="408"/>
      <c r="M65" s="409"/>
      <c r="N65" s="409"/>
      <c r="O65" s="409"/>
      <c r="P65" s="409"/>
      <c r="Q65" s="409"/>
      <c r="R65" s="409"/>
    </row>
    <row r="66" spans="1:18" ht="21.75" customHeight="1">
      <c r="A66" s="2024"/>
      <c r="B66" s="1968" t="s">
        <v>742</v>
      </c>
      <c r="C66" s="1969"/>
      <c r="D66" s="1969"/>
      <c r="E66" s="1969"/>
      <c r="F66" s="477">
        <f>'بند4-11ايجاد رشته هاي جديد و ..'!L21</f>
        <v>0</v>
      </c>
      <c r="G66" s="477">
        <f>'بند4-11ايجاد رشته هاي جديد و ..'!R21</f>
        <v>0</v>
      </c>
      <c r="H66" s="477">
        <f>'بند4-11ايجاد رشته هاي جديد و ..'!S21</f>
        <v>0</v>
      </c>
      <c r="I66" s="476">
        <v>10</v>
      </c>
      <c r="J66" s="431"/>
      <c r="K66" s="2019" t="str">
        <f>IF(AND(H56&lt;5,H75&lt;10),'Data Base'!B109,IF(H56&lt;5,'Data Base'!B110,IF(H75&lt;10,'Data Base'!B111,'Data Base'!B104)))</f>
        <v>متقاضی حداقل امتیاز لازم از بند 4-1 و جمع کل بندهای ماده 4 را کسب نکرده است!</v>
      </c>
      <c r="L66" s="408"/>
      <c r="M66" s="408"/>
      <c r="N66" s="408"/>
      <c r="O66" s="409"/>
      <c r="P66" s="409"/>
      <c r="Q66" s="409"/>
      <c r="R66" s="409"/>
    </row>
    <row r="67" spans="1:18" ht="21.75" customHeight="1">
      <c r="A67" s="2024"/>
      <c r="B67" s="1968" t="s">
        <v>743</v>
      </c>
      <c r="C67" s="1969"/>
      <c r="D67" s="1969"/>
      <c r="E67" s="1969"/>
      <c r="F67" s="477">
        <f>'بند4-12راهبري پروژه بين رشته اي'!L16</f>
        <v>0</v>
      </c>
      <c r="G67" s="477">
        <f>'بند4-12راهبري پروژه بين رشته اي'!R16</f>
        <v>0</v>
      </c>
      <c r="H67" s="477">
        <f>'بند4-12راهبري پروژه بين رشته اي'!S16</f>
        <v>0</v>
      </c>
      <c r="I67" s="476">
        <v>8</v>
      </c>
      <c r="J67" s="431"/>
      <c r="K67" s="2019"/>
      <c r="L67" s="408"/>
      <c r="M67" s="408"/>
      <c r="N67" s="408"/>
      <c r="O67" s="409"/>
      <c r="P67" s="409"/>
      <c r="Q67" s="409"/>
      <c r="R67" s="409"/>
    </row>
    <row r="68" spans="1:18" ht="21.75" customHeight="1">
      <c r="A68" s="2024"/>
      <c r="B68" s="1968" t="s">
        <v>958</v>
      </c>
      <c r="C68" s="1969"/>
      <c r="D68" s="1969"/>
      <c r="E68" s="1969"/>
      <c r="F68" s="477">
        <f>'بند4-13طراحي برنامه با هدف ...'!L16</f>
        <v>0</v>
      </c>
      <c r="G68" s="477">
        <f>'بند4-13طراحي برنامه با هدف ...'!R16</f>
        <v>0</v>
      </c>
      <c r="H68" s="477">
        <f>'بند4-13طراحي برنامه با هدف ...'!S16</f>
        <v>0</v>
      </c>
      <c r="I68" s="476">
        <v>10</v>
      </c>
      <c r="J68" s="431"/>
      <c r="K68" s="2019"/>
      <c r="L68" s="409"/>
      <c r="M68" s="408"/>
      <c r="N68" s="408"/>
      <c r="O68" s="409"/>
      <c r="P68" s="409"/>
      <c r="Q68" s="409"/>
      <c r="R68" s="409"/>
    </row>
    <row r="69" spans="1:18" ht="21.75" customHeight="1">
      <c r="A69" s="2024"/>
      <c r="B69" s="1968" t="s">
        <v>744</v>
      </c>
      <c r="C69" s="1969"/>
      <c r="D69" s="1969"/>
      <c r="E69" s="1969"/>
      <c r="F69" s="477">
        <f>'بند4-14طراحي سوال آزمون سراسري'!L16</f>
        <v>0</v>
      </c>
      <c r="G69" s="477">
        <f>'بند4-14طراحي سوال آزمون سراسري'!R16</f>
        <v>0</v>
      </c>
      <c r="H69" s="477">
        <f>'بند4-14طراحي سوال آزمون سراسري'!S16</f>
        <v>0</v>
      </c>
      <c r="I69" s="476">
        <v>8</v>
      </c>
      <c r="J69" s="431"/>
      <c r="K69" s="2019"/>
      <c r="L69" s="408"/>
      <c r="M69" s="408"/>
      <c r="N69" s="408"/>
      <c r="O69" s="409"/>
      <c r="P69" s="409"/>
      <c r="Q69" s="409"/>
      <c r="R69" s="409"/>
    </row>
    <row r="70" spans="1:18" ht="21.75" customHeight="1">
      <c r="A70" s="2024"/>
      <c r="B70" s="1968" t="s">
        <v>745</v>
      </c>
      <c r="C70" s="1969"/>
      <c r="D70" s="1969"/>
      <c r="E70" s="1969"/>
      <c r="F70" s="477">
        <f>'بند4-15طراحي سوال آزمون جامع و'!L16</f>
        <v>0</v>
      </c>
      <c r="G70" s="477">
        <f>'بند4-15طراحي سوال آزمون جامع و'!R16</f>
        <v>0</v>
      </c>
      <c r="H70" s="477">
        <f>'بند4-15طراحي سوال آزمون جامع و'!S16</f>
        <v>0</v>
      </c>
      <c r="I70" s="476">
        <v>5</v>
      </c>
      <c r="J70" s="431"/>
      <c r="K70" s="2019"/>
      <c r="L70" s="408"/>
      <c r="M70" s="408"/>
      <c r="N70" s="408"/>
      <c r="O70" s="409"/>
      <c r="P70" s="409"/>
      <c r="Q70" s="409"/>
      <c r="R70" s="409"/>
    </row>
    <row r="71" spans="1:18" ht="21.75" customHeight="1">
      <c r="A71" s="2024"/>
      <c r="B71" s="1968" t="s">
        <v>854</v>
      </c>
      <c r="C71" s="1969"/>
      <c r="D71" s="1969"/>
      <c r="E71" s="1969"/>
      <c r="F71" s="477">
        <f>'بند4-16 تدوين كتاب به شيوه ...'!L16</f>
        <v>0</v>
      </c>
      <c r="G71" s="477">
        <f>'بند4-16 تدوين كتاب به شيوه ...'!R16</f>
        <v>0</v>
      </c>
      <c r="H71" s="477">
        <f>'بند4-16 تدوين كتاب به شيوه ...'!S16</f>
        <v>0</v>
      </c>
      <c r="I71" s="476">
        <v>10</v>
      </c>
      <c r="J71" s="431"/>
      <c r="K71" s="2019"/>
      <c r="L71" s="408"/>
      <c r="M71" s="408"/>
      <c r="N71" s="408"/>
      <c r="O71" s="409"/>
      <c r="P71" s="409"/>
      <c r="Q71" s="409"/>
      <c r="R71" s="409"/>
    </row>
    <row r="72" spans="1:18" ht="21.75" customHeight="1">
      <c r="A72" s="2024"/>
      <c r="B72" s="1968" t="s">
        <v>1034</v>
      </c>
      <c r="C72" s="1969"/>
      <c r="D72" s="1969"/>
      <c r="E72" s="1969"/>
      <c r="F72" s="477">
        <f>'بند4-16 تدوين كتاب به شيوه ...'!L17</f>
        <v>0</v>
      </c>
      <c r="G72" s="477">
        <f>'بند4-16 تدوين كتاب به شيوه ...'!R17</f>
        <v>0</v>
      </c>
      <c r="H72" s="477">
        <f>'بند4-16 تدوين كتاب به شيوه ...'!S17</f>
        <v>0</v>
      </c>
      <c r="I72" s="476">
        <v>6</v>
      </c>
      <c r="J72" s="431"/>
      <c r="K72" s="2019"/>
      <c r="L72" s="408"/>
      <c r="M72" s="408"/>
      <c r="N72" s="408"/>
      <c r="O72" s="409"/>
      <c r="P72" s="409"/>
      <c r="Q72" s="409"/>
      <c r="R72" s="409"/>
    </row>
    <row r="73" spans="1:18" ht="21.75" customHeight="1">
      <c r="A73" s="2024"/>
      <c r="B73" s="1968" t="s">
        <v>746</v>
      </c>
      <c r="C73" s="1969"/>
      <c r="D73" s="1969"/>
      <c r="E73" s="1969"/>
      <c r="F73" s="477">
        <f>'بند4-17تدوين مجموعه مقاله همايش'!L16</f>
        <v>0</v>
      </c>
      <c r="G73" s="477">
        <f>'بند4-17تدوين مجموعه مقاله همايش'!R16</f>
        <v>0</v>
      </c>
      <c r="H73" s="477">
        <f>'بند4-17تدوين مجموعه مقاله همايش'!S16</f>
        <v>0</v>
      </c>
      <c r="I73" s="476">
        <v>4</v>
      </c>
      <c r="J73" s="431"/>
      <c r="K73" s="2019"/>
      <c r="L73" s="408"/>
      <c r="M73" s="408"/>
      <c r="N73" s="408"/>
      <c r="O73" s="409"/>
      <c r="P73" s="409"/>
      <c r="Q73" s="409"/>
      <c r="R73" s="409"/>
    </row>
    <row r="74" spans="1:18" ht="21.75" customHeight="1" thickBot="1">
      <c r="A74" s="2024"/>
      <c r="B74" s="1973" t="s">
        <v>544</v>
      </c>
      <c r="C74" s="1974"/>
      <c r="D74" s="1974"/>
      <c r="E74" s="1974"/>
      <c r="F74" s="418">
        <f>'بند4-18ايجاد ظرفيت درجذب دانشجو'!L26</f>
        <v>0</v>
      </c>
      <c r="G74" s="418">
        <f>'بند4-18ايجاد ظرفيت درجذب دانشجو'!R26</f>
        <v>0</v>
      </c>
      <c r="H74" s="418">
        <f>'بند4-18ايجاد ظرفيت درجذب دانشجو'!S26</f>
        <v>0</v>
      </c>
      <c r="I74" s="419">
        <v>12</v>
      </c>
      <c r="J74" s="433"/>
      <c r="K74" s="2020"/>
      <c r="L74" s="408"/>
      <c r="M74" s="408"/>
      <c r="N74" s="408"/>
      <c r="O74" s="409"/>
      <c r="P74" s="409"/>
      <c r="Q74" s="409"/>
      <c r="R74" s="409"/>
    </row>
    <row r="75" spans="1:18" ht="21.75" customHeight="1" thickBot="1">
      <c r="A75" s="2025"/>
      <c r="B75" s="1984" t="s">
        <v>691</v>
      </c>
      <c r="C75" s="1985"/>
      <c r="D75" s="1985"/>
      <c r="E75" s="1985"/>
      <c r="F75" s="421">
        <f>SUM(F56:F74)</f>
        <v>0</v>
      </c>
      <c r="G75" s="421">
        <f>IF((SUM(G56:G74))&gt;35,35,SUM(G56:G74))</f>
        <v>0</v>
      </c>
      <c r="H75" s="421">
        <f>IF((SUM(H56:H74))&gt;35,35,SUM(H56:H74))</f>
        <v>0</v>
      </c>
      <c r="I75" s="422">
        <v>35</v>
      </c>
      <c r="J75" s="422">
        <v>10</v>
      </c>
      <c r="K75" s="423"/>
      <c r="L75" s="408"/>
      <c r="M75" s="408"/>
      <c r="N75" s="408"/>
      <c r="O75" s="409"/>
      <c r="P75" s="409"/>
      <c r="Q75" s="409"/>
      <c r="R75" s="409"/>
    </row>
    <row r="76" spans="1:18" ht="25.5" customHeight="1" thickBot="1">
      <c r="A76" s="2047" t="e">
        <f ca="1">IF(OR(AND(('فرم الف'!E10='Data Base'!O34),H76&lt;120),AND(('فرم الف'!E10='Data Base'!O35),H76&lt;130),AND(('فرم الف'!E10='Data Base'!O34),H76&lt;120),AND(('فرم الف'!E10='Data Base'!O35),H76&lt;130)),'Data Base'!K23,'Data Base'!K17)</f>
        <v>#DIV/0!</v>
      </c>
      <c r="B76" s="2048"/>
      <c r="C76" s="2048"/>
      <c r="D76" s="2048"/>
      <c r="E76" s="2048"/>
      <c r="F76" s="437" t="e">
        <f ca="1">SUM(F20,F25,F52,F75)</f>
        <v>#DIV/0!</v>
      </c>
      <c r="G76" s="437" t="e">
        <f ca="1">SUM(H20,G25,G52,G75)</f>
        <v>#DIV/0!</v>
      </c>
      <c r="H76" s="437" t="e">
        <f ca="1">SUM(H20,H25,H52,H75)</f>
        <v>#DIV/0!</v>
      </c>
      <c r="I76" s="434"/>
      <c r="J76" s="438" t="s">
        <v>962</v>
      </c>
      <c r="K76" s="423"/>
      <c r="L76" s="408"/>
      <c r="M76" s="444"/>
      <c r="N76" s="444"/>
      <c r="O76" s="409"/>
      <c r="P76" s="409"/>
      <c r="Q76" s="409"/>
      <c r="R76" s="409"/>
    </row>
    <row r="77" spans="1:18" ht="3" customHeight="1">
      <c r="A77" s="439"/>
      <c r="B77" s="439"/>
      <c r="C77" s="439"/>
      <c r="D77" s="439"/>
      <c r="E77" s="439"/>
      <c r="F77" s="440"/>
      <c r="G77" s="440"/>
      <c r="H77" s="440"/>
      <c r="I77" s="436"/>
      <c r="J77" s="427"/>
      <c r="K77" s="428"/>
      <c r="L77" s="408"/>
      <c r="M77" s="444"/>
      <c r="N77" s="444"/>
      <c r="O77" s="409"/>
      <c r="P77" s="409"/>
      <c r="Q77" s="409"/>
      <c r="R77" s="409"/>
    </row>
    <row r="78" spans="1:18" ht="19.5" customHeight="1">
      <c r="A78" s="2045" t="s">
        <v>940</v>
      </c>
      <c r="B78" s="2045"/>
      <c r="C78" s="2045"/>
      <c r="D78" s="2045"/>
      <c r="E78" s="2045"/>
      <c r="F78" s="2045"/>
      <c r="G78" s="2045"/>
      <c r="H78" s="475">
        <f>'فرم الف'!G24</f>
        <v>0</v>
      </c>
      <c r="I78" s="320" t="s">
        <v>696</v>
      </c>
      <c r="J78" s="475">
        <f>'فرم الف'!I24</f>
        <v>0</v>
      </c>
      <c r="K78" s="478" t="s">
        <v>942</v>
      </c>
      <c r="L78" s="408"/>
      <c r="M78" s="408"/>
      <c r="N78" s="408"/>
      <c r="O78" s="409"/>
      <c r="P78" s="409"/>
      <c r="Q78" s="409"/>
      <c r="R78" s="409"/>
    </row>
    <row r="79" spans="1:18" ht="19.5" customHeight="1">
      <c r="A79" s="2045" t="s">
        <v>941</v>
      </c>
      <c r="B79" s="2045"/>
      <c r="C79" s="475" t="str">
        <f>'فرم الف'!H2</f>
        <v/>
      </c>
      <c r="D79" s="2045" t="s">
        <v>939</v>
      </c>
      <c r="E79" s="2045"/>
      <c r="F79" s="2045"/>
      <c r="G79" s="1983">
        <f>C6</f>
        <v>0</v>
      </c>
      <c r="H79" s="1983"/>
      <c r="I79" s="1983"/>
      <c r="J79" s="1983"/>
      <c r="K79" s="478" t="s">
        <v>938</v>
      </c>
      <c r="L79" s="408"/>
      <c r="M79" s="408"/>
      <c r="N79" s="408"/>
      <c r="O79" s="409"/>
      <c r="P79" s="409"/>
      <c r="Q79" s="409"/>
      <c r="R79" s="409"/>
    </row>
    <row r="80" spans="1:18" ht="19.5" customHeight="1">
      <c r="A80" s="441" t="s">
        <v>697</v>
      </c>
      <c r="B80" s="475" t="str">
        <f>H6</f>
        <v/>
      </c>
      <c r="C80" s="1972" t="e">
        <f ca="1">IF(A76='Data Base'!K17,'Data Base'!B115,'Data Base'!B116)</f>
        <v>#DIV/0!</v>
      </c>
      <c r="D80" s="1972"/>
      <c r="E80" s="442"/>
      <c r="F80" s="442"/>
      <c r="G80" s="442"/>
      <c r="H80" s="442"/>
      <c r="I80" s="442"/>
      <c r="J80" s="442"/>
      <c r="K80" s="443"/>
      <c r="L80" s="408"/>
      <c r="M80" s="408"/>
      <c r="N80" s="408"/>
      <c r="O80" s="409"/>
      <c r="P80" s="409"/>
      <c r="Q80" s="409"/>
      <c r="R80" s="409"/>
    </row>
    <row r="81" spans="1:18" ht="21" customHeight="1">
      <c r="A81" s="719"/>
      <c r="B81" s="722"/>
      <c r="C81" s="721"/>
      <c r="D81" s="721"/>
      <c r="E81" s="442"/>
      <c r="F81" s="442"/>
      <c r="G81" s="442"/>
      <c r="H81" s="442"/>
      <c r="I81" s="442"/>
      <c r="J81" s="442"/>
      <c r="K81" s="443"/>
      <c r="L81" s="408"/>
      <c r="M81" s="408"/>
      <c r="N81" s="408"/>
      <c r="O81" s="409"/>
      <c r="P81" s="409"/>
      <c r="Q81" s="409"/>
      <c r="R81" s="409"/>
    </row>
    <row r="82" spans="1:18" ht="40.5" customHeight="1">
      <c r="A82" s="719"/>
      <c r="B82" s="722"/>
      <c r="C82" s="721"/>
      <c r="D82" s="721"/>
      <c r="E82" s="442"/>
      <c r="F82" s="442"/>
      <c r="G82" s="442"/>
      <c r="H82" s="442"/>
      <c r="I82" s="442"/>
      <c r="J82" s="442"/>
      <c r="K82" s="443"/>
      <c r="L82" s="408"/>
      <c r="M82" s="408"/>
      <c r="N82" s="408"/>
      <c r="O82" s="409"/>
      <c r="P82" s="409"/>
      <c r="Q82" s="409"/>
      <c r="R82" s="409"/>
    </row>
    <row r="83" spans="1:18" ht="40.5" customHeight="1">
      <c r="A83" s="441"/>
      <c r="B83" s="475"/>
      <c r="C83" s="478"/>
      <c r="D83" s="478"/>
      <c r="E83" s="442"/>
      <c r="F83" s="442"/>
      <c r="G83" s="442"/>
      <c r="H83" s="442"/>
      <c r="I83" s="442"/>
      <c r="J83" s="442"/>
      <c r="K83" s="443"/>
      <c r="L83" s="408"/>
      <c r="M83" s="408"/>
      <c r="N83" s="408"/>
      <c r="O83" s="409"/>
      <c r="P83" s="409"/>
      <c r="Q83" s="409"/>
      <c r="R83" s="409"/>
    </row>
    <row r="84" spans="1:18" ht="22.5" customHeight="1" thickBot="1">
      <c r="A84" s="2049" t="s">
        <v>1121</v>
      </c>
      <c r="B84" s="2049"/>
      <c r="C84" s="2049"/>
      <c r="D84" s="2049"/>
      <c r="E84" s="2049"/>
      <c r="F84" s="2049"/>
      <c r="G84" s="2049"/>
      <c r="H84" s="2049"/>
      <c r="I84" s="2049"/>
      <c r="J84" s="2049"/>
      <c r="K84" s="2049"/>
      <c r="L84" s="408"/>
      <c r="M84" s="408"/>
      <c r="N84" s="408"/>
      <c r="O84" s="409"/>
      <c r="P84" s="409"/>
      <c r="Q84" s="409"/>
      <c r="R84" s="409"/>
    </row>
    <row r="85" spans="1:18" ht="22.5" customHeight="1">
      <c r="A85" s="469" t="s">
        <v>698</v>
      </c>
      <c r="B85" s="1979">
        <f>C6</f>
        <v>0</v>
      </c>
      <c r="C85" s="1979"/>
      <c r="D85" s="1979"/>
      <c r="E85" s="1980" t="s">
        <v>699</v>
      </c>
      <c r="F85" s="1980"/>
      <c r="G85" s="1979">
        <f>'فرم الف'!D9</f>
        <v>0</v>
      </c>
      <c r="H85" s="1979"/>
      <c r="I85" s="1979"/>
      <c r="J85" s="1979"/>
      <c r="K85" s="2044"/>
      <c r="P85" s="409"/>
      <c r="Q85" s="409"/>
      <c r="R85" s="409"/>
    </row>
    <row r="86" spans="1:18" ht="22.5" customHeight="1">
      <c r="A86" s="2061" t="s">
        <v>990</v>
      </c>
      <c r="B86" s="2060"/>
      <c r="C86" s="1981" t="str">
        <f>B80</f>
        <v/>
      </c>
      <c r="D86" s="1981"/>
      <c r="E86" s="2060" t="s">
        <v>700</v>
      </c>
      <c r="F86" s="2060"/>
      <c r="G86" s="2060"/>
      <c r="H86" s="2060"/>
      <c r="I86" s="467">
        <f>'فرم الف'!G8</f>
        <v>0</v>
      </c>
      <c r="J86" s="468">
        <f>'فرم الف'!H8</f>
        <v>0</v>
      </c>
      <c r="K86" s="470">
        <f>'فرم الف'!I8</f>
        <v>0</v>
      </c>
      <c r="P86" s="409"/>
      <c r="Q86" s="409"/>
      <c r="R86" s="409"/>
    </row>
    <row r="87" spans="1:18" ht="22.5" customHeight="1">
      <c r="A87" s="711"/>
      <c r="B87" s="980">
        <f>IF(NOT(OR(EXACT(E4,'Data Base'!Y9),EXACT(E4,'Data Base'!AB9))),H48,IF((H48&gt;H50),H48,H50))</f>
        <v>0</v>
      </c>
      <c r="C87" s="1991" t="s">
        <v>1341</v>
      </c>
      <c r="D87" s="1991"/>
      <c r="E87" s="1987" t="s">
        <v>1111</v>
      </c>
      <c r="F87" s="1987"/>
      <c r="G87" s="1987"/>
      <c r="H87" s="714">
        <f>'Data Base'!U14</f>
        <v>0</v>
      </c>
      <c r="I87" s="712" t="s">
        <v>1042</v>
      </c>
      <c r="J87" s="467">
        <f>'Data Base'!T14</f>
        <v>0</v>
      </c>
      <c r="K87" s="713" t="s">
        <v>1043</v>
      </c>
      <c r="P87" s="409"/>
      <c r="Q87" s="409"/>
      <c r="R87" s="409"/>
    </row>
    <row r="88" spans="1:18" ht="22.5" customHeight="1">
      <c r="A88" s="738"/>
      <c r="B88" s="980" t="e">
        <f>IF(EXACT(B87,H48),H49,H51)</f>
        <v>#DIV/0!</v>
      </c>
      <c r="C88" s="1991" t="s">
        <v>1342</v>
      </c>
      <c r="D88" s="1991"/>
      <c r="E88" s="1987" t="s">
        <v>1112</v>
      </c>
      <c r="F88" s="1987"/>
      <c r="G88" s="1987"/>
      <c r="H88" s="466">
        <f>H78</f>
        <v>0</v>
      </c>
      <c r="I88" s="712" t="s">
        <v>1042</v>
      </c>
      <c r="J88" s="467">
        <f>J78</f>
        <v>0</v>
      </c>
      <c r="K88" s="713" t="s">
        <v>1043</v>
      </c>
      <c r="P88" s="409"/>
      <c r="Q88" s="409"/>
      <c r="R88" s="409"/>
    </row>
    <row r="89" spans="1:18" ht="6" customHeight="1" thickBot="1">
      <c r="A89" s="739"/>
      <c r="B89" s="740"/>
      <c r="C89" s="741"/>
      <c r="D89" s="741"/>
      <c r="E89" s="741"/>
      <c r="F89" s="742"/>
      <c r="G89" s="742"/>
      <c r="H89" s="740"/>
      <c r="I89" s="743"/>
      <c r="J89" s="743"/>
      <c r="K89" s="744"/>
      <c r="P89" s="409"/>
      <c r="Q89" s="409"/>
      <c r="R89" s="409"/>
    </row>
    <row r="90" spans="1:18" ht="20.25" customHeight="1">
      <c r="A90" s="727"/>
      <c r="B90" s="1993" t="s">
        <v>1100</v>
      </c>
      <c r="C90" s="1993"/>
      <c r="D90" s="1993"/>
      <c r="E90" s="1993"/>
      <c r="F90" s="1994">
        <f>H20</f>
        <v>0</v>
      </c>
      <c r="G90" s="1994"/>
      <c r="H90" s="750"/>
      <c r="I90" s="750"/>
      <c r="J90" s="751"/>
      <c r="K90" s="728"/>
      <c r="L90" s="408"/>
      <c r="M90" s="408"/>
      <c r="N90" s="408"/>
      <c r="O90" s="409"/>
      <c r="P90" s="409"/>
      <c r="Q90" s="409"/>
      <c r="R90" s="409"/>
    </row>
    <row r="91" spans="1:18" ht="6" customHeight="1">
      <c r="A91" s="727"/>
      <c r="B91" s="456"/>
      <c r="C91" s="456"/>
      <c r="D91" s="456"/>
      <c r="E91" s="456"/>
      <c r="F91" s="456"/>
      <c r="G91" s="456"/>
      <c r="H91" s="456"/>
      <c r="I91" s="456"/>
      <c r="J91" s="752"/>
      <c r="K91" s="728"/>
    </row>
    <row r="92" spans="1:18" ht="20.25" customHeight="1">
      <c r="A92" s="727"/>
      <c r="B92" s="1982" t="s">
        <v>995</v>
      </c>
      <c r="C92" s="1982"/>
      <c r="D92" s="1982"/>
      <c r="E92" s="1982"/>
      <c r="F92" s="1995">
        <f>H25</f>
        <v>0</v>
      </c>
      <c r="G92" s="1995"/>
      <c r="H92" s="456"/>
      <c r="I92" s="456"/>
      <c r="J92" s="752"/>
      <c r="K92" s="729"/>
    </row>
    <row r="93" spans="1:18" ht="18.75" customHeight="1">
      <c r="A93" s="727"/>
      <c r="B93" s="724"/>
      <c r="C93" s="1988" t="s">
        <v>996</v>
      </c>
      <c r="D93" s="1988"/>
      <c r="E93" s="1988"/>
      <c r="F93" s="1988"/>
      <c r="G93" s="706">
        <f>H21</f>
        <v>0</v>
      </c>
      <c r="H93" s="456"/>
      <c r="I93" s="456"/>
      <c r="J93" s="752"/>
      <c r="K93" s="729"/>
    </row>
    <row r="94" spans="1:18" ht="18.75" customHeight="1">
      <c r="A94" s="727"/>
      <c r="B94" s="724"/>
      <c r="C94" s="1992" t="s">
        <v>1110</v>
      </c>
      <c r="D94" s="1992"/>
      <c r="E94" s="1992"/>
      <c r="F94" s="1992"/>
      <c r="G94" s="707" t="str">
        <f>F22</f>
        <v/>
      </c>
      <c r="H94" s="456"/>
      <c r="I94" s="456"/>
      <c r="J94" s="752"/>
      <c r="K94" s="729"/>
    </row>
    <row r="95" spans="1:18" ht="18.75" customHeight="1">
      <c r="A95" s="727"/>
      <c r="B95" s="724"/>
      <c r="C95" s="1992" t="s">
        <v>1103</v>
      </c>
      <c r="D95" s="1992"/>
      <c r="E95" s="1992"/>
      <c r="F95" s="1992"/>
      <c r="G95" s="707" t="str">
        <f>H23</f>
        <v/>
      </c>
      <c r="H95" s="456"/>
      <c r="I95" s="456"/>
      <c r="J95" s="752"/>
      <c r="K95" s="728"/>
    </row>
    <row r="96" spans="1:18" ht="6" customHeight="1">
      <c r="A96" s="727"/>
      <c r="B96" s="456"/>
      <c r="C96" s="456"/>
      <c r="D96" s="456"/>
      <c r="E96" s="456"/>
      <c r="F96" s="456"/>
      <c r="G96" s="456"/>
      <c r="H96" s="456"/>
      <c r="I96" s="456"/>
      <c r="J96" s="752"/>
      <c r="K96" s="728"/>
    </row>
    <row r="97" spans="1:11" ht="20.25" customHeight="1">
      <c r="A97" s="727"/>
      <c r="B97" s="1982" t="s">
        <v>1101</v>
      </c>
      <c r="C97" s="1982"/>
      <c r="D97" s="1982"/>
      <c r="E97" s="1982"/>
      <c r="F97" s="725">
        <f ca="1">H47</f>
        <v>0</v>
      </c>
      <c r="G97" s="456"/>
      <c r="H97" s="456"/>
      <c r="I97" s="456"/>
      <c r="J97" s="752"/>
      <c r="K97" s="728"/>
    </row>
    <row r="98" spans="1:11" ht="18.75" customHeight="1">
      <c r="A98" s="727"/>
      <c r="B98" s="1988" t="s">
        <v>1125</v>
      </c>
      <c r="C98" s="1988"/>
      <c r="D98" s="1988"/>
      <c r="E98" s="1988"/>
      <c r="F98" s="1988"/>
      <c r="G98" s="706">
        <f>D135</f>
        <v>0</v>
      </c>
      <c r="H98" s="456"/>
      <c r="I98" s="456"/>
      <c r="J98" s="752"/>
      <c r="K98" s="728"/>
    </row>
    <row r="99" spans="1:11" ht="18.75" customHeight="1">
      <c r="A99" s="727"/>
      <c r="B99" s="1988" t="s">
        <v>1124</v>
      </c>
      <c r="C99" s="1988"/>
      <c r="D99" s="1988"/>
      <c r="E99" s="1988"/>
      <c r="F99" s="1988"/>
      <c r="G99" s="706">
        <f>D137</f>
        <v>0</v>
      </c>
      <c r="H99" s="456"/>
      <c r="I99" s="456"/>
      <c r="J99" s="752"/>
      <c r="K99" s="728"/>
    </row>
    <row r="100" spans="1:11" ht="18.75" customHeight="1">
      <c r="A100" s="727"/>
      <c r="B100" s="1988" t="s">
        <v>1091</v>
      </c>
      <c r="C100" s="1988"/>
      <c r="D100" s="1988"/>
      <c r="E100" s="1988"/>
      <c r="F100" s="1988"/>
      <c r="G100" s="706">
        <f>D138</f>
        <v>0</v>
      </c>
      <c r="H100" s="456"/>
      <c r="I100" s="456"/>
      <c r="J100" s="752"/>
      <c r="K100" s="728"/>
    </row>
    <row r="101" spans="1:11" ht="18.75" customHeight="1">
      <c r="A101" s="727"/>
      <c r="B101" s="1988" t="s">
        <v>1126</v>
      </c>
      <c r="C101" s="1988"/>
      <c r="D101" s="1988"/>
      <c r="E101" s="1988"/>
      <c r="F101" s="1988"/>
      <c r="G101" s="758"/>
      <c r="H101" s="720"/>
      <c r="I101" s="720"/>
      <c r="J101" s="753"/>
      <c r="K101" s="730"/>
    </row>
    <row r="102" spans="1:11" ht="18.75" customHeight="1">
      <c r="A102" s="727"/>
      <c r="B102" s="1988" t="s">
        <v>1127</v>
      </c>
      <c r="C102" s="1988"/>
      <c r="D102" s="1988"/>
      <c r="E102" s="1988"/>
      <c r="F102" s="1988"/>
      <c r="G102" s="758"/>
      <c r="H102" s="456"/>
      <c r="I102" s="456"/>
      <c r="J102" s="752"/>
      <c r="K102" s="729"/>
    </row>
    <row r="103" spans="1:11" ht="18.75" customHeight="1">
      <c r="A103" s="727"/>
      <c r="B103" s="1988" t="s">
        <v>1090</v>
      </c>
      <c r="C103" s="1988"/>
      <c r="D103" s="1988"/>
      <c r="E103" s="1988"/>
      <c r="F103" s="1988"/>
      <c r="G103" s="709">
        <f ca="1">H35</f>
        <v>0</v>
      </c>
      <c r="H103" s="456"/>
      <c r="I103" s="456"/>
      <c r="J103" s="752"/>
      <c r="K103" s="729"/>
    </row>
    <row r="104" spans="1:11" ht="18.75" customHeight="1">
      <c r="A104" s="727"/>
      <c r="B104" s="1988" t="s">
        <v>1092</v>
      </c>
      <c r="C104" s="1988"/>
      <c r="D104" s="1988"/>
      <c r="E104" s="1988"/>
      <c r="F104" s="1988"/>
      <c r="G104" s="709">
        <f>H36</f>
        <v>0</v>
      </c>
      <c r="H104" s="456"/>
      <c r="I104" s="456"/>
      <c r="J104" s="752"/>
      <c r="K104" s="729"/>
    </row>
    <row r="105" spans="1:11" ht="18.75" customHeight="1">
      <c r="A105" s="727"/>
      <c r="B105" s="1988" t="s">
        <v>1115</v>
      </c>
      <c r="C105" s="1988"/>
      <c r="D105" s="1988"/>
      <c r="E105" s="1988"/>
      <c r="F105" s="1988"/>
      <c r="G105" s="709">
        <f>H37</f>
        <v>0</v>
      </c>
      <c r="H105" s="456"/>
      <c r="I105" s="456"/>
      <c r="J105" s="752"/>
      <c r="K105" s="729"/>
    </row>
    <row r="106" spans="1:11" ht="18.75" customHeight="1">
      <c r="A106" s="727"/>
      <c r="B106" s="1988" t="s">
        <v>1099</v>
      </c>
      <c r="C106" s="1988"/>
      <c r="D106" s="1988"/>
      <c r="E106" s="1988"/>
      <c r="F106" s="1988"/>
      <c r="G106" s="2069">
        <f>H38</f>
        <v>0</v>
      </c>
      <c r="H106" s="2069"/>
      <c r="I106" s="2069"/>
      <c r="J106" s="752"/>
      <c r="K106" s="729"/>
    </row>
    <row r="107" spans="1:11" ht="18.75" customHeight="1">
      <c r="A107" s="727"/>
      <c r="B107" s="1988" t="s">
        <v>1093</v>
      </c>
      <c r="C107" s="1988"/>
      <c r="D107" s="1988"/>
      <c r="E107" s="1988"/>
      <c r="F107" s="1988"/>
      <c r="G107" s="709">
        <f>H38</f>
        <v>0</v>
      </c>
      <c r="H107" s="456"/>
      <c r="I107" s="456"/>
      <c r="J107" s="752"/>
      <c r="K107" s="729"/>
    </row>
    <row r="108" spans="1:11" ht="18.75" customHeight="1">
      <c r="A108" s="727"/>
      <c r="B108" s="1988" t="s">
        <v>1104</v>
      </c>
      <c r="C108" s="1988"/>
      <c r="D108" s="1988"/>
      <c r="E108" s="1988"/>
      <c r="F108" s="1988"/>
      <c r="G108" s="709">
        <f>H40</f>
        <v>0</v>
      </c>
      <c r="H108" s="456"/>
      <c r="I108" s="456"/>
      <c r="J108" s="752"/>
      <c r="K108" s="729"/>
    </row>
    <row r="109" spans="1:11" ht="18.75" customHeight="1">
      <c r="A109" s="727"/>
      <c r="B109" s="1988" t="s">
        <v>1105</v>
      </c>
      <c r="C109" s="1988"/>
      <c r="D109" s="1988"/>
      <c r="E109" s="1988"/>
      <c r="F109" s="1988"/>
      <c r="G109" s="709">
        <f>F42</f>
        <v>0</v>
      </c>
      <c r="H109" s="456"/>
      <c r="I109" s="456"/>
      <c r="J109" s="752"/>
      <c r="K109" s="729"/>
    </row>
    <row r="110" spans="1:11" ht="18.75" customHeight="1">
      <c r="A110" s="727"/>
      <c r="B110" s="1988" t="s">
        <v>1106</v>
      </c>
      <c r="C110" s="1988"/>
      <c r="D110" s="1988"/>
      <c r="E110" s="1988"/>
      <c r="F110" s="1988"/>
      <c r="G110" s="709">
        <f>F43</f>
        <v>0</v>
      </c>
      <c r="H110" s="456"/>
      <c r="I110" s="456"/>
      <c r="J110" s="752"/>
      <c r="K110" s="729"/>
    </row>
    <row r="111" spans="1:11" ht="18.75" customHeight="1">
      <c r="A111" s="727"/>
      <c r="B111" s="1988" t="s">
        <v>1107</v>
      </c>
      <c r="C111" s="1988"/>
      <c r="D111" s="1988"/>
      <c r="E111" s="1988"/>
      <c r="F111" s="1988"/>
      <c r="G111" s="709">
        <f>H44</f>
        <v>0</v>
      </c>
      <c r="H111" s="456"/>
      <c r="I111" s="456"/>
      <c r="J111" s="752"/>
      <c r="K111" s="729"/>
    </row>
    <row r="112" spans="1:11" ht="18.75" customHeight="1">
      <c r="A112" s="727"/>
      <c r="B112" s="1988" t="s">
        <v>1128</v>
      </c>
      <c r="C112" s="1988"/>
      <c r="D112" s="1988"/>
      <c r="E112" s="1988"/>
      <c r="F112" s="1988"/>
      <c r="G112" s="892">
        <f>'بند 3-15 كسب رتبه در جشنواره ها'!T16</f>
        <v>0</v>
      </c>
      <c r="H112" s="456"/>
      <c r="I112" s="456"/>
      <c r="J112" s="752"/>
      <c r="K112" s="729"/>
    </row>
    <row r="113" spans="1:18" ht="18.75" customHeight="1">
      <c r="A113" s="727"/>
      <c r="B113" s="1988" t="s">
        <v>1108</v>
      </c>
      <c r="C113" s="1988"/>
      <c r="D113" s="1988"/>
      <c r="E113" s="1988"/>
      <c r="F113" s="1988"/>
      <c r="G113" s="709">
        <f>H46</f>
        <v>0</v>
      </c>
      <c r="H113" s="456"/>
      <c r="I113" s="456"/>
      <c r="J113" s="752"/>
      <c r="K113" s="729"/>
    </row>
    <row r="114" spans="1:18" ht="18.75" customHeight="1">
      <c r="A114" s="727"/>
      <c r="B114" s="1988" t="s">
        <v>1116</v>
      </c>
      <c r="C114" s="1988"/>
      <c r="D114" s="1988"/>
      <c r="E114" s="1988"/>
      <c r="F114" s="1988"/>
      <c r="G114" s="758"/>
      <c r="H114" s="456"/>
      <c r="I114" s="456"/>
      <c r="J114" s="752"/>
      <c r="K114" s="729"/>
    </row>
    <row r="115" spans="1:18" ht="6" customHeight="1">
      <c r="A115" s="727"/>
      <c r="B115" s="726"/>
      <c r="C115" s="726"/>
      <c r="D115" s="726"/>
      <c r="E115" s="726"/>
      <c r="F115" s="726"/>
      <c r="G115" s="456"/>
      <c r="H115" s="456"/>
      <c r="I115" s="456"/>
      <c r="J115" s="752"/>
      <c r="K115" s="729"/>
    </row>
    <row r="116" spans="1:18" ht="20.25" customHeight="1">
      <c r="A116" s="727"/>
      <c r="B116" s="1982" t="s">
        <v>1102</v>
      </c>
      <c r="C116" s="1982"/>
      <c r="D116" s="1982"/>
      <c r="E116" s="1982"/>
      <c r="F116" s="1995">
        <f>H75</f>
        <v>0</v>
      </c>
      <c r="G116" s="1995"/>
      <c r="H116" s="456"/>
      <c r="I116" s="456"/>
      <c r="J116" s="752"/>
      <c r="K116" s="729"/>
    </row>
    <row r="117" spans="1:18" ht="18.75" customHeight="1">
      <c r="A117" s="727"/>
      <c r="B117" s="1988" t="s">
        <v>1098</v>
      </c>
      <c r="C117" s="1988"/>
      <c r="D117" s="1988"/>
      <c r="E117" s="1988"/>
      <c r="F117" s="1988"/>
      <c r="G117" s="708">
        <f>H56</f>
        <v>0</v>
      </c>
      <c r="H117" s="456"/>
      <c r="I117" s="456"/>
      <c r="J117" s="752"/>
      <c r="K117" s="729"/>
    </row>
    <row r="118" spans="1:18" ht="18.75" customHeight="1">
      <c r="A118" s="727"/>
      <c r="B118" s="1988" t="s">
        <v>1094</v>
      </c>
      <c r="C118" s="1988"/>
      <c r="D118" s="1988"/>
      <c r="E118" s="1988"/>
      <c r="F118" s="1988"/>
      <c r="G118" s="708">
        <f>H58</f>
        <v>0</v>
      </c>
      <c r="H118" s="456"/>
      <c r="I118" s="456"/>
      <c r="J118" s="752"/>
      <c r="K118" s="729"/>
    </row>
    <row r="119" spans="1:18" ht="18.75" customHeight="1">
      <c r="A119" s="727"/>
      <c r="B119" s="1988" t="s">
        <v>1095</v>
      </c>
      <c r="C119" s="1988"/>
      <c r="D119" s="1988"/>
      <c r="E119" s="1988"/>
      <c r="F119" s="1988"/>
      <c r="G119" s="708">
        <f>H60</f>
        <v>0</v>
      </c>
      <c r="H119" s="456"/>
      <c r="I119" s="456"/>
      <c r="J119" s="752"/>
      <c r="K119" s="729"/>
    </row>
    <row r="120" spans="1:18" ht="18.75" customHeight="1">
      <c r="A120" s="731"/>
      <c r="B120" s="1988" t="s">
        <v>1096</v>
      </c>
      <c r="C120" s="1988"/>
      <c r="D120" s="1988"/>
      <c r="E120" s="1988"/>
      <c r="F120" s="1988"/>
      <c r="G120" s="708">
        <f>H63</f>
        <v>0</v>
      </c>
      <c r="H120" s="718"/>
      <c r="I120" s="723"/>
      <c r="J120" s="752"/>
      <c r="K120" s="732"/>
      <c r="L120" s="408"/>
      <c r="M120" s="406"/>
      <c r="N120" s="406"/>
    </row>
    <row r="121" spans="1:18" ht="18.75" customHeight="1">
      <c r="A121" s="731"/>
      <c r="B121" s="1988" t="s">
        <v>1097</v>
      </c>
      <c r="C121" s="1988"/>
      <c r="D121" s="1988"/>
      <c r="E121" s="1988"/>
      <c r="F121" s="1988"/>
      <c r="G121" s="708">
        <f>H64</f>
        <v>0</v>
      </c>
      <c r="H121" s="718"/>
      <c r="I121" s="723"/>
      <c r="J121" s="752"/>
      <c r="K121" s="732"/>
      <c r="L121" s="408"/>
      <c r="M121" s="408"/>
      <c r="N121" s="408"/>
      <c r="O121" s="409"/>
      <c r="P121" s="409"/>
      <c r="Q121" s="409"/>
      <c r="R121" s="409"/>
    </row>
    <row r="122" spans="1:18" ht="18.75" customHeight="1" thickBot="1">
      <c r="A122" s="731"/>
      <c r="B122" s="1988" t="s">
        <v>991</v>
      </c>
      <c r="C122" s="1988"/>
      <c r="D122" s="1988"/>
      <c r="E122" s="1988"/>
      <c r="F122" s="1988"/>
      <c r="G122" s="754">
        <f>H72</f>
        <v>0</v>
      </c>
      <c r="H122" s="755"/>
      <c r="I122" s="756"/>
      <c r="J122" s="757"/>
      <c r="K122" s="732"/>
      <c r="L122" s="408"/>
      <c r="M122" s="408"/>
      <c r="N122" s="408"/>
      <c r="O122" s="409"/>
      <c r="P122" s="409"/>
      <c r="Q122" s="409"/>
      <c r="R122" s="409"/>
    </row>
    <row r="123" spans="1:18" ht="6.75" customHeight="1">
      <c r="A123" s="733"/>
      <c r="B123" s="734"/>
      <c r="C123" s="734"/>
      <c r="D123" s="734"/>
      <c r="E123" s="734"/>
      <c r="F123" s="734"/>
      <c r="G123" s="734"/>
      <c r="H123" s="735"/>
      <c r="I123" s="736"/>
      <c r="J123" s="734"/>
      <c r="K123" s="737"/>
      <c r="L123" s="408"/>
      <c r="M123" s="408"/>
      <c r="N123" s="408"/>
      <c r="O123" s="409"/>
      <c r="P123" s="409"/>
      <c r="Q123" s="409"/>
      <c r="R123" s="409"/>
    </row>
    <row r="124" spans="1:18" ht="25.5" customHeight="1" thickBot="1">
      <c r="A124" s="745"/>
      <c r="B124" s="1989" t="s">
        <v>1117</v>
      </c>
      <c r="C124" s="1989"/>
      <c r="D124" s="1989"/>
      <c r="E124" s="1989"/>
      <c r="F124" s="1989"/>
      <c r="G124" s="1989"/>
      <c r="H124" s="746" t="e">
        <f ca="1">H76</f>
        <v>#DIV/0!</v>
      </c>
      <c r="I124" s="747"/>
      <c r="J124" s="748"/>
      <c r="K124" s="749"/>
      <c r="L124" s="408"/>
      <c r="M124" s="408"/>
      <c r="N124" s="408"/>
      <c r="O124" s="409"/>
      <c r="P124" s="409"/>
      <c r="Q124" s="409"/>
      <c r="R124" s="409"/>
    </row>
    <row r="125" spans="1:18" ht="39" customHeight="1" thickBot="1">
      <c r="A125" s="1996" t="s">
        <v>1323</v>
      </c>
      <c r="B125" s="1996"/>
      <c r="C125" s="1996"/>
      <c r="D125" s="1996"/>
      <c r="E125" s="1996"/>
      <c r="F125" s="1996"/>
      <c r="G125" s="1996"/>
      <c r="H125" s="1997">
        <f>B84</f>
        <v>0</v>
      </c>
      <c r="I125" s="1998"/>
      <c r="J125" s="1998"/>
      <c r="K125" s="1998"/>
      <c r="L125" s="408"/>
      <c r="M125" s="408"/>
      <c r="N125" s="408"/>
      <c r="O125" s="409"/>
      <c r="P125" s="409"/>
      <c r="Q125" s="409"/>
      <c r="R125" s="409"/>
    </row>
    <row r="126" spans="1:18" ht="21" customHeight="1">
      <c r="A126" s="887"/>
      <c r="B126" s="888">
        <f>'فرم الف'!D22</f>
        <v>0</v>
      </c>
      <c r="C126" s="889" t="s">
        <v>1343</v>
      </c>
      <c r="D126" s="1999" t="s">
        <v>1324</v>
      </c>
      <c r="E126" s="1999"/>
      <c r="F126" s="887"/>
      <c r="G126" s="726">
        <f>'فرم الف'!L22</f>
        <v>0</v>
      </c>
      <c r="H126" s="1999" t="s">
        <v>1343</v>
      </c>
      <c r="I126" s="1999"/>
      <c r="J126" s="1999" t="s">
        <v>1325</v>
      </c>
      <c r="K126" s="1999"/>
      <c r="L126" s="408"/>
      <c r="M126" s="408"/>
      <c r="N126" s="408"/>
      <c r="O126" s="409"/>
      <c r="P126" s="409"/>
      <c r="Q126" s="409"/>
      <c r="R126" s="409"/>
    </row>
    <row r="127" spans="1:18" ht="21" customHeight="1">
      <c r="A127" s="887"/>
      <c r="B127" s="890"/>
      <c r="C127" s="889"/>
      <c r="D127" s="1999"/>
      <c r="E127" s="1999"/>
      <c r="F127" s="887"/>
      <c r="G127" s="726">
        <f>'فرم الف'!I22</f>
        <v>0</v>
      </c>
      <c r="H127" s="1999" t="s">
        <v>1344</v>
      </c>
      <c r="I127" s="1999"/>
      <c r="J127" s="1999"/>
      <c r="K127" s="1999"/>
      <c r="L127" s="409"/>
      <c r="M127" s="409"/>
      <c r="N127" s="409"/>
      <c r="O127" s="409"/>
      <c r="P127" s="409"/>
      <c r="Q127" s="409"/>
      <c r="R127" s="409"/>
    </row>
    <row r="128" spans="1:18" ht="21" customHeight="1">
      <c r="A128" s="887"/>
      <c r="B128" s="891">
        <f>'فرم الف'!B22</f>
        <v>0</v>
      </c>
      <c r="C128" s="889" t="s">
        <v>1344</v>
      </c>
      <c r="D128" s="1999"/>
      <c r="E128" s="1999"/>
      <c r="F128" s="887"/>
      <c r="G128" s="726">
        <f>'فرم الف'!F22</f>
        <v>0</v>
      </c>
      <c r="H128" s="1999" t="s">
        <v>1345</v>
      </c>
      <c r="I128" s="1999"/>
      <c r="J128" s="1999"/>
      <c r="K128" s="1999"/>
      <c r="L128" s="409"/>
      <c r="M128" s="409"/>
      <c r="N128" s="409"/>
      <c r="O128" s="409"/>
      <c r="P128" s="409"/>
      <c r="Q128" s="409"/>
      <c r="R128" s="409"/>
    </row>
    <row r="129" spans="1:18" ht="9" customHeight="1" thickBot="1">
      <c r="A129" s="1990"/>
      <c r="B129" s="1990"/>
      <c r="C129" s="1990"/>
      <c r="D129" s="1990"/>
      <c r="E129" s="1990"/>
      <c r="F129" s="1990"/>
      <c r="G129" s="1990"/>
      <c r="H129" s="1990"/>
      <c r="I129" s="1990"/>
      <c r="J129" s="1990"/>
      <c r="K129" s="1990"/>
      <c r="L129" s="408"/>
      <c r="M129" s="408"/>
      <c r="N129" s="408"/>
      <c r="O129" s="409"/>
      <c r="P129" s="409"/>
      <c r="Q129" s="409"/>
      <c r="R129" s="409"/>
    </row>
    <row r="130" spans="1:18" ht="27" customHeight="1">
      <c r="A130" s="1977" t="s">
        <v>701</v>
      </c>
      <c r="B130" s="1978"/>
      <c r="C130" s="2008" t="s">
        <v>702</v>
      </c>
      <c r="D130" s="2010" t="s">
        <v>13</v>
      </c>
      <c r="E130" s="2010"/>
      <c r="F130" s="2012" t="s">
        <v>1016</v>
      </c>
      <c r="G130" s="2012"/>
      <c r="H130" s="2010" t="s">
        <v>1017</v>
      </c>
      <c r="I130" s="2010"/>
      <c r="J130" s="2010" t="s">
        <v>703</v>
      </c>
      <c r="K130" s="2006" t="s">
        <v>1009</v>
      </c>
      <c r="L130" s="408"/>
      <c r="M130" s="408"/>
      <c r="N130" s="408"/>
      <c r="O130" s="409"/>
      <c r="P130" s="409"/>
      <c r="Q130" s="409"/>
      <c r="R130" s="409"/>
    </row>
    <row r="131" spans="1:18" ht="27" customHeight="1" thickBot="1">
      <c r="A131" s="2014" t="str">
        <f>H6</f>
        <v/>
      </c>
      <c r="B131" s="2015"/>
      <c r="C131" s="2009"/>
      <c r="D131" s="2011"/>
      <c r="E131" s="2011"/>
      <c r="F131" s="2013"/>
      <c r="G131" s="2013"/>
      <c r="H131" s="2011"/>
      <c r="I131" s="2011"/>
      <c r="J131" s="2011"/>
      <c r="K131" s="2007"/>
      <c r="L131" s="408"/>
      <c r="M131" s="408"/>
      <c r="N131" s="408"/>
      <c r="O131" s="409"/>
      <c r="P131" s="409"/>
      <c r="Q131" s="409"/>
      <c r="R131" s="409"/>
    </row>
    <row r="132" spans="1:18" ht="37.5" customHeight="1" thickBot="1">
      <c r="A132" s="2001" t="s">
        <v>1015</v>
      </c>
      <c r="B132" s="2002"/>
      <c r="C132" s="445">
        <f>'بند3-1مقاله علمي پژوهشيJCRو...'!AA306</f>
        <v>0</v>
      </c>
      <c r="D132" s="2000">
        <f ca="1">'بند3-1مقاله علمي پژوهشيJCRو...'!S306</f>
        <v>0</v>
      </c>
      <c r="E132" s="2000"/>
      <c r="F132" s="2005">
        <f>'بند3-1مقاله علمي پژوهشيJCRو...'!AR306</f>
        <v>0</v>
      </c>
      <c r="G132" s="2005"/>
      <c r="H132" s="2000">
        <f>'بند3-1مقاله علمي پژوهشيJCRو...'!AS306</f>
        <v>0</v>
      </c>
      <c r="I132" s="2000"/>
      <c r="J132" s="446"/>
      <c r="K132" s="447" t="e">
        <f ca="1">('بند3-1مقاله علمي پژوهشيJCRو...'!AS306*100)/'بند3-1مقاله علمي پژوهشيJCRو...'!S306</f>
        <v>#DIV/0!</v>
      </c>
      <c r="L132" s="408"/>
      <c r="M132" s="408"/>
      <c r="N132" s="408"/>
      <c r="O132" s="409"/>
      <c r="P132" s="409"/>
      <c r="Q132" s="409"/>
      <c r="R132" s="409"/>
    </row>
    <row r="133" spans="1:18" ht="37.5" customHeight="1" thickBot="1">
      <c r="A133" s="2003" t="s">
        <v>1037</v>
      </c>
      <c r="B133" s="2004"/>
      <c r="C133" s="448">
        <f>'بند3-1مقاله علمي پژوهشيJCRو...'!AH306</f>
        <v>0</v>
      </c>
      <c r="D133" s="1971">
        <f>'بند3-1مقاله علمي پژوهشيJCRو...'!AY306</f>
        <v>0</v>
      </c>
      <c r="E133" s="1971"/>
      <c r="F133" s="1970">
        <f>'بند3-1مقاله علمي پژوهشيJCRو...'!AZ306</f>
        <v>0</v>
      </c>
      <c r="G133" s="1970"/>
      <c r="H133" s="1971">
        <f>'بند3-1مقاله علمي پژوهشيJCRو...'!BA306</f>
        <v>0</v>
      </c>
      <c r="I133" s="1971"/>
      <c r="J133" s="449" t="e">
        <f ca="1">(D133*100)/D132</f>
        <v>#DIV/0!</v>
      </c>
      <c r="K133" s="450" t="e">
        <f ca="1">(H133*100)/D132</f>
        <v>#DIV/0!</v>
      </c>
      <c r="L133" s="408"/>
      <c r="M133" s="408"/>
      <c r="N133" s="408"/>
      <c r="O133" s="409"/>
      <c r="P133" s="409"/>
      <c r="Q133" s="409"/>
      <c r="R133" s="409"/>
    </row>
    <row r="134" spans="1:18" ht="37.5" customHeight="1" thickBot="1">
      <c r="A134" s="2003" t="s">
        <v>1038</v>
      </c>
      <c r="B134" s="2004"/>
      <c r="C134" s="448">
        <f>'بند3-1مقاله علمي پژوهشيJCRو...'!AI306</f>
        <v>0</v>
      </c>
      <c r="D134" s="1971">
        <f>'بند3-1مقاله علمي پژوهشيJCRو...'!BE306</f>
        <v>0</v>
      </c>
      <c r="E134" s="1971"/>
      <c r="F134" s="1970">
        <f>'بند3-1مقاله علمي پژوهشيJCRو...'!BF306</f>
        <v>0</v>
      </c>
      <c r="G134" s="1970"/>
      <c r="H134" s="1971">
        <f>'بند3-1مقاله علمي پژوهشيJCRو...'!BG306</f>
        <v>0</v>
      </c>
      <c r="I134" s="1971"/>
      <c r="J134" s="449" t="e">
        <f ca="1">(D134*100)/D132</f>
        <v>#DIV/0!</v>
      </c>
      <c r="K134" s="450" t="e">
        <f ca="1">(H134*100)/D132</f>
        <v>#DIV/0!</v>
      </c>
      <c r="L134" s="408"/>
      <c r="M134" s="408"/>
      <c r="N134" s="408"/>
      <c r="O134" s="409"/>
      <c r="P134" s="409"/>
      <c r="Q134" s="409"/>
      <c r="R134" s="409"/>
    </row>
    <row r="135" spans="1:18" ht="37.5" customHeight="1" thickBot="1">
      <c r="A135" s="2003" t="s">
        <v>994</v>
      </c>
      <c r="B135" s="2004"/>
      <c r="C135" s="448">
        <f>'بند3-1مقاله علمي پژوهشيJCRو...'!AJ306</f>
        <v>0</v>
      </c>
      <c r="D135" s="1971">
        <f>'بند3-1مقاله علمي پژوهشيJCRو...'!BK306</f>
        <v>0</v>
      </c>
      <c r="E135" s="1971"/>
      <c r="F135" s="1970">
        <f>'بند3-1مقاله علمي پژوهشيJCRو...'!BL306</f>
        <v>0</v>
      </c>
      <c r="G135" s="1970"/>
      <c r="H135" s="1971">
        <f>'بند3-1مقاله علمي پژوهشيJCRو...'!BM306</f>
        <v>0</v>
      </c>
      <c r="I135" s="1971"/>
      <c r="J135" s="449" t="e">
        <f ca="1">(D135*100)/D132</f>
        <v>#DIV/0!</v>
      </c>
      <c r="K135" s="451" t="e">
        <f ca="1">(H135*100)/D132</f>
        <v>#DIV/0!</v>
      </c>
      <c r="L135" s="408"/>
      <c r="M135" s="408"/>
      <c r="N135" s="408"/>
      <c r="O135" s="409"/>
      <c r="P135" s="409"/>
      <c r="Q135" s="409"/>
      <c r="R135" s="409"/>
    </row>
    <row r="136" spans="1:18" ht="37.5" customHeight="1" thickBot="1">
      <c r="A136" s="2003" t="s">
        <v>993</v>
      </c>
      <c r="B136" s="2004"/>
      <c r="C136" s="452">
        <f>'بند3-1مقاله علمي پژوهشيJCRو...'!AK306</f>
        <v>0</v>
      </c>
      <c r="D136" s="1971">
        <f>'بند3-1مقاله علمي پژوهشيJCRو...'!BQ306</f>
        <v>0</v>
      </c>
      <c r="E136" s="1971"/>
      <c r="F136" s="1970">
        <f>'بند3-1مقاله علمي پژوهشيJCRو...'!BR306</f>
        <v>0</v>
      </c>
      <c r="G136" s="1970"/>
      <c r="H136" s="1971">
        <f>'بند3-1مقاله علمي پژوهشيJCRو...'!BS306</f>
        <v>0</v>
      </c>
      <c r="I136" s="1971"/>
      <c r="J136" s="453" t="e">
        <f ca="1">(D136*100)/D132</f>
        <v>#DIV/0!</v>
      </c>
      <c r="K136" s="451" t="e">
        <f ca="1">(H136*100)/D132</f>
        <v>#DIV/0!</v>
      </c>
      <c r="L136" s="408"/>
      <c r="M136" s="408"/>
      <c r="N136" s="408"/>
      <c r="O136" s="409"/>
      <c r="P136" s="409"/>
      <c r="Q136" s="409"/>
      <c r="R136" s="409"/>
    </row>
    <row r="137" spans="1:18" ht="37.5" customHeight="1" thickBot="1">
      <c r="A137" s="2003" t="s">
        <v>992</v>
      </c>
      <c r="B137" s="2004"/>
      <c r="C137" s="454">
        <f>'بند3-1مقاله علمي پژوهشيJCRو...'!AL306</f>
        <v>0</v>
      </c>
      <c r="D137" s="1971">
        <f>'بند3-1مقاله علمي پژوهشيJCRو...'!BW306</f>
        <v>0</v>
      </c>
      <c r="E137" s="1971"/>
      <c r="F137" s="1970">
        <f>'بند3-1مقاله علمي پژوهشيJCRو...'!BX306</f>
        <v>0</v>
      </c>
      <c r="G137" s="1970"/>
      <c r="H137" s="1971">
        <f>'بند3-1مقاله علمي پژوهشيJCRو...'!BY306</f>
        <v>0</v>
      </c>
      <c r="I137" s="1971"/>
      <c r="J137" s="449" t="e">
        <f ca="1">(D137*100)/D132</f>
        <v>#DIV/0!</v>
      </c>
      <c r="K137" s="450" t="e">
        <f ca="1">(H137*100)/D132</f>
        <v>#DIV/0!</v>
      </c>
      <c r="L137" s="408"/>
      <c r="M137" s="408"/>
      <c r="N137" s="408"/>
      <c r="O137" s="409"/>
      <c r="P137" s="409"/>
      <c r="Q137" s="409"/>
      <c r="R137" s="409"/>
    </row>
    <row r="138" spans="1:18" ht="37.5" customHeight="1" thickBot="1">
      <c r="A138" s="2055" t="s">
        <v>1314</v>
      </c>
      <c r="B138" s="2056"/>
      <c r="C138" s="454">
        <f>'بند3-1مقاله علمي پژوهشيJCRو...'!AM306</f>
        <v>0</v>
      </c>
      <c r="D138" s="1971">
        <f>'بند3-1مقاله علمي پژوهشيJCRو...'!CC306</f>
        <v>0</v>
      </c>
      <c r="E138" s="1971"/>
      <c r="F138" s="1970">
        <f>'بند3-1مقاله علمي پژوهشيJCRو...'!CD306</f>
        <v>0</v>
      </c>
      <c r="G138" s="1970"/>
      <c r="H138" s="1971">
        <f>'بند3-1مقاله علمي پژوهشيJCRو...'!CE306</f>
        <v>0</v>
      </c>
      <c r="I138" s="1971"/>
      <c r="J138" s="449" t="e">
        <f ca="1">(D138*100)/D132</f>
        <v>#DIV/0!</v>
      </c>
      <c r="K138" s="450" t="e">
        <f ca="1">(H138*100)/D132</f>
        <v>#DIV/0!</v>
      </c>
      <c r="L138" s="408"/>
      <c r="M138" s="408"/>
      <c r="N138" s="408"/>
      <c r="O138" s="409"/>
      <c r="P138" s="409"/>
      <c r="Q138" s="409"/>
      <c r="R138" s="409"/>
    </row>
    <row r="139" spans="1:18" ht="40.5" customHeight="1" thickBot="1">
      <c r="A139" s="2063" t="s">
        <v>1044</v>
      </c>
      <c r="B139" s="2064"/>
      <c r="C139" s="2065"/>
      <c r="D139" s="2062" t="e">
        <f ca="1">D132/H88</f>
        <v>#DIV/0!</v>
      </c>
      <c r="E139" s="2062"/>
      <c r="F139" s="2066" t="s">
        <v>1045</v>
      </c>
      <c r="G139" s="2067"/>
      <c r="H139" s="2067"/>
      <c r="I139" s="2067"/>
      <c r="J139" s="2068"/>
      <c r="K139" s="455" t="e">
        <f ca="1">D132/C132</f>
        <v>#DIV/0!</v>
      </c>
      <c r="L139" s="408"/>
      <c r="M139" s="408"/>
      <c r="N139" s="408"/>
      <c r="O139" s="409"/>
      <c r="P139" s="409"/>
      <c r="Q139" s="409"/>
      <c r="R139" s="409"/>
    </row>
    <row r="140" spans="1:18" ht="7.5" customHeight="1">
      <c r="A140" s="480"/>
      <c r="B140" s="480"/>
      <c r="C140" s="481"/>
      <c r="D140" s="482"/>
      <c r="E140" s="482"/>
      <c r="F140" s="481"/>
      <c r="G140" s="481"/>
      <c r="H140" s="482"/>
      <c r="I140" s="482"/>
      <c r="J140" s="483"/>
      <c r="K140" s="484"/>
      <c r="L140" s="408"/>
      <c r="M140" s="408"/>
      <c r="N140" s="408"/>
      <c r="O140" s="409"/>
      <c r="P140" s="409"/>
      <c r="Q140" s="409"/>
      <c r="R140" s="409"/>
    </row>
    <row r="141" spans="1:18" ht="27.75" customHeight="1">
      <c r="A141" s="2054" t="s">
        <v>1048</v>
      </c>
      <c r="B141" s="2054"/>
      <c r="C141" s="481"/>
      <c r="D141" s="482"/>
      <c r="E141" s="482"/>
      <c r="F141" s="481"/>
      <c r="G141" s="481"/>
      <c r="H141" s="482"/>
      <c r="I141" s="482"/>
      <c r="J141" s="483"/>
      <c r="K141" s="484"/>
    </row>
    <row r="142" spans="1:18" ht="29.25" customHeight="1">
      <c r="A142" s="480"/>
      <c r="B142" s="2058" t="s">
        <v>1109</v>
      </c>
      <c r="C142" s="2058"/>
      <c r="D142" s="2058"/>
      <c r="E142" s="2058"/>
      <c r="F142" s="2058"/>
      <c r="G142" s="2058"/>
      <c r="H142" s="715">
        <f ca="1">'بند3-1مقاله علمي پژوهشيJCRو...'!AC306</f>
        <v>0</v>
      </c>
      <c r="I142" s="2059" t="s">
        <v>1049</v>
      </c>
      <c r="J142" s="2059"/>
      <c r="K142" s="2059"/>
    </row>
    <row r="143" spans="1:18" ht="27.75" hidden="1" customHeight="1">
      <c r="A143" s="2054" t="s">
        <v>1012</v>
      </c>
      <c r="B143" s="2054"/>
      <c r="C143" s="2053"/>
      <c r="D143" s="2053"/>
      <c r="E143" s="2053"/>
      <c r="F143" s="2053"/>
      <c r="G143" s="2053"/>
      <c r="K143" s="406"/>
    </row>
    <row r="144" spans="1:18" ht="19.5" hidden="1" customHeight="1">
      <c r="A144" s="486"/>
      <c r="B144" s="2058" t="s">
        <v>1014</v>
      </c>
      <c r="C144" s="2058"/>
      <c r="D144" s="2058"/>
      <c r="E144" s="2058"/>
      <c r="F144" s="2058"/>
      <c r="G144" s="2058"/>
      <c r="H144" s="489">
        <f ca="1">'بند3-1مقاله علمي پژوهشيJCRو...'!AB306</f>
        <v>0</v>
      </c>
      <c r="I144" s="2059" t="s">
        <v>1011</v>
      </c>
      <c r="J144" s="2059"/>
      <c r="K144" s="2059"/>
    </row>
    <row r="145" spans="1:11" ht="23.25" hidden="1" customHeight="1">
      <c r="A145" s="2054" t="s">
        <v>1013</v>
      </c>
      <c r="B145" s="2054"/>
      <c r="C145" s="489"/>
      <c r="D145" s="489"/>
      <c r="E145" s="489"/>
      <c r="F145" s="489"/>
      <c r="G145" s="489"/>
      <c r="H145" s="489"/>
      <c r="I145" s="485"/>
      <c r="J145" s="489"/>
      <c r="K145" s="489"/>
    </row>
    <row r="146" spans="1:11" ht="23.25" hidden="1" customHeight="1">
      <c r="A146" s="489"/>
      <c r="B146" s="2058" t="s">
        <v>1019</v>
      </c>
      <c r="C146" s="2058"/>
      <c r="D146" s="2058"/>
      <c r="E146" s="2058"/>
      <c r="F146" s="2058"/>
      <c r="G146" s="2058"/>
      <c r="H146" s="2058"/>
      <c r="I146" s="489">
        <f>C135</f>
        <v>0</v>
      </c>
      <c r="J146" s="2057" t="s">
        <v>1020</v>
      </c>
      <c r="K146" s="2057"/>
    </row>
    <row r="147" spans="1:11" ht="23.25" hidden="1" customHeight="1">
      <c r="A147" s="486">
        <f ca="1">'بند3-1مقاله علمي پژوهشيJCRو...'!AD306</f>
        <v>0</v>
      </c>
      <c r="B147" s="2053" t="s">
        <v>1021</v>
      </c>
      <c r="C147" s="2053"/>
      <c r="D147" s="2053"/>
      <c r="E147" s="710">
        <f ca="1">'بند3-1مقاله علمي پژوهشيJCRو...'!AE306</f>
        <v>0</v>
      </c>
      <c r="F147" s="2053" t="s">
        <v>1022</v>
      </c>
      <c r="G147" s="2053"/>
      <c r="H147" s="490">
        <f ca="1">'بند3-1مقاله علمي پژوهشيJCRو...'!AF306</f>
        <v>0</v>
      </c>
      <c r="I147" s="2057" t="s">
        <v>1047</v>
      </c>
      <c r="J147" s="2057"/>
      <c r="K147" s="2057"/>
    </row>
    <row r="148" spans="1:11" ht="23.25" hidden="1" customHeight="1">
      <c r="A148" s="2053" t="s">
        <v>1023</v>
      </c>
      <c r="B148" s="2053"/>
      <c r="C148" s="2053"/>
      <c r="D148" s="2053"/>
      <c r="E148" s="710">
        <f ca="1">'بند3-1مقاله علمي پژوهشيJCRو...'!AG306</f>
        <v>0</v>
      </c>
      <c r="F148" s="2059" t="s">
        <v>1018</v>
      </c>
      <c r="G148" s="2059"/>
      <c r="H148" s="487"/>
      <c r="I148" s="487"/>
      <c r="J148" s="487"/>
      <c r="K148" s="487"/>
    </row>
    <row r="149" spans="1:11" ht="23.25" customHeight="1">
      <c r="A149" s="716"/>
      <c r="B149" s="716"/>
      <c r="C149" s="716"/>
      <c r="D149" s="716"/>
      <c r="E149" s="710"/>
      <c r="F149" s="717"/>
      <c r="G149" s="717"/>
      <c r="H149" s="487"/>
      <c r="I149" s="487"/>
      <c r="J149" s="487"/>
      <c r="K149" s="487"/>
    </row>
    <row r="150" spans="1:11" ht="23.25" customHeight="1">
      <c r="A150" s="457"/>
      <c r="F150" s="488" t="s">
        <v>125</v>
      </c>
    </row>
    <row r="151" spans="1:11" ht="23.25" customHeight="1">
      <c r="A151" s="457"/>
      <c r="B151" s="457"/>
      <c r="C151" s="2051">
        <f>'فرم ب - 3'!I8</f>
        <v>0</v>
      </c>
      <c r="D151" s="2051"/>
      <c r="E151" s="2051"/>
      <c r="F151" s="2051"/>
      <c r="G151" s="2051"/>
      <c r="H151" s="2051"/>
      <c r="I151" s="2051"/>
      <c r="J151" s="2051"/>
    </row>
    <row r="152" spans="1:11" ht="23.25" customHeight="1">
      <c r="A152" s="442"/>
      <c r="B152" s="2050" t="s">
        <v>1046</v>
      </c>
      <c r="C152" s="2050"/>
      <c r="D152" s="2051" t="str">
        <f>E4</f>
        <v/>
      </c>
      <c r="E152" s="2051"/>
      <c r="F152" s="2051"/>
      <c r="G152" s="2051"/>
      <c r="H152" s="2051"/>
      <c r="I152" s="2052" t="s">
        <v>1051</v>
      </c>
      <c r="J152" s="2052"/>
      <c r="K152" s="2052"/>
    </row>
    <row r="153" spans="1:11" ht="23.25" customHeight="1">
      <c r="A153" s="457"/>
      <c r="B153" s="457"/>
      <c r="C153" s="457"/>
      <c r="D153" s="457"/>
      <c r="E153" s="457"/>
      <c r="F153" s="457"/>
      <c r="G153" s="457"/>
      <c r="H153" s="457"/>
    </row>
    <row r="154" spans="1:11" ht="23.25" customHeight="1">
      <c r="A154" s="457"/>
      <c r="B154" s="457"/>
      <c r="C154" s="457"/>
      <c r="D154" s="457"/>
      <c r="E154" s="457"/>
      <c r="F154" s="457"/>
      <c r="G154" s="457"/>
      <c r="H154" s="457"/>
    </row>
    <row r="155" spans="1:11" ht="23.25" customHeight="1">
      <c r="A155" s="442"/>
      <c r="B155" s="442"/>
      <c r="C155" s="442"/>
      <c r="D155" s="442"/>
      <c r="E155" s="442"/>
      <c r="F155" s="442"/>
      <c r="G155" s="442"/>
      <c r="H155" s="442"/>
    </row>
    <row r="156" spans="1:11" ht="23.25" customHeight="1">
      <c r="A156" s="442"/>
      <c r="B156" s="442"/>
      <c r="C156" s="442"/>
      <c r="D156" s="442"/>
      <c r="E156" s="442"/>
      <c r="F156" s="442"/>
      <c r="G156" s="442"/>
      <c r="H156" s="442"/>
    </row>
    <row r="157" spans="1:11" ht="23.25" customHeight="1">
      <c r="A157" s="442"/>
      <c r="B157" s="442"/>
      <c r="C157" s="442"/>
      <c r="D157" s="442"/>
      <c r="E157" s="442"/>
      <c r="F157" s="442"/>
      <c r="G157" s="442"/>
      <c r="H157" s="442"/>
    </row>
    <row r="158" spans="1:11" ht="23.25" customHeight="1">
      <c r="A158" s="457"/>
      <c r="B158" s="457"/>
    </row>
    <row r="159" spans="1:11" ht="23.25" customHeight="1">
      <c r="A159" s="457"/>
      <c r="B159" s="457"/>
    </row>
  </sheetData>
  <sheetProtection algorithmName="SHA-512" hashValue="Y5ojT2jhuGpVN+aTcSkaG7uGx/JcfVhVDFgkscuKaByCc2Gg71sYUh0NofI4DVw4d5PX4XAShFDYmRuJy5Sl6A==" saltValue="b9j25QclJRGltc7EBz6mvQ==" spinCount="100000" sheet="1" objects="1" scenarios="1" selectLockedCells="1"/>
  <mergeCells count="217">
    <mergeCell ref="A28:A52"/>
    <mergeCell ref="K39:K46"/>
    <mergeCell ref="G48:G51"/>
    <mergeCell ref="B48:D48"/>
    <mergeCell ref="B49:D49"/>
    <mergeCell ref="B50:D50"/>
    <mergeCell ref="B51:D51"/>
    <mergeCell ref="E48:E51"/>
    <mergeCell ref="I48:K49"/>
    <mergeCell ref="I50:K51"/>
    <mergeCell ref="J126:K128"/>
    <mergeCell ref="H127:I127"/>
    <mergeCell ref="H128:I128"/>
    <mergeCell ref="G106:I106"/>
    <mergeCell ref="B97:E97"/>
    <mergeCell ref="B107:F107"/>
    <mergeCell ref="B108:F108"/>
    <mergeCell ref="B109:F109"/>
    <mergeCell ref="B110:F110"/>
    <mergeCell ref="B111:F111"/>
    <mergeCell ref="B113:F113"/>
    <mergeCell ref="B114:F114"/>
    <mergeCell ref="B119:F119"/>
    <mergeCell ref="B98:F98"/>
    <mergeCell ref="B99:F99"/>
    <mergeCell ref="B100:F100"/>
    <mergeCell ref="B101:F101"/>
    <mergeCell ref="B102:F102"/>
    <mergeCell ref="B103:F103"/>
    <mergeCell ref="B104:F104"/>
    <mergeCell ref="E86:H86"/>
    <mergeCell ref="A86:B86"/>
    <mergeCell ref="B147:D147"/>
    <mergeCell ref="J146:K146"/>
    <mergeCell ref="B146:H146"/>
    <mergeCell ref="H133:I133"/>
    <mergeCell ref="F136:G136"/>
    <mergeCell ref="A136:B136"/>
    <mergeCell ref="A137:B137"/>
    <mergeCell ref="A134:B134"/>
    <mergeCell ref="D133:E133"/>
    <mergeCell ref="F133:G133"/>
    <mergeCell ref="D139:E139"/>
    <mergeCell ref="A139:C139"/>
    <mergeCell ref="F139:J139"/>
    <mergeCell ref="H135:I135"/>
    <mergeCell ref="D136:E136"/>
    <mergeCell ref="D137:E137"/>
    <mergeCell ref="F137:G137"/>
    <mergeCell ref="H137:I137"/>
    <mergeCell ref="F135:G135"/>
    <mergeCell ref="H136:I136"/>
    <mergeCell ref="A135:B135"/>
    <mergeCell ref="D135:E135"/>
    <mergeCell ref="B152:C152"/>
    <mergeCell ref="D152:H152"/>
    <mergeCell ref="I152:K152"/>
    <mergeCell ref="D138:E138"/>
    <mergeCell ref="F138:G138"/>
    <mergeCell ref="H138:I138"/>
    <mergeCell ref="A148:D148"/>
    <mergeCell ref="C143:G143"/>
    <mergeCell ref="A143:B143"/>
    <mergeCell ref="A145:B145"/>
    <mergeCell ref="A138:B138"/>
    <mergeCell ref="F147:G147"/>
    <mergeCell ref="I147:K147"/>
    <mergeCell ref="C151:J151"/>
    <mergeCell ref="A141:B141"/>
    <mergeCell ref="B142:G142"/>
    <mergeCell ref="I142:K142"/>
    <mergeCell ref="F148:G148"/>
    <mergeCell ref="I144:K144"/>
    <mergeCell ref="B144:G144"/>
    <mergeCell ref="G85:K85"/>
    <mergeCell ref="D79:F79"/>
    <mergeCell ref="F116:G116"/>
    <mergeCell ref="E88:G88"/>
    <mergeCell ref="B41:E41"/>
    <mergeCell ref="B33:E33"/>
    <mergeCell ref="A56:A75"/>
    <mergeCell ref="B75:E75"/>
    <mergeCell ref="I42:I43"/>
    <mergeCell ref="A76:E76"/>
    <mergeCell ref="A78:G78"/>
    <mergeCell ref="A79:B79"/>
    <mergeCell ref="A84:K84"/>
    <mergeCell ref="B63:E63"/>
    <mergeCell ref="B74:E74"/>
    <mergeCell ref="B39:E39"/>
    <mergeCell ref="B69:E69"/>
    <mergeCell ref="B56:E56"/>
    <mergeCell ref="B57:E57"/>
    <mergeCell ref="B58:E58"/>
    <mergeCell ref="B59:E59"/>
    <mergeCell ref="B60:E60"/>
    <mergeCell ref="K66:K74"/>
    <mergeCell ref="B65:E65"/>
    <mergeCell ref="A2:K2"/>
    <mergeCell ref="A4:D4"/>
    <mergeCell ref="E4:I4"/>
    <mergeCell ref="J4:K4"/>
    <mergeCell ref="A5:B5"/>
    <mergeCell ref="C5:D5"/>
    <mergeCell ref="E5:F5"/>
    <mergeCell ref="G5:H5"/>
    <mergeCell ref="I5:K5"/>
    <mergeCell ref="G3:H3"/>
    <mergeCell ref="H6:I6"/>
    <mergeCell ref="J6:K6"/>
    <mergeCell ref="A7:B7"/>
    <mergeCell ref="C7:E7"/>
    <mergeCell ref="F7:K7"/>
    <mergeCell ref="B9:E9"/>
    <mergeCell ref="A6:B6"/>
    <mergeCell ref="C6:D6"/>
    <mergeCell ref="E6:G6"/>
    <mergeCell ref="A10:A20"/>
    <mergeCell ref="A21:A25"/>
    <mergeCell ref="B10:E10"/>
    <mergeCell ref="B11:E11"/>
    <mergeCell ref="B12:E12"/>
    <mergeCell ref="B13:E13"/>
    <mergeCell ref="B14:E14"/>
    <mergeCell ref="B15:E15"/>
    <mergeCell ref="B16:E16"/>
    <mergeCell ref="B17:E17"/>
    <mergeCell ref="B22:E22"/>
    <mergeCell ref="B24:E24"/>
    <mergeCell ref="B19:E19"/>
    <mergeCell ref="B18:E18"/>
    <mergeCell ref="B20:E20"/>
    <mergeCell ref="B21:E21"/>
    <mergeCell ref="B23:E23"/>
    <mergeCell ref="B25:E25"/>
    <mergeCell ref="B70:E70"/>
    <mergeCell ref="B71:E71"/>
    <mergeCell ref="B68:E68"/>
    <mergeCell ref="B73:E73"/>
    <mergeCell ref="F40:F41"/>
    <mergeCell ref="J42:J43"/>
    <mergeCell ref="B64:E64"/>
    <mergeCell ref="B61:E61"/>
    <mergeCell ref="K29:K37"/>
    <mergeCell ref="B66:E66"/>
    <mergeCell ref="B67:E67"/>
    <mergeCell ref="B31:E31"/>
    <mergeCell ref="B32:E32"/>
    <mergeCell ref="B37:E37"/>
    <mergeCell ref="B38:E38"/>
    <mergeCell ref="B62:E62"/>
    <mergeCell ref="H42:H43"/>
    <mergeCell ref="B34:E34"/>
    <mergeCell ref="K57:K64"/>
    <mergeCell ref="B42:E42"/>
    <mergeCell ref="B52:E52"/>
    <mergeCell ref="D132:E132"/>
    <mergeCell ref="A132:B132"/>
    <mergeCell ref="D134:E134"/>
    <mergeCell ref="A133:B133"/>
    <mergeCell ref="F132:G132"/>
    <mergeCell ref="K130:K131"/>
    <mergeCell ref="C130:C131"/>
    <mergeCell ref="D130:E131"/>
    <mergeCell ref="F130:G131"/>
    <mergeCell ref="H130:I131"/>
    <mergeCell ref="J130:J131"/>
    <mergeCell ref="A131:B131"/>
    <mergeCell ref="H132:I132"/>
    <mergeCell ref="E87:G87"/>
    <mergeCell ref="B120:F120"/>
    <mergeCell ref="B121:F121"/>
    <mergeCell ref="B124:G124"/>
    <mergeCell ref="A129:K129"/>
    <mergeCell ref="B117:F117"/>
    <mergeCell ref="B118:F118"/>
    <mergeCell ref="B122:F122"/>
    <mergeCell ref="C87:D87"/>
    <mergeCell ref="C88:D88"/>
    <mergeCell ref="C95:F95"/>
    <mergeCell ref="B90:E90"/>
    <mergeCell ref="B92:E92"/>
    <mergeCell ref="C93:F93"/>
    <mergeCell ref="C94:F94"/>
    <mergeCell ref="F90:G90"/>
    <mergeCell ref="F92:G92"/>
    <mergeCell ref="B105:F105"/>
    <mergeCell ref="B106:F106"/>
    <mergeCell ref="B112:F112"/>
    <mergeCell ref="A125:G125"/>
    <mergeCell ref="H125:K125"/>
    <mergeCell ref="D126:E128"/>
    <mergeCell ref="H126:I126"/>
    <mergeCell ref="B27:E27"/>
    <mergeCell ref="B43:E43"/>
    <mergeCell ref="B44:E44"/>
    <mergeCell ref="F134:G134"/>
    <mergeCell ref="H134:I134"/>
    <mergeCell ref="C80:D80"/>
    <mergeCell ref="B72:E72"/>
    <mergeCell ref="B35:E35"/>
    <mergeCell ref="B36:E36"/>
    <mergeCell ref="B45:E45"/>
    <mergeCell ref="B46:E46"/>
    <mergeCell ref="B28:E28"/>
    <mergeCell ref="B29:E29"/>
    <mergeCell ref="B30:E30"/>
    <mergeCell ref="B40:E40"/>
    <mergeCell ref="A130:B130"/>
    <mergeCell ref="B85:D85"/>
    <mergeCell ref="E85:F85"/>
    <mergeCell ref="C86:D86"/>
    <mergeCell ref="B116:E116"/>
    <mergeCell ref="G79:J79"/>
    <mergeCell ref="B47:E47"/>
    <mergeCell ref="B55:E55"/>
    <mergeCell ref="G42:G43"/>
  </mergeCells>
  <conditionalFormatting sqref="G25:H25">
    <cfRule type="cellIs" dxfId="28" priority="30" operator="lessThan">
      <formula>20</formula>
    </cfRule>
  </conditionalFormatting>
  <conditionalFormatting sqref="H20">
    <cfRule type="cellIs" dxfId="27" priority="23" operator="lessThan">
      <formula>10</formula>
    </cfRule>
  </conditionalFormatting>
  <conditionalFormatting sqref="F28:H40 F43 F42:H42 F56:H71 F73:H76 F10:H25 F44:H47 F53:H53">
    <cfRule type="containsErrors" dxfId="26" priority="22">
      <formula>ISERROR(F10)</formula>
    </cfRule>
  </conditionalFormatting>
  <conditionalFormatting sqref="G41:H41">
    <cfRule type="containsErrors" dxfId="25" priority="21">
      <formula>ISERROR(G41)</formula>
    </cfRule>
  </conditionalFormatting>
  <conditionalFormatting sqref="F72:H72">
    <cfRule type="containsErrors" dxfId="24" priority="20">
      <formula>ISERROR(F72)</formula>
    </cfRule>
  </conditionalFormatting>
  <conditionalFormatting sqref="A76:E76">
    <cfRule type="containsErrors" dxfId="23" priority="18">
      <formula>ISERROR(A76)</formula>
    </cfRule>
  </conditionalFormatting>
  <conditionalFormatting sqref="G56:H56">
    <cfRule type="cellIs" dxfId="22" priority="17" operator="lessThan">
      <formula>5</formula>
    </cfRule>
  </conditionalFormatting>
  <conditionalFormatting sqref="G75:H75">
    <cfRule type="cellIs" dxfId="21" priority="16" operator="lessThan">
      <formula>10</formula>
    </cfRule>
  </conditionalFormatting>
  <conditionalFormatting sqref="C80:D82">
    <cfRule type="containsErrors" dxfId="20" priority="15">
      <formula>ISERROR(C80)</formula>
    </cfRule>
  </conditionalFormatting>
  <conditionalFormatting sqref="K39:K46 K29:K37 K57:K64 K66:K74">
    <cfRule type="containsErrors" dxfId="19" priority="14">
      <formula>ISERROR(K29)</formula>
    </cfRule>
  </conditionalFormatting>
  <conditionalFormatting sqref="J140:K141">
    <cfRule type="containsErrors" dxfId="18" priority="11">
      <formula>ISERROR(J140)</formula>
    </cfRule>
  </conditionalFormatting>
  <conditionalFormatting sqref="J132:K137">
    <cfRule type="containsErrors" dxfId="17" priority="9">
      <formula>ISERROR(J132)</formula>
    </cfRule>
  </conditionalFormatting>
  <conditionalFormatting sqref="J138:K138">
    <cfRule type="containsErrors" dxfId="16" priority="7">
      <formula>ISERROR(J138)</formula>
    </cfRule>
  </conditionalFormatting>
  <conditionalFormatting sqref="K139">
    <cfRule type="containsErrors" dxfId="15" priority="6">
      <formula>ISERROR(K139)</formula>
    </cfRule>
  </conditionalFormatting>
  <conditionalFormatting sqref="G114">
    <cfRule type="containsBlanks" dxfId="14" priority="5">
      <formula>LEN(TRIM(G114))=0</formula>
    </cfRule>
  </conditionalFormatting>
  <conditionalFormatting sqref="G101:G102">
    <cfRule type="containsBlanks" dxfId="13" priority="4">
      <formula>LEN(TRIM(G101))=0</formula>
    </cfRule>
  </conditionalFormatting>
  <conditionalFormatting sqref="G52:H52">
    <cfRule type="cellIs" dxfId="12" priority="3" operator="lessThan">
      <formula>20</formula>
    </cfRule>
  </conditionalFormatting>
  <conditionalFormatting sqref="F48:F51 F52:H52">
    <cfRule type="containsErrors" dxfId="11" priority="1">
      <formula>ISERROR(F48)</formula>
    </cfRule>
  </conditionalFormatting>
  <printOptions horizontalCentered="1" verticalCentered="1"/>
  <pageMargins left="0" right="0.39370078740157499" top="0" bottom="0" header="0" footer="0"/>
  <pageSetup paperSize="9" orientation="portrait" r:id="rId1"/>
  <headerFooter>
    <oddFooter>Page &amp;P of &amp;N</oddFooter>
  </headerFooter>
  <rowBreaks count="3" manualBreakCount="3">
    <brk id="26" max="16383" man="1"/>
    <brk id="52" max="16383" man="1"/>
    <brk id="80"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D1ED3B58-5518-4317-9436-4F7422F6C264}">
            <xm:f>NOT(ISERROR(SEARCH($B$25,B25)))</xm:f>
            <xm:f>$B$25</xm:f>
            <x14:dxf>
              <font>
                <color rgb="FF9C0006"/>
              </font>
              <fill>
                <patternFill>
                  <bgColor rgb="FFFFC7CE"/>
                </patternFill>
              </fill>
            </x14:dxf>
          </x14:cfRule>
          <xm:sqref>B25:E25</xm:sqref>
        </x14:conditionalFormatting>
        <x14:conditionalFormatting xmlns:xm="http://schemas.microsoft.com/office/excel/2006/main">
          <x14:cfRule type="containsText" priority="24" operator="containsText" id="{93B8B18A-CEF5-4974-9BBD-4752E31A7F7B}">
            <xm:f>NOT(ISERROR(SEARCH($A$76,A76)))</xm:f>
            <xm:f>$A$76</xm:f>
            <x14:dxf>
              <font>
                <color rgb="FF9C0006"/>
              </font>
              <fill>
                <patternFill>
                  <bgColor rgb="FFFFC7CE"/>
                </patternFill>
              </fill>
            </x14:dxf>
          </x14:cfRule>
          <xm:sqref>A76:A77</xm:sqref>
        </x14:conditionalFormatting>
        <x14:conditionalFormatting xmlns:xm="http://schemas.microsoft.com/office/excel/2006/main">
          <x14:cfRule type="cellIs" priority="13" operator="equal" id="{0D5395A9-0331-41CB-9A2B-FA9DDDD5FF68}">
            <xm:f>'Data Base'!$K$21</xm:f>
            <x14:dxf>
              <font>
                <color rgb="FF9C0006"/>
              </font>
              <fill>
                <patternFill>
                  <bgColor rgb="FFFFC7CE"/>
                </patternFill>
              </fill>
            </x14:dxf>
          </x14:cfRule>
          <xm:sqref>B20:E20</xm:sqref>
        </x14:conditionalFormatting>
        <x14:conditionalFormatting xmlns:xm="http://schemas.microsoft.com/office/excel/2006/main">
          <x14:cfRule type="cellIs" priority="12" operator="equal" id="{8AAD3DC7-6D00-4CC6-A9FC-66BDBC927249}">
            <xm:f>'Data Base'!$B$104</xm:f>
            <x14:dxf>
              <font>
                <color rgb="FF00B050"/>
              </font>
            </x14:dxf>
          </x14:cfRule>
          <xm:sqref>K29 K39 K57 K66</xm:sqref>
        </x14:conditionalFormatting>
        <x14:conditionalFormatting xmlns:xm="http://schemas.microsoft.com/office/excel/2006/main">
          <x14:cfRule type="containsText" priority="2" operator="containsText" id="{7AAC4A6C-8A44-4BA6-9D54-3608A78582B3}">
            <xm:f>NOT(ISERROR(SEARCH($B$25,B52)))</xm:f>
            <xm:f>$B$25</xm:f>
            <x14:dxf>
              <font>
                <color rgb="FF9C0006"/>
              </font>
              <fill>
                <patternFill>
                  <bgColor rgb="FFFFC7CE"/>
                </patternFill>
              </fill>
            </x14:dxf>
          </x14:cfRule>
          <xm:sqref>B52:E52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674"/>
  <sheetViews>
    <sheetView showGridLines="0" rightToLeft="1" view="pageBreakPreview" zoomScaleNormal="100" zoomScaleSheetLayoutView="100" workbookViewId="0">
      <selection activeCell="H246" sqref="H246"/>
    </sheetView>
  </sheetViews>
  <sheetFormatPr defaultColWidth="9" defaultRowHeight="30" customHeight="1"/>
  <cols>
    <col min="1" max="1" width="4.7109375" style="349" customWidth="1"/>
    <col min="2" max="9" width="5.42578125" style="349" customWidth="1"/>
    <col min="10" max="13" width="4.7109375" style="349" customWidth="1"/>
    <col min="14" max="17" width="5.42578125" style="349" customWidth="1"/>
    <col min="18" max="25" width="5.140625" style="349" customWidth="1"/>
    <col min="26" max="27" width="10" style="349" customWidth="1"/>
    <col min="28" max="45" width="7" style="349" customWidth="1"/>
    <col min="46" max="53" width="10" style="349" customWidth="1"/>
    <col min="54" max="16384" width="9" style="349"/>
  </cols>
  <sheetData>
    <row r="1" spans="1:25" ht="33.75" customHeight="1">
      <c r="B1" s="465"/>
      <c r="C1" s="465"/>
      <c r="D1" s="465"/>
      <c r="E1" s="465"/>
      <c r="F1" s="465"/>
      <c r="G1" s="465"/>
      <c r="H1" s="465"/>
      <c r="I1" s="465"/>
      <c r="J1" s="465"/>
      <c r="K1" s="465"/>
      <c r="L1" s="2281" t="s">
        <v>674</v>
      </c>
      <c r="M1" s="2281"/>
      <c r="N1" s="2281"/>
      <c r="O1" s="465"/>
      <c r="P1" s="465"/>
      <c r="Q1" s="465"/>
      <c r="R1" s="465"/>
      <c r="S1" s="465"/>
      <c r="T1" s="465"/>
      <c r="U1" s="465"/>
      <c r="V1" s="465"/>
      <c r="W1" s="465"/>
      <c r="X1" s="465"/>
      <c r="Y1" s="465"/>
    </row>
    <row r="2" spans="1:25" ht="57" customHeight="1">
      <c r="A2" s="2293" t="s">
        <v>750</v>
      </c>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row>
    <row r="3" spans="1:25" ht="27" customHeight="1">
      <c r="A3" s="2037" t="s">
        <v>792</v>
      </c>
      <c r="B3" s="2037"/>
      <c r="C3" s="2037"/>
      <c r="D3" s="2274">
        <f>'فرم الف'!A9</f>
        <v>0</v>
      </c>
      <c r="E3" s="2274"/>
      <c r="F3" s="2274"/>
      <c r="G3" s="2274"/>
      <c r="H3" s="2274"/>
      <c r="I3" s="2274"/>
      <c r="J3" s="2274"/>
      <c r="K3" s="2280" t="s">
        <v>790</v>
      </c>
      <c r="L3" s="2280"/>
      <c r="M3" s="2280"/>
      <c r="N3" s="350">
        <f>'فرم الف'!M8</f>
        <v>0</v>
      </c>
      <c r="O3" s="351">
        <f>'فرم الف'!N8</f>
        <v>0</v>
      </c>
      <c r="P3" s="352">
        <f>'فرم الف'!O8</f>
        <v>0</v>
      </c>
      <c r="Q3" s="2280" t="s">
        <v>789</v>
      </c>
      <c r="R3" s="2280"/>
      <c r="S3" s="2280"/>
      <c r="T3" s="2280"/>
      <c r="U3" s="2274">
        <f>'فرم الف'!J15</f>
        <v>0</v>
      </c>
      <c r="V3" s="2276"/>
      <c r="W3" s="2276"/>
      <c r="X3" s="2276"/>
      <c r="Y3" s="2276"/>
    </row>
    <row r="4" spans="1:25" ht="27" customHeight="1">
      <c r="A4" s="2280" t="s">
        <v>791</v>
      </c>
      <c r="B4" s="2280"/>
      <c r="C4" s="2276">
        <f>'فرم الف'!B5</f>
        <v>0</v>
      </c>
      <c r="D4" s="2276"/>
      <c r="E4" s="2276"/>
      <c r="F4" s="2276"/>
      <c r="G4" s="2276"/>
      <c r="H4" s="2276"/>
      <c r="I4" s="2280" t="s">
        <v>751</v>
      </c>
      <c r="J4" s="2280"/>
      <c r="K4" s="2274">
        <f>'فرم الف'!B10</f>
        <v>0</v>
      </c>
      <c r="L4" s="2276"/>
      <c r="M4" s="2280" t="s">
        <v>787</v>
      </c>
      <c r="N4" s="2280"/>
      <c r="O4" s="2274">
        <f>'فرم الف'!E10</f>
        <v>0</v>
      </c>
      <c r="P4" s="2276"/>
      <c r="Q4" s="2037" t="s">
        <v>788</v>
      </c>
      <c r="R4" s="2037"/>
      <c r="S4" s="2037"/>
      <c r="T4" s="2037"/>
      <c r="U4" s="2274">
        <f>'فرم الف'!J16</f>
        <v>0</v>
      </c>
      <c r="V4" s="2276"/>
      <c r="W4" s="2276"/>
      <c r="X4" s="2276"/>
      <c r="Y4" s="2276"/>
    </row>
    <row r="5" spans="1:25" ht="27" customHeight="1">
      <c r="A5" s="2280" t="s">
        <v>3</v>
      </c>
      <c r="B5" s="2280"/>
      <c r="C5" s="2274">
        <f>'فرم الف'!D9</f>
        <v>0</v>
      </c>
      <c r="D5" s="2274"/>
      <c r="E5" s="2274"/>
      <c r="F5" s="2274"/>
      <c r="G5" s="2274"/>
      <c r="H5" s="2274"/>
      <c r="I5" s="2274"/>
      <c r="J5" s="2274"/>
      <c r="K5" s="2274"/>
      <c r="L5" s="2275" t="s">
        <v>752</v>
      </c>
      <c r="M5" s="2275"/>
      <c r="N5" s="2275"/>
      <c r="O5" s="2275"/>
      <c r="P5" s="2275"/>
      <c r="Q5" s="2279">
        <f>'فرم الف'!J17</f>
        <v>0</v>
      </c>
      <c r="R5" s="2279"/>
      <c r="S5" s="2279"/>
      <c r="T5" s="2279"/>
      <c r="U5" s="2279"/>
      <c r="V5" s="2278">
        <f>'فرم الف'!J18</f>
        <v>0</v>
      </c>
      <c r="W5" s="2278"/>
      <c r="X5" s="2278"/>
      <c r="Y5" s="2278"/>
    </row>
    <row r="6" spans="1:25" ht="27" customHeight="1" thickBot="1">
      <c r="A6" s="2277" t="s">
        <v>793</v>
      </c>
      <c r="B6" s="2277"/>
      <c r="C6" s="2277"/>
      <c r="D6" s="2278">
        <f>'فرم الف'!J20</f>
        <v>0</v>
      </c>
      <c r="E6" s="2278"/>
      <c r="F6" s="2278"/>
      <c r="G6" s="2278"/>
      <c r="H6" s="2278"/>
      <c r="I6" s="2278"/>
      <c r="J6" s="2278"/>
      <c r="K6" s="2278"/>
      <c r="L6" s="2278"/>
      <c r="M6" s="2278"/>
      <c r="N6" s="2278"/>
      <c r="O6" s="2278"/>
      <c r="P6" s="2278"/>
      <c r="Q6" s="2278"/>
      <c r="R6" s="2278"/>
      <c r="S6" s="2278"/>
      <c r="T6" s="2278"/>
      <c r="U6" s="2278"/>
      <c r="V6" s="2278"/>
      <c r="W6" s="2278"/>
      <c r="X6" s="2278"/>
      <c r="Y6" s="2278"/>
    </row>
    <row r="7" spans="1:25" ht="37.5" customHeight="1">
      <c r="A7" s="2253" t="s">
        <v>753</v>
      </c>
      <c r="B7" s="2254"/>
      <c r="C7" s="2254"/>
      <c r="D7" s="2254"/>
      <c r="E7" s="2254"/>
      <c r="F7" s="2254"/>
      <c r="G7" s="2254"/>
      <c r="H7" s="2254"/>
      <c r="I7" s="2254"/>
      <c r="J7" s="2254"/>
      <c r="K7" s="2254" t="s">
        <v>48</v>
      </c>
      <c r="L7" s="2255"/>
      <c r="M7" s="353"/>
      <c r="N7" s="2256" t="s">
        <v>754</v>
      </c>
      <c r="O7" s="2257"/>
      <c r="P7" s="2257"/>
      <c r="Q7" s="2257"/>
      <c r="R7" s="2257"/>
      <c r="S7" s="2257"/>
      <c r="T7" s="2257"/>
      <c r="U7" s="2257"/>
      <c r="V7" s="2257"/>
      <c r="W7" s="2257"/>
      <c r="X7" s="2254" t="s">
        <v>48</v>
      </c>
      <c r="Y7" s="2255"/>
    </row>
    <row r="8" spans="1:25" ht="24.75" customHeight="1">
      <c r="A8" s="2251" t="s">
        <v>714</v>
      </c>
      <c r="B8" s="2252"/>
      <c r="C8" s="2252"/>
      <c r="D8" s="2252"/>
      <c r="E8" s="2252"/>
      <c r="F8" s="2252"/>
      <c r="G8" s="2252"/>
      <c r="H8" s="2252"/>
      <c r="I8" s="2252"/>
      <c r="J8" s="2252"/>
      <c r="K8" s="2249">
        <f ca="1">'بند1-1تدوين كتاب در حوزه فرهنگي'!R26</f>
        <v>0</v>
      </c>
      <c r="L8" s="2250"/>
      <c r="M8" s="354"/>
      <c r="N8" s="2251" t="s">
        <v>717</v>
      </c>
      <c r="O8" s="2252"/>
      <c r="P8" s="2252"/>
      <c r="Q8" s="2252"/>
      <c r="R8" s="2252"/>
      <c r="S8" s="2252"/>
      <c r="T8" s="2252"/>
      <c r="U8" s="2252"/>
      <c r="V8" s="2252"/>
      <c r="W8" s="2252"/>
      <c r="X8" s="2249" t="str">
        <f>'بند2-1رعایت نظم وانضباط درسی'!L11</f>
        <v>متقاضي حداقل امتياز لازم را از اين بند كسب نكرده است!</v>
      </c>
      <c r="Y8" s="2250"/>
    </row>
    <row r="9" spans="1:25" ht="24.75" customHeight="1">
      <c r="A9" s="2251" t="s">
        <v>777</v>
      </c>
      <c r="B9" s="2252"/>
      <c r="C9" s="2252"/>
      <c r="D9" s="2252"/>
      <c r="E9" s="2252"/>
      <c r="F9" s="2252"/>
      <c r="G9" s="2252"/>
      <c r="H9" s="2252"/>
      <c r="I9" s="2252"/>
      <c r="J9" s="2252"/>
      <c r="K9" s="2249">
        <f>'بند1-2تهيه و تدوين پيوست فرهنگي'!R16</f>
        <v>0</v>
      </c>
      <c r="L9" s="2250"/>
      <c r="M9" s="354"/>
      <c r="N9" s="2251" t="s">
        <v>694</v>
      </c>
      <c r="O9" s="2252"/>
      <c r="P9" s="2252"/>
      <c r="Q9" s="2252"/>
      <c r="R9" s="2252"/>
      <c r="S9" s="2252"/>
      <c r="T9" s="2252"/>
      <c r="U9" s="2252"/>
      <c r="V9" s="2252"/>
      <c r="W9" s="2252"/>
      <c r="X9" s="2249" t="str">
        <f>'بند2-2کیفیت تدریس'!J6</f>
        <v/>
      </c>
      <c r="Y9" s="2250"/>
    </row>
    <row r="10" spans="1:25" ht="24.75" customHeight="1">
      <c r="A10" s="2251" t="s">
        <v>709</v>
      </c>
      <c r="B10" s="2252"/>
      <c r="C10" s="2252"/>
      <c r="D10" s="2252"/>
      <c r="E10" s="2252"/>
      <c r="F10" s="2252"/>
      <c r="G10" s="2252"/>
      <c r="H10" s="2252"/>
      <c r="I10" s="2252"/>
      <c r="J10" s="2252"/>
      <c r="K10" s="2249">
        <f ca="1">'بند1-3مشاوره فرهنگي يا همكاري..'!R16</f>
        <v>0</v>
      </c>
      <c r="L10" s="2250"/>
      <c r="M10" s="354"/>
      <c r="N10" s="2251" t="s">
        <v>718</v>
      </c>
      <c r="O10" s="2252"/>
      <c r="P10" s="2252"/>
      <c r="Q10" s="2252"/>
      <c r="R10" s="2252"/>
      <c r="S10" s="2252"/>
      <c r="T10" s="2252"/>
      <c r="U10" s="2252"/>
      <c r="V10" s="2252"/>
      <c r="W10" s="2252"/>
      <c r="X10" s="2249" t="str">
        <f>'بند 2-3کمیت تدریس'!M245</f>
        <v/>
      </c>
      <c r="Y10" s="2250"/>
    </row>
    <row r="11" spans="1:25" ht="24.75" customHeight="1" thickBot="1">
      <c r="A11" s="2251" t="s">
        <v>710</v>
      </c>
      <c r="B11" s="2252"/>
      <c r="C11" s="2252"/>
      <c r="D11" s="2252"/>
      <c r="E11" s="2252"/>
      <c r="F11" s="2252"/>
      <c r="G11" s="2252"/>
      <c r="H11" s="2252"/>
      <c r="I11" s="2252"/>
      <c r="J11" s="2252"/>
      <c r="K11" s="2249">
        <f>'بند1-4استاد مشاور فرهنگي'!R16</f>
        <v>0</v>
      </c>
      <c r="L11" s="2250"/>
      <c r="M11" s="354"/>
      <c r="N11" s="2285" t="s">
        <v>755</v>
      </c>
      <c r="O11" s="2286"/>
      <c r="P11" s="2286"/>
      <c r="Q11" s="2286"/>
      <c r="R11" s="2286"/>
      <c r="S11" s="2286"/>
      <c r="T11" s="2286"/>
      <c r="U11" s="2286"/>
      <c r="V11" s="2286"/>
      <c r="W11" s="2286"/>
      <c r="X11" s="2287">
        <f>'بند2-4راهنمايي پروژه كارشناسي..'!S46</f>
        <v>0</v>
      </c>
      <c r="Y11" s="2288"/>
    </row>
    <row r="12" spans="1:25" ht="24.75" customHeight="1" thickBot="1">
      <c r="A12" s="2251" t="s">
        <v>779</v>
      </c>
      <c r="B12" s="2252"/>
      <c r="C12" s="2252"/>
      <c r="D12" s="2252"/>
      <c r="E12" s="2252"/>
      <c r="F12" s="2252"/>
      <c r="G12" s="2252"/>
      <c r="H12" s="2252"/>
      <c r="I12" s="2252"/>
      <c r="J12" s="2252"/>
      <c r="K12" s="2249">
        <f>'بند1-5مسئوليت پذيري در اصلاح و '!R26</f>
        <v>0</v>
      </c>
      <c r="L12" s="2250"/>
      <c r="M12" s="354"/>
      <c r="N12" s="2289" t="str">
        <f>IF(X12&lt;20,'Data Base'!K21,'Data Base'!K17)</f>
        <v>متقاضي حداقل امتياز لازم را از اين ماده كسب نكرده است!</v>
      </c>
      <c r="O12" s="2290"/>
      <c r="P12" s="2290"/>
      <c r="Q12" s="2290"/>
      <c r="R12" s="2290"/>
      <c r="S12" s="2290"/>
      <c r="T12" s="2290"/>
      <c r="U12" s="2290"/>
      <c r="V12" s="2290"/>
      <c r="W12" s="2290"/>
      <c r="X12" s="2291">
        <f>IF(SUM(X8:X11)&gt;40,40,SUM(X8:X11))</f>
        <v>0</v>
      </c>
      <c r="Y12" s="2292"/>
    </row>
    <row r="13" spans="1:25" ht="24.75" customHeight="1">
      <c r="A13" s="2251" t="s">
        <v>756</v>
      </c>
      <c r="B13" s="2252"/>
      <c r="C13" s="2252"/>
      <c r="D13" s="2252"/>
      <c r="E13" s="2252"/>
      <c r="F13" s="2252"/>
      <c r="G13" s="2252"/>
      <c r="H13" s="2252"/>
      <c r="I13" s="2252"/>
      <c r="J13" s="2252"/>
      <c r="K13" s="2249">
        <f>'بند1-6استمرار در تقيد و پايبندي'!R16</f>
        <v>0</v>
      </c>
      <c r="L13" s="2250"/>
      <c r="M13" s="354"/>
      <c r="N13" s="2283"/>
      <c r="O13" s="2283"/>
      <c r="P13" s="2283"/>
      <c r="Q13" s="2283"/>
      <c r="R13" s="2283"/>
      <c r="S13" s="2283"/>
      <c r="T13" s="2283"/>
      <c r="U13" s="2283"/>
      <c r="V13" s="2283"/>
      <c r="W13" s="2283"/>
      <c r="X13" s="2284"/>
      <c r="Y13" s="2282"/>
    </row>
    <row r="14" spans="1:25" ht="24.75" customHeight="1">
      <c r="A14" s="2251" t="s">
        <v>780</v>
      </c>
      <c r="B14" s="2252"/>
      <c r="C14" s="2252"/>
      <c r="D14" s="2252"/>
      <c r="E14" s="2252"/>
      <c r="F14" s="2252"/>
      <c r="G14" s="2252"/>
      <c r="H14" s="2252"/>
      <c r="I14" s="2252"/>
      <c r="J14" s="2252"/>
      <c r="K14" s="2249">
        <f>'بند1-7كسب جوايز فرهنگي...'!R16</f>
        <v>0</v>
      </c>
      <c r="L14" s="2250"/>
      <c r="M14" s="354"/>
      <c r="N14" s="2283"/>
      <c r="O14" s="2283"/>
      <c r="P14" s="2283"/>
      <c r="Q14" s="2283"/>
      <c r="R14" s="2283"/>
      <c r="S14" s="2283"/>
      <c r="T14" s="2283"/>
      <c r="U14" s="2283"/>
      <c r="V14" s="2283"/>
      <c r="W14" s="2283"/>
      <c r="X14" s="2284"/>
      <c r="Y14" s="2282"/>
    </row>
    <row r="15" spans="1:25" ht="24.75" customHeight="1">
      <c r="A15" s="2251" t="s">
        <v>781</v>
      </c>
      <c r="B15" s="2252"/>
      <c r="C15" s="2252"/>
      <c r="D15" s="2252"/>
      <c r="E15" s="2252"/>
      <c r="F15" s="2252"/>
      <c r="G15" s="2252"/>
      <c r="H15" s="2252"/>
      <c r="I15" s="2252"/>
      <c r="J15" s="2252"/>
      <c r="K15" s="2249">
        <f>'بند1-8طراحي و مشاركت فعالانه...'!R16</f>
        <v>0</v>
      </c>
      <c r="L15" s="2250"/>
      <c r="M15" s="354"/>
      <c r="N15" s="2283"/>
      <c r="O15" s="2283"/>
      <c r="P15" s="2283"/>
      <c r="Q15" s="2283"/>
      <c r="R15" s="2283"/>
      <c r="S15" s="2283"/>
      <c r="T15" s="2283"/>
      <c r="U15" s="2283"/>
      <c r="V15" s="2283"/>
      <c r="W15" s="2283"/>
      <c r="X15" s="2282"/>
      <c r="Y15" s="2282"/>
    </row>
    <row r="16" spans="1:25" ht="24.75" customHeight="1">
      <c r="A16" s="2251" t="s">
        <v>782</v>
      </c>
      <c r="B16" s="2252"/>
      <c r="C16" s="2252"/>
      <c r="D16" s="2252"/>
      <c r="E16" s="2252"/>
      <c r="F16" s="2252"/>
      <c r="G16" s="2252"/>
      <c r="H16" s="2252"/>
      <c r="I16" s="2252"/>
      <c r="J16" s="2252"/>
      <c r="K16" s="2249">
        <f>'بند1-9شركت در كارگاه هاي دانش..'!R26</f>
        <v>0</v>
      </c>
      <c r="L16" s="2250"/>
      <c r="M16" s="354"/>
      <c r="N16" s="2283"/>
      <c r="O16" s="2283"/>
      <c r="P16" s="2283"/>
      <c r="Q16" s="2283"/>
      <c r="R16" s="2283"/>
      <c r="S16" s="2283"/>
      <c r="T16" s="2283"/>
      <c r="U16" s="2283"/>
      <c r="V16" s="2283"/>
      <c r="W16" s="2283"/>
      <c r="X16" s="2282"/>
      <c r="Y16" s="2282"/>
    </row>
    <row r="17" spans="1:25" ht="24.75" customHeight="1" thickBot="1">
      <c r="A17" s="2285" t="s">
        <v>783</v>
      </c>
      <c r="B17" s="2286"/>
      <c r="C17" s="2286"/>
      <c r="D17" s="2286"/>
      <c r="E17" s="2286"/>
      <c r="F17" s="2286"/>
      <c r="G17" s="2286"/>
      <c r="H17" s="2286"/>
      <c r="I17" s="2286"/>
      <c r="J17" s="2286"/>
      <c r="K17" s="2287">
        <f>'بند1-10برگزاري نمايشگاه آثار و.'!R17</f>
        <v>0</v>
      </c>
      <c r="L17" s="2288"/>
      <c r="M17" s="354"/>
      <c r="N17" s="2283"/>
      <c r="O17" s="2283"/>
      <c r="P17" s="2283"/>
      <c r="Q17" s="2283"/>
      <c r="R17" s="2283"/>
      <c r="S17" s="2283"/>
      <c r="T17" s="2283"/>
      <c r="U17" s="2283"/>
      <c r="V17" s="2283"/>
      <c r="W17" s="2283"/>
      <c r="X17" s="2282"/>
      <c r="Y17" s="2282"/>
    </row>
    <row r="18" spans="1:25" ht="27" customHeight="1" thickBot="1">
      <c r="A18" s="2289" t="str">
        <f ca="1">IF(K18&lt;10,'Data Base'!K21,'Data Base'!K17)</f>
        <v>متقاضي حداقل امتياز لازم را از اين ماده كسب نكرده است!</v>
      </c>
      <c r="B18" s="2290"/>
      <c r="C18" s="2290"/>
      <c r="D18" s="2290"/>
      <c r="E18" s="2290"/>
      <c r="F18" s="2290"/>
      <c r="G18" s="2290"/>
      <c r="H18" s="2290"/>
      <c r="I18" s="2290"/>
      <c r="J18" s="2290"/>
      <c r="K18" s="2291">
        <f ca="1">IF(SUM(K8:K17)&gt;30,30,SUM(K8:K17))</f>
        <v>0</v>
      </c>
      <c r="L18" s="2292"/>
      <c r="M18" s="354"/>
      <c r="N18" s="2283"/>
      <c r="O18" s="2283"/>
      <c r="P18" s="2283"/>
      <c r="Q18" s="2283"/>
      <c r="R18" s="2283"/>
      <c r="S18" s="2283"/>
      <c r="T18" s="2283"/>
      <c r="U18" s="2283"/>
      <c r="V18" s="2283"/>
      <c r="W18" s="2283"/>
      <c r="X18" s="2282"/>
      <c r="Y18" s="2282"/>
    </row>
    <row r="19" spans="1:25" ht="41.25" customHeight="1" thickBot="1">
      <c r="A19" s="2317" t="s">
        <v>983</v>
      </c>
      <c r="B19" s="2317"/>
      <c r="C19" s="2317"/>
      <c r="D19" s="2317"/>
      <c r="E19" s="2317"/>
      <c r="F19" s="2317"/>
      <c r="G19" s="2317"/>
      <c r="H19" s="2317"/>
      <c r="I19" s="2317"/>
      <c r="J19" s="2317"/>
      <c r="K19" s="2317"/>
      <c r="L19" s="2317"/>
      <c r="M19" s="2317"/>
      <c r="N19" s="2317"/>
      <c r="O19" s="2317"/>
      <c r="P19" s="2317"/>
      <c r="Q19" s="2317"/>
      <c r="R19" s="2317"/>
      <c r="S19" s="2317"/>
      <c r="T19" s="2317"/>
      <c r="U19" s="2317"/>
      <c r="V19" s="2317"/>
      <c r="W19" s="2317"/>
      <c r="X19" s="2317"/>
      <c r="Y19" s="2317"/>
    </row>
    <row r="20" spans="1:25" ht="54.75" customHeight="1" thickBot="1">
      <c r="A20" s="355" t="s">
        <v>9</v>
      </c>
      <c r="B20" s="2127" t="s">
        <v>274</v>
      </c>
      <c r="C20" s="2128"/>
      <c r="D20" s="2128"/>
      <c r="E20" s="2129"/>
      <c r="F20" s="2127" t="s">
        <v>271</v>
      </c>
      <c r="G20" s="2128"/>
      <c r="H20" s="2128"/>
      <c r="I20" s="2129"/>
      <c r="J20" s="2246" t="s">
        <v>757</v>
      </c>
      <c r="K20" s="2247"/>
      <c r="L20" s="2247"/>
      <c r="M20" s="2248"/>
      <c r="N20" s="356" t="s">
        <v>275</v>
      </c>
      <c r="O20" s="357" t="s">
        <v>794</v>
      </c>
      <c r="P20" s="357" t="s">
        <v>808</v>
      </c>
      <c r="Q20" s="358" t="s">
        <v>784</v>
      </c>
      <c r="R20" s="2246" t="s">
        <v>760</v>
      </c>
      <c r="S20" s="2248"/>
      <c r="T20" s="2245" t="s">
        <v>761</v>
      </c>
      <c r="U20" s="2245"/>
      <c r="V20" s="2127" t="s">
        <v>13</v>
      </c>
      <c r="W20" s="2128"/>
      <c r="X20" s="2128"/>
      <c r="Y20" s="2188"/>
    </row>
    <row r="21" spans="1:25" ht="54" customHeight="1">
      <c r="A21" s="2300">
        <f>'بند3-1مقاله علمي پژوهشيJCRو...'!A6</f>
        <v>0</v>
      </c>
      <c r="B21" s="2301">
        <f>'بند3-1مقاله علمي پژوهشيJCRو...'!B6</f>
        <v>0</v>
      </c>
      <c r="C21" s="2302"/>
      <c r="D21" s="2302"/>
      <c r="E21" s="2303"/>
      <c r="F21" s="2297">
        <f>'بند3-1مقاله علمي پژوهشيJCRو...'!F6</f>
        <v>0</v>
      </c>
      <c r="G21" s="2307"/>
      <c r="H21" s="2307"/>
      <c r="I21" s="2298"/>
      <c r="J21" s="2309">
        <f>'بند3-1مقاله علمي پژوهشيJCRو...'!P6</f>
        <v>0</v>
      </c>
      <c r="K21" s="2310"/>
      <c r="L21" s="2310"/>
      <c r="M21" s="2311"/>
      <c r="N21" s="2313">
        <f>'بند3-1مقاله علمي پژوهشيJCRو...'!I6</f>
        <v>0</v>
      </c>
      <c r="O21" s="2315">
        <f>'بند3-1مقاله علمي پژوهشيJCRو...'!O6</f>
        <v>0</v>
      </c>
      <c r="P21" s="2295">
        <f>'بند3-1مقاله علمي پژوهشيJCRو...'!J6</f>
        <v>0</v>
      </c>
      <c r="Q21" s="2295">
        <f>'بند3-1مقاله علمي پژوهشيJCRو...'!K6</f>
        <v>0</v>
      </c>
      <c r="R21" s="2297">
        <f>'بند3-1مقاله علمي پژوهشيJCRو...'!H6</f>
        <v>0</v>
      </c>
      <c r="S21" s="2298"/>
      <c r="T21" s="359" t="s">
        <v>762</v>
      </c>
      <c r="U21" s="359" t="s">
        <v>763</v>
      </c>
      <c r="V21" s="359" t="s">
        <v>764</v>
      </c>
      <c r="W21" s="359" t="s">
        <v>1315</v>
      </c>
      <c r="X21" s="359" t="s">
        <v>1316</v>
      </c>
      <c r="Y21" s="360" t="s">
        <v>765</v>
      </c>
    </row>
    <row r="22" spans="1:25" ht="54" customHeight="1" thickBot="1">
      <c r="A22" s="2197"/>
      <c r="B22" s="2304"/>
      <c r="C22" s="2305"/>
      <c r="D22" s="2305"/>
      <c r="E22" s="2306"/>
      <c r="F22" s="2299"/>
      <c r="G22" s="2308"/>
      <c r="H22" s="2308"/>
      <c r="I22" s="2215"/>
      <c r="J22" s="2312"/>
      <c r="K22" s="2264"/>
      <c r="L22" s="2264"/>
      <c r="M22" s="2265"/>
      <c r="N22" s="2314"/>
      <c r="O22" s="2316"/>
      <c r="P22" s="2296"/>
      <c r="Q22" s="2296"/>
      <c r="R22" s="2299"/>
      <c r="S22" s="2215"/>
      <c r="T22" s="361">
        <f>'بند3-1مقاله علمي پژوهشيJCRو...'!H8</f>
        <v>0</v>
      </c>
      <c r="U22" s="361">
        <f>'بند3-1مقاله علمي پژوهشيJCRو...'!J8</f>
        <v>0</v>
      </c>
      <c r="V22" s="361">
        <f>'بند3-1مقاله علمي پژوهشيJCRو...'!F8</f>
        <v>0</v>
      </c>
      <c r="W22" s="362">
        <f>'بند3-1مقاله علمي پژوهشيJCRو...'!N8</f>
        <v>0</v>
      </c>
      <c r="X22" s="362">
        <f>'بند3-1مقاله علمي پژوهشيJCRو...'!L8</f>
        <v>0</v>
      </c>
      <c r="Y22" s="460">
        <f ca="1">'بند3-1مقاله علمي پژوهشيJCRو...'!S6</f>
        <v>0</v>
      </c>
    </row>
    <row r="23" spans="1:25" ht="54" customHeight="1">
      <c r="A23" s="2230">
        <f>'بند3-1مقاله علمي پژوهشيJCRو...'!A9</f>
        <v>0</v>
      </c>
      <c r="B23" s="2258">
        <f>'بند3-1مقاله علمي پژوهشيJCRو...'!B9</f>
        <v>0</v>
      </c>
      <c r="C23" s="2234"/>
      <c r="D23" s="2234"/>
      <c r="E23" s="2235"/>
      <c r="F23" s="2259">
        <f>'بند3-1مقاله علمي پژوهشيJCRو...'!F9</f>
        <v>0</v>
      </c>
      <c r="G23" s="2260"/>
      <c r="H23" s="2260"/>
      <c r="I23" s="2261"/>
      <c r="J23" s="2180">
        <f>'بند3-1مقاله علمي پژوهشيJCRو...'!P9</f>
        <v>0</v>
      </c>
      <c r="K23" s="2180"/>
      <c r="L23" s="2180"/>
      <c r="M23" s="2180"/>
      <c r="N23" s="2240">
        <f>'بند3-1مقاله علمي پژوهشيJCRو...'!I9</f>
        <v>0</v>
      </c>
      <c r="O23" s="2240">
        <f>'بند3-1مقاله علمي پژوهشيJCRو...'!O9</f>
        <v>0</v>
      </c>
      <c r="P23" s="2189">
        <f>'بند3-1مقاله علمي پژوهشيJCRو...'!J9</f>
        <v>0</v>
      </c>
      <c r="Q23" s="2189">
        <f>'بند3-1مقاله علمي پژوهشيJCRو...'!K9</f>
        <v>0</v>
      </c>
      <c r="R23" s="2109">
        <f>'بند3-1مقاله علمي پژوهشيJCRو...'!H9</f>
        <v>0</v>
      </c>
      <c r="S23" s="2109"/>
      <c r="T23" s="363" t="s">
        <v>762</v>
      </c>
      <c r="U23" s="363" t="s">
        <v>763</v>
      </c>
      <c r="V23" s="363" t="s">
        <v>764</v>
      </c>
      <c r="W23" s="359" t="s">
        <v>1315</v>
      </c>
      <c r="X23" s="359" t="s">
        <v>1316</v>
      </c>
      <c r="Y23" s="364" t="s">
        <v>765</v>
      </c>
    </row>
    <row r="24" spans="1:25" ht="54" customHeight="1" thickBot="1">
      <c r="A24" s="2230"/>
      <c r="B24" s="2236"/>
      <c r="C24" s="2237"/>
      <c r="D24" s="2237"/>
      <c r="E24" s="2238"/>
      <c r="F24" s="2216"/>
      <c r="G24" s="2262"/>
      <c r="H24" s="2262"/>
      <c r="I24" s="2217"/>
      <c r="J24" s="2180"/>
      <c r="K24" s="2180"/>
      <c r="L24" s="2180"/>
      <c r="M24" s="2180"/>
      <c r="N24" s="2240"/>
      <c r="O24" s="2240"/>
      <c r="P24" s="2189"/>
      <c r="Q24" s="2189"/>
      <c r="R24" s="2109"/>
      <c r="S24" s="2109"/>
      <c r="T24" s="362">
        <f>'بند3-1مقاله علمي پژوهشيJCRو...'!H11</f>
        <v>0</v>
      </c>
      <c r="U24" s="362">
        <f>'بند3-1مقاله علمي پژوهشيJCRو...'!J11</f>
        <v>0</v>
      </c>
      <c r="V24" s="362">
        <f>'بند3-1مقاله علمي پژوهشيJCRو...'!F11</f>
        <v>0</v>
      </c>
      <c r="W24" s="362">
        <f>'بند3-1مقاله علمي پژوهشيJCRو...'!N11</f>
        <v>0</v>
      </c>
      <c r="X24" s="362">
        <f>'بند3-1مقاله علمي پژوهشيJCRو...'!L11</f>
        <v>0</v>
      </c>
      <c r="Y24" s="460">
        <f ca="1">'بند3-1مقاله علمي پژوهشيJCRو...'!S9</f>
        <v>0</v>
      </c>
    </row>
    <row r="25" spans="1:25" ht="54" customHeight="1">
      <c r="A25" s="2230">
        <f>'بند3-1مقاله علمي پژوهشيJCRو...'!A12</f>
        <v>0</v>
      </c>
      <c r="B25" s="2233">
        <f>'بند3-1مقاله علمي پژوهشيJCRو...'!B12</f>
        <v>0</v>
      </c>
      <c r="C25" s="2234"/>
      <c r="D25" s="2234"/>
      <c r="E25" s="2235"/>
      <c r="F25" s="2259">
        <f>'بند3-1مقاله علمي پژوهشيJCRو...'!F12</f>
        <v>0</v>
      </c>
      <c r="G25" s="2260"/>
      <c r="H25" s="2260"/>
      <c r="I25" s="2261"/>
      <c r="J25" s="2263">
        <f>'بند3-1مقاله علمي پژوهشيJCRو...'!P12</f>
        <v>0</v>
      </c>
      <c r="K25" s="2264"/>
      <c r="L25" s="2264"/>
      <c r="M25" s="2265"/>
      <c r="N25" s="2269">
        <f>'بند3-1مقاله علمي پژوهشيJCRو...'!I12</f>
        <v>0</v>
      </c>
      <c r="O25" s="2269">
        <f>'بند3-1مقاله علمي پژوهشيJCRو...'!O12</f>
        <v>0</v>
      </c>
      <c r="P25" s="2189">
        <f>'بند3-1مقاله علمي پژوهشيJCRو...'!J12</f>
        <v>0</v>
      </c>
      <c r="Q25" s="2189">
        <f>'بند3-1مقاله علمي پژوهشيJCRو...'!K12</f>
        <v>0</v>
      </c>
      <c r="R25" s="2108">
        <f>'بند3-1مقاله علمي پژوهشيJCRو...'!H12</f>
        <v>0</v>
      </c>
      <c r="S25" s="2109"/>
      <c r="T25" s="365" t="s">
        <v>762</v>
      </c>
      <c r="U25" s="365" t="s">
        <v>763</v>
      </c>
      <c r="V25" s="365" t="s">
        <v>764</v>
      </c>
      <c r="W25" s="359" t="s">
        <v>1315</v>
      </c>
      <c r="X25" s="359" t="s">
        <v>1316</v>
      </c>
      <c r="Y25" s="364" t="s">
        <v>765</v>
      </c>
    </row>
    <row r="26" spans="1:25" ht="54" customHeight="1" thickBot="1">
      <c r="A26" s="2230"/>
      <c r="B26" s="2236"/>
      <c r="C26" s="2237"/>
      <c r="D26" s="2237"/>
      <c r="E26" s="2238"/>
      <c r="F26" s="2216"/>
      <c r="G26" s="2262"/>
      <c r="H26" s="2262"/>
      <c r="I26" s="2217"/>
      <c r="J26" s="2266"/>
      <c r="K26" s="2267"/>
      <c r="L26" s="2267"/>
      <c r="M26" s="2268"/>
      <c r="N26" s="2240"/>
      <c r="O26" s="2240"/>
      <c r="P26" s="2189"/>
      <c r="Q26" s="2189"/>
      <c r="R26" s="2109"/>
      <c r="S26" s="2109"/>
      <c r="T26" s="362">
        <f>'بند3-1مقاله علمي پژوهشيJCRو...'!H14</f>
        <v>0</v>
      </c>
      <c r="U26" s="362">
        <f>'بند3-1مقاله علمي پژوهشيJCRو...'!J14</f>
        <v>0</v>
      </c>
      <c r="V26" s="362">
        <f>'بند3-1مقاله علمي پژوهشيJCRو...'!F14</f>
        <v>0</v>
      </c>
      <c r="W26" s="362">
        <f>'بند3-1مقاله علمي پژوهشيJCRو...'!N14</f>
        <v>0</v>
      </c>
      <c r="X26" s="362">
        <f>'بند3-1مقاله علمي پژوهشيJCRو...'!L14</f>
        <v>0</v>
      </c>
      <c r="Y26" s="460">
        <f ca="1">'بند3-1مقاله علمي پژوهشيJCRو...'!S12</f>
        <v>0</v>
      </c>
    </row>
    <row r="27" spans="1:25" ht="54" customHeight="1">
      <c r="A27" s="2230">
        <f>'بند3-1مقاله علمي پژوهشيJCRو...'!A15</f>
        <v>0</v>
      </c>
      <c r="B27" s="2258">
        <f>'بند3-1مقاله علمي پژوهشيJCRو...'!B15</f>
        <v>0</v>
      </c>
      <c r="C27" s="2234"/>
      <c r="D27" s="2234"/>
      <c r="E27" s="2235"/>
      <c r="F27" s="2270">
        <f>'بند3-1مقاله علمي پژوهشيJCRو...'!F15</f>
        <v>0</v>
      </c>
      <c r="G27" s="2260"/>
      <c r="H27" s="2260"/>
      <c r="I27" s="2261"/>
      <c r="J27" s="2271">
        <f>'بند3-1مقاله علمي پژوهشيJCRو...'!P15</f>
        <v>0</v>
      </c>
      <c r="K27" s="2272"/>
      <c r="L27" s="2272"/>
      <c r="M27" s="2273"/>
      <c r="N27" s="2314">
        <f>'بند3-1مقاله علمي پژوهشيJCRو...'!I15</f>
        <v>0</v>
      </c>
      <c r="O27" s="2316">
        <f>'بند3-1مقاله علمي پژوهشيJCRو...'!O15</f>
        <v>0</v>
      </c>
      <c r="P27" s="2228">
        <f>'بند3-1مقاله علمي پژوهشيJCRو...'!J15</f>
        <v>0</v>
      </c>
      <c r="Q27" s="2228">
        <f>'بند3-1مقاله علمي پژوهشيJCRو...'!K15</f>
        <v>0</v>
      </c>
      <c r="R27" s="2299">
        <f>'بند3-1مقاله علمي پژوهشيJCRو...'!H15</f>
        <v>0</v>
      </c>
      <c r="S27" s="2215"/>
      <c r="T27" s="363" t="s">
        <v>762</v>
      </c>
      <c r="U27" s="363" t="s">
        <v>763</v>
      </c>
      <c r="V27" s="363" t="s">
        <v>764</v>
      </c>
      <c r="W27" s="359" t="s">
        <v>1315</v>
      </c>
      <c r="X27" s="359" t="s">
        <v>1316</v>
      </c>
      <c r="Y27" s="364" t="s">
        <v>765</v>
      </c>
    </row>
    <row r="28" spans="1:25" ht="54" customHeight="1" thickBot="1">
      <c r="A28" s="2230"/>
      <c r="B28" s="2236"/>
      <c r="C28" s="2237"/>
      <c r="D28" s="2237"/>
      <c r="E28" s="2238"/>
      <c r="F28" s="2216"/>
      <c r="G28" s="2262"/>
      <c r="H28" s="2262"/>
      <c r="I28" s="2217"/>
      <c r="J28" s="2266"/>
      <c r="K28" s="2267"/>
      <c r="L28" s="2267"/>
      <c r="M28" s="2268"/>
      <c r="N28" s="2314"/>
      <c r="O28" s="2316"/>
      <c r="P28" s="2296"/>
      <c r="Q28" s="2296"/>
      <c r="R28" s="2299"/>
      <c r="S28" s="2215"/>
      <c r="T28" s="362">
        <f>'بند3-1مقاله علمي پژوهشيJCRو...'!H17</f>
        <v>0</v>
      </c>
      <c r="U28" s="362">
        <f>'بند3-1مقاله علمي پژوهشيJCRو...'!J17</f>
        <v>0</v>
      </c>
      <c r="V28" s="362">
        <f>'بند3-1مقاله علمي پژوهشيJCRو...'!F17</f>
        <v>0</v>
      </c>
      <c r="W28" s="362">
        <f>'بند3-1مقاله علمي پژوهشيJCRو...'!N17</f>
        <v>0</v>
      </c>
      <c r="X28" s="362">
        <f>'بند3-1مقاله علمي پژوهشيJCRو...'!L17</f>
        <v>0</v>
      </c>
      <c r="Y28" s="460">
        <f ca="1">'بند3-1مقاله علمي پژوهشيJCRو...'!S15</f>
        <v>0</v>
      </c>
    </row>
    <row r="29" spans="1:25" ht="54.75" customHeight="1" thickBot="1">
      <c r="A29" s="355" t="s">
        <v>9</v>
      </c>
      <c r="B29" s="2127" t="s">
        <v>274</v>
      </c>
      <c r="C29" s="2128"/>
      <c r="D29" s="2128"/>
      <c r="E29" s="2129"/>
      <c r="F29" s="2127" t="s">
        <v>271</v>
      </c>
      <c r="G29" s="2128"/>
      <c r="H29" s="2128"/>
      <c r="I29" s="2129"/>
      <c r="J29" s="2246" t="s">
        <v>757</v>
      </c>
      <c r="K29" s="2247"/>
      <c r="L29" s="2247"/>
      <c r="M29" s="2248"/>
      <c r="N29" s="356" t="s">
        <v>275</v>
      </c>
      <c r="O29" s="357" t="s">
        <v>758</v>
      </c>
      <c r="P29" s="357" t="s">
        <v>759</v>
      </c>
      <c r="Q29" s="358" t="s">
        <v>784</v>
      </c>
      <c r="R29" s="2246" t="s">
        <v>760</v>
      </c>
      <c r="S29" s="2248"/>
      <c r="T29" s="2245" t="s">
        <v>761</v>
      </c>
      <c r="U29" s="2245"/>
      <c r="V29" s="2127" t="s">
        <v>13</v>
      </c>
      <c r="W29" s="2128"/>
      <c r="X29" s="2128"/>
      <c r="Y29" s="2188"/>
    </row>
    <row r="30" spans="1:25" ht="54" customHeight="1">
      <c r="A30" s="2230">
        <f>'بند3-1مقاله علمي پژوهشيJCRو...'!A18</f>
        <v>0</v>
      </c>
      <c r="B30" s="2258">
        <f>'بند3-1مقاله علمي پژوهشيJCRو...'!B18</f>
        <v>0</v>
      </c>
      <c r="C30" s="2234"/>
      <c r="D30" s="2234"/>
      <c r="E30" s="2235"/>
      <c r="F30" s="2270">
        <f>'بند3-1مقاله علمي پژوهشيJCRو...'!F18</f>
        <v>0</v>
      </c>
      <c r="G30" s="2260"/>
      <c r="H30" s="2260"/>
      <c r="I30" s="2261"/>
      <c r="J30" s="2271">
        <f>'بند3-1مقاله علمي پژوهشيJCRو...'!P18</f>
        <v>0</v>
      </c>
      <c r="K30" s="2272"/>
      <c r="L30" s="2272"/>
      <c r="M30" s="2273"/>
      <c r="N30" s="2314">
        <f>'بند3-1مقاله علمي پژوهشيJCRو...'!I18</f>
        <v>0</v>
      </c>
      <c r="O30" s="2316">
        <f>'بند3-1مقاله علمي پژوهشيJCRو...'!O18</f>
        <v>0</v>
      </c>
      <c r="P30" s="2228">
        <f>'بند3-1مقاله علمي پژوهشيJCRو...'!J18</f>
        <v>0</v>
      </c>
      <c r="Q30" s="2228">
        <f>'بند3-1مقاله علمي پژوهشيJCRو...'!K18</f>
        <v>0</v>
      </c>
      <c r="R30" s="2299">
        <f>'بند3-1مقاله علمي پژوهشيJCRو...'!H18</f>
        <v>0</v>
      </c>
      <c r="S30" s="2215"/>
      <c r="T30" s="363" t="s">
        <v>762</v>
      </c>
      <c r="U30" s="363" t="s">
        <v>763</v>
      </c>
      <c r="V30" s="363" t="s">
        <v>764</v>
      </c>
      <c r="W30" s="359" t="s">
        <v>1315</v>
      </c>
      <c r="X30" s="359" t="s">
        <v>1316</v>
      </c>
      <c r="Y30" s="364" t="s">
        <v>765</v>
      </c>
    </row>
    <row r="31" spans="1:25" ht="54" customHeight="1" thickBot="1">
      <c r="A31" s="2230"/>
      <c r="B31" s="2236"/>
      <c r="C31" s="2237"/>
      <c r="D31" s="2237"/>
      <c r="E31" s="2238"/>
      <c r="F31" s="2216"/>
      <c r="G31" s="2262"/>
      <c r="H31" s="2262"/>
      <c r="I31" s="2217"/>
      <c r="J31" s="2266"/>
      <c r="K31" s="2267"/>
      <c r="L31" s="2267"/>
      <c r="M31" s="2268"/>
      <c r="N31" s="2314"/>
      <c r="O31" s="2316"/>
      <c r="P31" s="2296"/>
      <c r="Q31" s="2296"/>
      <c r="R31" s="2299"/>
      <c r="S31" s="2215"/>
      <c r="T31" s="362">
        <f>'بند3-1مقاله علمي پژوهشيJCRو...'!H20</f>
        <v>0</v>
      </c>
      <c r="U31" s="362">
        <f>'بند3-1مقاله علمي پژوهشيJCRو...'!J20</f>
        <v>0</v>
      </c>
      <c r="V31" s="362">
        <f>'بند3-1مقاله علمي پژوهشيJCRو...'!F20</f>
        <v>0</v>
      </c>
      <c r="W31" s="362">
        <f>'بند3-1مقاله علمي پژوهشيJCRو...'!N20</f>
        <v>0</v>
      </c>
      <c r="X31" s="362">
        <f>'بند3-1مقاله علمي پژوهشيJCRو...'!L20</f>
        <v>0</v>
      </c>
      <c r="Y31" s="460">
        <f ca="1">'بند3-1مقاله علمي پژوهشيJCRو...'!S18</f>
        <v>0</v>
      </c>
    </row>
    <row r="32" spans="1:25" ht="54" customHeight="1">
      <c r="A32" s="2230">
        <f>'بند3-1مقاله علمي پژوهشيJCRو...'!A21</f>
        <v>0</v>
      </c>
      <c r="B32" s="2258">
        <f>'بند3-1مقاله علمي پژوهشيJCRو...'!B21</f>
        <v>0</v>
      </c>
      <c r="C32" s="2234"/>
      <c r="D32" s="2234"/>
      <c r="E32" s="2235"/>
      <c r="F32" s="2270">
        <f>'بند3-1مقاله علمي پژوهشيJCRو...'!F21</f>
        <v>0</v>
      </c>
      <c r="G32" s="2260"/>
      <c r="H32" s="2260"/>
      <c r="I32" s="2261"/>
      <c r="J32" s="2271">
        <f>'بند3-1مقاله علمي پژوهشيJCRو...'!P21</f>
        <v>0</v>
      </c>
      <c r="K32" s="2272"/>
      <c r="L32" s="2272"/>
      <c r="M32" s="2273"/>
      <c r="N32" s="2240">
        <f>'بند3-1مقاله علمي پژوهشيJCRو...'!I21</f>
        <v>0</v>
      </c>
      <c r="O32" s="2240">
        <f>'بند3-1مقاله علمي پژوهشيJCRو...'!O21</f>
        <v>0</v>
      </c>
      <c r="P32" s="2189">
        <f>'بند3-1مقاله علمي پژوهشيJCRو...'!J21</f>
        <v>0</v>
      </c>
      <c r="Q32" s="2189">
        <f>'بند3-1مقاله علمي پژوهشيJCRو...'!K21</f>
        <v>0</v>
      </c>
      <c r="R32" s="2109">
        <f>'بند3-1مقاله علمي پژوهشيJCRو...'!H21</f>
        <v>0</v>
      </c>
      <c r="S32" s="2109"/>
      <c r="T32" s="363" t="s">
        <v>762</v>
      </c>
      <c r="U32" s="363" t="s">
        <v>763</v>
      </c>
      <c r="V32" s="363" t="s">
        <v>764</v>
      </c>
      <c r="W32" s="359" t="s">
        <v>1315</v>
      </c>
      <c r="X32" s="359" t="s">
        <v>1316</v>
      </c>
      <c r="Y32" s="364" t="s">
        <v>765</v>
      </c>
    </row>
    <row r="33" spans="1:25" ht="54" customHeight="1" thickBot="1">
      <c r="A33" s="2230"/>
      <c r="B33" s="2236"/>
      <c r="C33" s="2237"/>
      <c r="D33" s="2237"/>
      <c r="E33" s="2238"/>
      <c r="F33" s="2216"/>
      <c r="G33" s="2262"/>
      <c r="H33" s="2262"/>
      <c r="I33" s="2217"/>
      <c r="J33" s="2266"/>
      <c r="K33" s="2267"/>
      <c r="L33" s="2267"/>
      <c r="M33" s="2268"/>
      <c r="N33" s="2240"/>
      <c r="O33" s="2240"/>
      <c r="P33" s="2189"/>
      <c r="Q33" s="2189"/>
      <c r="R33" s="2109"/>
      <c r="S33" s="2109"/>
      <c r="T33" s="362">
        <f>'بند3-1مقاله علمي پژوهشيJCRو...'!H23</f>
        <v>0</v>
      </c>
      <c r="U33" s="362">
        <f>'بند3-1مقاله علمي پژوهشيJCRو...'!J23</f>
        <v>0</v>
      </c>
      <c r="V33" s="362">
        <f>'بند3-1مقاله علمي پژوهشيJCRو...'!F23</f>
        <v>0</v>
      </c>
      <c r="W33" s="362">
        <f>'بند3-1مقاله علمي پژوهشيJCRو...'!N23</f>
        <v>0</v>
      </c>
      <c r="X33" s="362">
        <f>'بند3-1مقاله علمي پژوهشيJCRو...'!L23</f>
        <v>0</v>
      </c>
      <c r="Y33" s="460">
        <f ca="1">'بند3-1مقاله علمي پژوهشيJCRو...'!S21</f>
        <v>0</v>
      </c>
    </row>
    <row r="34" spans="1:25" ht="54" customHeight="1">
      <c r="A34" s="2230">
        <f>'بند3-1مقاله علمي پژوهشيJCRو...'!A24</f>
        <v>0</v>
      </c>
      <c r="B34" s="2258">
        <f>'بند3-1مقاله علمي پژوهشيJCRو...'!B24</f>
        <v>0</v>
      </c>
      <c r="C34" s="2234"/>
      <c r="D34" s="2234"/>
      <c r="E34" s="2235"/>
      <c r="F34" s="2270">
        <f>'بند3-1مقاله علمي پژوهشيJCRو...'!F24</f>
        <v>0</v>
      </c>
      <c r="G34" s="2260"/>
      <c r="H34" s="2260"/>
      <c r="I34" s="2261"/>
      <c r="J34" s="2271">
        <f>'بند3-1مقاله علمي پژوهشيJCRو...'!P24</f>
        <v>0</v>
      </c>
      <c r="K34" s="2272"/>
      <c r="L34" s="2272"/>
      <c r="M34" s="2273"/>
      <c r="N34" s="2240">
        <f>'بند3-1مقاله علمي پژوهشيJCRو...'!I24</f>
        <v>0</v>
      </c>
      <c r="O34" s="2240">
        <f>'بند3-1مقاله علمي پژوهشيJCRو...'!O24</f>
        <v>0</v>
      </c>
      <c r="P34" s="2189">
        <f>'بند3-1مقاله علمي پژوهشيJCRو...'!J24</f>
        <v>0</v>
      </c>
      <c r="Q34" s="2189">
        <f>'بند3-1مقاله علمي پژوهشيJCRو...'!K24</f>
        <v>0</v>
      </c>
      <c r="R34" s="2109">
        <f>'بند3-1مقاله علمي پژوهشيJCRو...'!H24</f>
        <v>0</v>
      </c>
      <c r="S34" s="2109"/>
      <c r="T34" s="363" t="s">
        <v>762</v>
      </c>
      <c r="U34" s="363" t="s">
        <v>763</v>
      </c>
      <c r="V34" s="363" t="s">
        <v>764</v>
      </c>
      <c r="W34" s="359" t="s">
        <v>1315</v>
      </c>
      <c r="X34" s="359" t="s">
        <v>1316</v>
      </c>
      <c r="Y34" s="364" t="s">
        <v>765</v>
      </c>
    </row>
    <row r="35" spans="1:25" ht="54" customHeight="1" thickBot="1">
      <c r="A35" s="2230"/>
      <c r="B35" s="2236"/>
      <c r="C35" s="2237"/>
      <c r="D35" s="2237"/>
      <c r="E35" s="2238"/>
      <c r="F35" s="2216"/>
      <c r="G35" s="2262"/>
      <c r="H35" s="2262"/>
      <c r="I35" s="2217"/>
      <c r="J35" s="2266"/>
      <c r="K35" s="2267"/>
      <c r="L35" s="2267"/>
      <c r="M35" s="2268"/>
      <c r="N35" s="2240"/>
      <c r="O35" s="2240"/>
      <c r="P35" s="2189"/>
      <c r="Q35" s="2189"/>
      <c r="R35" s="2109"/>
      <c r="S35" s="2109"/>
      <c r="T35" s="362">
        <f>'بند3-1مقاله علمي پژوهشيJCRو...'!H26</f>
        <v>0</v>
      </c>
      <c r="U35" s="362">
        <f>'بند3-1مقاله علمي پژوهشيJCRو...'!J26</f>
        <v>0</v>
      </c>
      <c r="V35" s="362">
        <f>'بند3-1مقاله علمي پژوهشيJCRو...'!F26</f>
        <v>0</v>
      </c>
      <c r="W35" s="362">
        <f>'بند3-1مقاله علمي پژوهشيJCRو...'!N26</f>
        <v>0</v>
      </c>
      <c r="X35" s="362">
        <f>'بند3-1مقاله علمي پژوهشيJCRو...'!L26</f>
        <v>0</v>
      </c>
      <c r="Y35" s="460">
        <f ca="1">'بند3-1مقاله علمي پژوهشيJCRو...'!S24</f>
        <v>0</v>
      </c>
    </row>
    <row r="36" spans="1:25" ht="54" customHeight="1">
      <c r="A36" s="2230">
        <f>'بند3-1مقاله علمي پژوهشيJCRو...'!A27</f>
        <v>0</v>
      </c>
      <c r="B36" s="2258">
        <f>'بند3-1مقاله علمي پژوهشيJCRو...'!B27</f>
        <v>0</v>
      </c>
      <c r="C36" s="2234"/>
      <c r="D36" s="2234"/>
      <c r="E36" s="2235"/>
      <c r="F36" s="2270">
        <f>'بند3-1مقاله علمي پژوهشيJCRو...'!F27</f>
        <v>0</v>
      </c>
      <c r="G36" s="2260"/>
      <c r="H36" s="2260"/>
      <c r="I36" s="2261"/>
      <c r="J36" s="2271">
        <f>'بند3-1مقاله علمي پژوهشيJCRو...'!P27</f>
        <v>0</v>
      </c>
      <c r="K36" s="2272"/>
      <c r="L36" s="2272"/>
      <c r="M36" s="2273"/>
      <c r="N36" s="2240">
        <f>'بند3-1مقاله علمي پژوهشيJCRو...'!I27</f>
        <v>0</v>
      </c>
      <c r="O36" s="2240">
        <f>'بند3-1مقاله علمي پژوهشيJCRو...'!O27</f>
        <v>0</v>
      </c>
      <c r="P36" s="2189">
        <f>'بند3-1مقاله علمي پژوهشيJCRو...'!J27</f>
        <v>0</v>
      </c>
      <c r="Q36" s="2189">
        <f>'بند3-1مقاله علمي پژوهشيJCRو...'!K27</f>
        <v>0</v>
      </c>
      <c r="R36" s="2109">
        <f>'بند3-1مقاله علمي پژوهشيJCRو...'!H27</f>
        <v>0</v>
      </c>
      <c r="S36" s="2109"/>
      <c r="T36" s="363" t="s">
        <v>762</v>
      </c>
      <c r="U36" s="363" t="s">
        <v>763</v>
      </c>
      <c r="V36" s="363" t="s">
        <v>764</v>
      </c>
      <c r="W36" s="359" t="s">
        <v>1315</v>
      </c>
      <c r="X36" s="359" t="s">
        <v>1316</v>
      </c>
      <c r="Y36" s="364" t="s">
        <v>765</v>
      </c>
    </row>
    <row r="37" spans="1:25" ht="54" customHeight="1" thickBot="1">
      <c r="A37" s="2197"/>
      <c r="B37" s="2304"/>
      <c r="C37" s="2305"/>
      <c r="D37" s="2305"/>
      <c r="E37" s="2306"/>
      <c r="F37" s="2299"/>
      <c r="G37" s="2308"/>
      <c r="H37" s="2308"/>
      <c r="I37" s="2215"/>
      <c r="J37" s="2312"/>
      <c r="K37" s="2264"/>
      <c r="L37" s="2264"/>
      <c r="M37" s="2265"/>
      <c r="N37" s="2318"/>
      <c r="O37" s="2318"/>
      <c r="P37" s="2296"/>
      <c r="Q37" s="2296"/>
      <c r="R37" s="2112"/>
      <c r="S37" s="2112"/>
      <c r="T37" s="361">
        <f>'بند3-1مقاله علمي پژوهشيJCRو...'!H29</f>
        <v>0</v>
      </c>
      <c r="U37" s="361">
        <f>'بند3-1مقاله علمي پژوهشيJCRو...'!J29</f>
        <v>0</v>
      </c>
      <c r="V37" s="361">
        <f>'بند3-1مقاله علمي پژوهشيJCRو...'!F29</f>
        <v>0</v>
      </c>
      <c r="W37" s="361">
        <f>'بند3-1مقاله علمي پژوهشيJCRو...'!N29</f>
        <v>0</v>
      </c>
      <c r="X37" s="361">
        <f>'بند3-1مقاله علمي پژوهشيJCRو...'!L29</f>
        <v>0</v>
      </c>
      <c r="Y37" s="461">
        <f ca="1">'بند3-1مقاله علمي پژوهشيJCRو...'!S27</f>
        <v>0</v>
      </c>
    </row>
    <row r="38" spans="1:25" ht="54.75" customHeight="1" thickBot="1">
      <c r="A38" s="355" t="s">
        <v>9</v>
      </c>
      <c r="B38" s="2127" t="s">
        <v>274</v>
      </c>
      <c r="C38" s="2128"/>
      <c r="D38" s="2128"/>
      <c r="E38" s="2129"/>
      <c r="F38" s="2127" t="s">
        <v>271</v>
      </c>
      <c r="G38" s="2128"/>
      <c r="H38" s="2128"/>
      <c r="I38" s="2129"/>
      <c r="J38" s="2246" t="s">
        <v>757</v>
      </c>
      <c r="K38" s="2247"/>
      <c r="L38" s="2247"/>
      <c r="M38" s="2248"/>
      <c r="N38" s="356" t="s">
        <v>275</v>
      </c>
      <c r="O38" s="458" t="s">
        <v>758</v>
      </c>
      <c r="P38" s="458" t="s">
        <v>759</v>
      </c>
      <c r="Q38" s="358" t="s">
        <v>784</v>
      </c>
      <c r="R38" s="2246" t="s">
        <v>760</v>
      </c>
      <c r="S38" s="2248"/>
      <c r="T38" s="2245" t="s">
        <v>761</v>
      </c>
      <c r="U38" s="2245"/>
      <c r="V38" s="2127" t="s">
        <v>13</v>
      </c>
      <c r="W38" s="2128"/>
      <c r="X38" s="2128"/>
      <c r="Y38" s="2188"/>
    </row>
    <row r="39" spans="1:25" ht="54" customHeight="1">
      <c r="A39" s="2230">
        <f>'بند3-1مقاله علمي پژوهشيJCRو...'!A30</f>
        <v>0</v>
      </c>
      <c r="B39" s="2258">
        <f>'بند3-1مقاله علمي پژوهشيJCRو...'!B30</f>
        <v>0</v>
      </c>
      <c r="C39" s="2234"/>
      <c r="D39" s="2234"/>
      <c r="E39" s="2235"/>
      <c r="F39" s="2270">
        <f>'بند3-1مقاله علمي پژوهشيJCRو...'!F30</f>
        <v>0</v>
      </c>
      <c r="G39" s="2260"/>
      <c r="H39" s="2260"/>
      <c r="I39" s="2261"/>
      <c r="J39" s="2271">
        <f>'بند3-1مقاله علمي پژوهشيJCRو...'!P30</f>
        <v>0</v>
      </c>
      <c r="K39" s="2272"/>
      <c r="L39" s="2272"/>
      <c r="M39" s="2273"/>
      <c r="N39" s="2314">
        <f>'بند3-1مقاله علمي پژوهشيJCRو...'!I30</f>
        <v>0</v>
      </c>
      <c r="O39" s="2316">
        <f>'بند3-1مقاله علمي پژوهشيJCRو...'!O30</f>
        <v>0</v>
      </c>
      <c r="P39" s="2228">
        <f>'بند3-1مقاله علمي پژوهشيJCRو...'!J30</f>
        <v>0</v>
      </c>
      <c r="Q39" s="2228">
        <f>'بند3-1مقاله علمي پژوهشيJCRو...'!K30</f>
        <v>0</v>
      </c>
      <c r="R39" s="2299">
        <f>'بند3-1مقاله علمي پژوهشيJCRو...'!H30</f>
        <v>0</v>
      </c>
      <c r="S39" s="2215"/>
      <c r="T39" s="363" t="s">
        <v>762</v>
      </c>
      <c r="U39" s="363" t="s">
        <v>763</v>
      </c>
      <c r="V39" s="363" t="s">
        <v>764</v>
      </c>
      <c r="W39" s="359" t="s">
        <v>1315</v>
      </c>
      <c r="X39" s="359" t="s">
        <v>1316</v>
      </c>
      <c r="Y39" s="364" t="s">
        <v>765</v>
      </c>
    </row>
    <row r="40" spans="1:25" ht="54" customHeight="1" thickBot="1">
      <c r="A40" s="2230"/>
      <c r="B40" s="2236"/>
      <c r="C40" s="2237"/>
      <c r="D40" s="2237"/>
      <c r="E40" s="2238"/>
      <c r="F40" s="2216"/>
      <c r="G40" s="2262"/>
      <c r="H40" s="2262"/>
      <c r="I40" s="2217"/>
      <c r="J40" s="2266"/>
      <c r="K40" s="2267"/>
      <c r="L40" s="2267"/>
      <c r="M40" s="2268"/>
      <c r="N40" s="2314"/>
      <c r="O40" s="2316"/>
      <c r="P40" s="2296"/>
      <c r="Q40" s="2296"/>
      <c r="R40" s="2299"/>
      <c r="S40" s="2215"/>
      <c r="T40" s="362">
        <f>'بند3-1مقاله علمي پژوهشيJCRو...'!H32</f>
        <v>0</v>
      </c>
      <c r="U40" s="362">
        <f>'بند3-1مقاله علمي پژوهشيJCRو...'!J32</f>
        <v>0</v>
      </c>
      <c r="V40" s="362">
        <f>'بند3-1مقاله علمي پژوهشيJCRو...'!F32</f>
        <v>0</v>
      </c>
      <c r="W40" s="362">
        <f>'بند3-1مقاله علمي پژوهشيJCRو...'!N32</f>
        <v>0</v>
      </c>
      <c r="X40" s="362">
        <f>'بند3-1مقاله علمي پژوهشيJCRو...'!L32</f>
        <v>0</v>
      </c>
      <c r="Y40" s="460">
        <f ca="1">'بند3-1مقاله علمي پژوهشيJCRو...'!S30</f>
        <v>0</v>
      </c>
    </row>
    <row r="41" spans="1:25" ht="54" customHeight="1">
      <c r="A41" s="2230">
        <f>'بند3-1مقاله علمي پژوهشيJCRو...'!A33</f>
        <v>0</v>
      </c>
      <c r="B41" s="2258">
        <f>'بند3-1مقاله علمي پژوهشيJCRو...'!B33</f>
        <v>0</v>
      </c>
      <c r="C41" s="2234"/>
      <c r="D41" s="2234"/>
      <c r="E41" s="2235"/>
      <c r="F41" s="2270">
        <f>'بند3-1مقاله علمي پژوهشيJCRو...'!F33</f>
        <v>0</v>
      </c>
      <c r="G41" s="2260"/>
      <c r="H41" s="2260"/>
      <c r="I41" s="2261"/>
      <c r="J41" s="2271">
        <f>'بند3-1مقاله علمي پژوهشيJCRو...'!P33</f>
        <v>0</v>
      </c>
      <c r="K41" s="2272"/>
      <c r="L41" s="2272"/>
      <c r="M41" s="2273"/>
      <c r="N41" s="2240">
        <f>'بند3-1مقاله علمي پژوهشيJCRو...'!I33</f>
        <v>0</v>
      </c>
      <c r="O41" s="2240">
        <f>'بند3-1مقاله علمي پژوهشيJCRو...'!O33</f>
        <v>0</v>
      </c>
      <c r="P41" s="2189">
        <f>'بند3-1مقاله علمي پژوهشيJCRو...'!J33</f>
        <v>0</v>
      </c>
      <c r="Q41" s="2189">
        <f>'بند3-1مقاله علمي پژوهشيJCRو...'!K33</f>
        <v>0</v>
      </c>
      <c r="R41" s="2109">
        <f>'بند3-1مقاله علمي پژوهشيJCRو...'!H33</f>
        <v>0</v>
      </c>
      <c r="S41" s="2109"/>
      <c r="T41" s="363" t="s">
        <v>762</v>
      </c>
      <c r="U41" s="363" t="s">
        <v>763</v>
      </c>
      <c r="V41" s="363" t="s">
        <v>764</v>
      </c>
      <c r="W41" s="359" t="s">
        <v>1315</v>
      </c>
      <c r="X41" s="359" t="s">
        <v>1316</v>
      </c>
      <c r="Y41" s="364" t="s">
        <v>765</v>
      </c>
    </row>
    <row r="42" spans="1:25" ht="54" customHeight="1" thickBot="1">
      <c r="A42" s="2230"/>
      <c r="B42" s="2236"/>
      <c r="C42" s="2237"/>
      <c r="D42" s="2237"/>
      <c r="E42" s="2238"/>
      <c r="F42" s="2216"/>
      <c r="G42" s="2262"/>
      <c r="H42" s="2262"/>
      <c r="I42" s="2217"/>
      <c r="J42" s="2266"/>
      <c r="K42" s="2267"/>
      <c r="L42" s="2267"/>
      <c r="M42" s="2268"/>
      <c r="N42" s="2240"/>
      <c r="O42" s="2240"/>
      <c r="P42" s="2189"/>
      <c r="Q42" s="2189"/>
      <c r="R42" s="2109"/>
      <c r="S42" s="2109"/>
      <c r="T42" s="362">
        <f>'بند3-1مقاله علمي پژوهشيJCRو...'!H35</f>
        <v>0</v>
      </c>
      <c r="U42" s="362">
        <f>'بند3-1مقاله علمي پژوهشيJCRو...'!J35</f>
        <v>0</v>
      </c>
      <c r="V42" s="362">
        <f>'بند3-1مقاله علمي پژوهشيJCRو...'!F35</f>
        <v>0</v>
      </c>
      <c r="W42" s="362">
        <f>'بند3-1مقاله علمي پژوهشيJCRو...'!N35</f>
        <v>0</v>
      </c>
      <c r="X42" s="362">
        <f>'بند3-1مقاله علمي پژوهشيJCRو...'!L35</f>
        <v>0</v>
      </c>
      <c r="Y42" s="460">
        <f ca="1">'بند3-1مقاله علمي پژوهشيJCRو...'!S33</f>
        <v>0</v>
      </c>
    </row>
    <row r="43" spans="1:25" ht="54" customHeight="1">
      <c r="A43" s="2230">
        <f>'بند3-1مقاله علمي پژوهشيJCRو...'!A36</f>
        <v>0</v>
      </c>
      <c r="B43" s="2258">
        <f>'بند3-1مقاله علمي پژوهشيJCRو...'!B36</f>
        <v>0</v>
      </c>
      <c r="C43" s="2234"/>
      <c r="D43" s="2234"/>
      <c r="E43" s="2235"/>
      <c r="F43" s="2270">
        <f>'بند3-1مقاله علمي پژوهشيJCRو...'!F36</f>
        <v>0</v>
      </c>
      <c r="G43" s="2260"/>
      <c r="H43" s="2260"/>
      <c r="I43" s="2261"/>
      <c r="J43" s="2271">
        <f>'بند3-1مقاله علمي پژوهشيJCRو...'!P36</f>
        <v>0</v>
      </c>
      <c r="K43" s="2272"/>
      <c r="L43" s="2272"/>
      <c r="M43" s="2273"/>
      <c r="N43" s="2240">
        <f>'بند3-1مقاله علمي پژوهشيJCRو...'!I36</f>
        <v>0</v>
      </c>
      <c r="O43" s="2240">
        <f>'بند3-1مقاله علمي پژوهشيJCRو...'!O36</f>
        <v>0</v>
      </c>
      <c r="P43" s="2189">
        <f>'بند3-1مقاله علمي پژوهشيJCRو...'!J36</f>
        <v>0</v>
      </c>
      <c r="Q43" s="2189">
        <f>'بند3-1مقاله علمي پژوهشيJCRو...'!K36</f>
        <v>0</v>
      </c>
      <c r="R43" s="2109">
        <f>'بند3-1مقاله علمي پژوهشيJCRو...'!H36</f>
        <v>0</v>
      </c>
      <c r="S43" s="2109"/>
      <c r="T43" s="363" t="s">
        <v>762</v>
      </c>
      <c r="U43" s="363" t="s">
        <v>763</v>
      </c>
      <c r="V43" s="363" t="s">
        <v>764</v>
      </c>
      <c r="W43" s="359" t="s">
        <v>1315</v>
      </c>
      <c r="X43" s="359" t="s">
        <v>1316</v>
      </c>
      <c r="Y43" s="364" t="s">
        <v>765</v>
      </c>
    </row>
    <row r="44" spans="1:25" ht="54" customHeight="1" thickBot="1">
      <c r="A44" s="2230"/>
      <c r="B44" s="2236"/>
      <c r="C44" s="2237"/>
      <c r="D44" s="2237"/>
      <c r="E44" s="2238"/>
      <c r="F44" s="2216"/>
      <c r="G44" s="2262"/>
      <c r="H44" s="2262"/>
      <c r="I44" s="2217"/>
      <c r="J44" s="2266"/>
      <c r="K44" s="2267"/>
      <c r="L44" s="2267"/>
      <c r="M44" s="2268"/>
      <c r="N44" s="2240"/>
      <c r="O44" s="2240"/>
      <c r="P44" s="2189"/>
      <c r="Q44" s="2189"/>
      <c r="R44" s="2109"/>
      <c r="S44" s="2109"/>
      <c r="T44" s="362">
        <f>'بند3-1مقاله علمي پژوهشيJCRو...'!H38</f>
        <v>0</v>
      </c>
      <c r="U44" s="362">
        <f>'بند3-1مقاله علمي پژوهشيJCRو...'!J38</f>
        <v>0</v>
      </c>
      <c r="V44" s="362">
        <f>'بند3-1مقاله علمي پژوهشيJCRو...'!F38</f>
        <v>0</v>
      </c>
      <c r="W44" s="362">
        <f>'بند3-1مقاله علمي پژوهشيJCRو...'!N38</f>
        <v>0</v>
      </c>
      <c r="X44" s="362">
        <f>'بند3-1مقاله علمي پژوهشيJCRو...'!L38</f>
        <v>0</v>
      </c>
      <c r="Y44" s="460">
        <f ca="1">'بند3-1مقاله علمي پژوهشيJCRو...'!S36</f>
        <v>0</v>
      </c>
    </row>
    <row r="45" spans="1:25" ht="54" customHeight="1">
      <c r="A45" s="2230">
        <f>'بند3-1مقاله علمي پژوهشيJCRو...'!A39</f>
        <v>0</v>
      </c>
      <c r="B45" s="2258">
        <f>'بند3-1مقاله علمي پژوهشيJCRو...'!B39</f>
        <v>0</v>
      </c>
      <c r="C45" s="2234"/>
      <c r="D45" s="2234"/>
      <c r="E45" s="2235"/>
      <c r="F45" s="2270">
        <f>'بند3-1مقاله علمي پژوهشيJCRو...'!F39</f>
        <v>0</v>
      </c>
      <c r="G45" s="2260"/>
      <c r="H45" s="2260"/>
      <c r="I45" s="2261"/>
      <c r="J45" s="2271">
        <f>'بند3-1مقاله علمي پژوهشيJCRو...'!P39</f>
        <v>0</v>
      </c>
      <c r="K45" s="2272"/>
      <c r="L45" s="2272"/>
      <c r="M45" s="2273"/>
      <c r="N45" s="2314">
        <f>'بند3-1مقاله علمي پژوهشيJCRو...'!I39</f>
        <v>0</v>
      </c>
      <c r="O45" s="2316">
        <f>'بند3-1مقاله علمي پژوهشيJCRو...'!O39</f>
        <v>0</v>
      </c>
      <c r="P45" s="2228">
        <f>'بند3-1مقاله علمي پژوهشيJCRو...'!J39</f>
        <v>0</v>
      </c>
      <c r="Q45" s="2228">
        <f>'بند3-1مقاله علمي پژوهشيJCRو...'!K39</f>
        <v>0</v>
      </c>
      <c r="R45" s="2299">
        <f>'بند3-1مقاله علمي پژوهشيJCRو...'!H39</f>
        <v>0</v>
      </c>
      <c r="S45" s="2215"/>
      <c r="T45" s="363" t="s">
        <v>762</v>
      </c>
      <c r="U45" s="363" t="s">
        <v>763</v>
      </c>
      <c r="V45" s="363" t="s">
        <v>764</v>
      </c>
      <c r="W45" s="359" t="s">
        <v>1315</v>
      </c>
      <c r="X45" s="359" t="s">
        <v>1316</v>
      </c>
      <c r="Y45" s="364" t="s">
        <v>765</v>
      </c>
    </row>
    <row r="46" spans="1:25" ht="54" customHeight="1" thickBot="1">
      <c r="A46" s="2230"/>
      <c r="B46" s="2236"/>
      <c r="C46" s="2237"/>
      <c r="D46" s="2237"/>
      <c r="E46" s="2238"/>
      <c r="F46" s="2216"/>
      <c r="G46" s="2262"/>
      <c r="H46" s="2262"/>
      <c r="I46" s="2217"/>
      <c r="J46" s="2266"/>
      <c r="K46" s="2267"/>
      <c r="L46" s="2267"/>
      <c r="M46" s="2268"/>
      <c r="N46" s="2314"/>
      <c r="O46" s="2316"/>
      <c r="P46" s="2296"/>
      <c r="Q46" s="2296"/>
      <c r="R46" s="2299"/>
      <c r="S46" s="2215"/>
      <c r="T46" s="362">
        <f>'بند3-1مقاله علمي پژوهشيJCRو...'!H41</f>
        <v>0</v>
      </c>
      <c r="U46" s="362">
        <f>'بند3-1مقاله علمي پژوهشيJCRو...'!J41</f>
        <v>0</v>
      </c>
      <c r="V46" s="362">
        <f>'بند3-1مقاله علمي پژوهشيJCRو...'!F41</f>
        <v>0</v>
      </c>
      <c r="W46" s="362">
        <f>'بند3-1مقاله علمي پژوهشيJCRو...'!N41</f>
        <v>0</v>
      </c>
      <c r="X46" s="362">
        <f>'بند3-1مقاله علمي پژوهشيJCRو...'!L41</f>
        <v>0</v>
      </c>
      <c r="Y46" s="460">
        <f ca="1">'بند3-1مقاله علمي پژوهشيJCRو...'!S39</f>
        <v>0</v>
      </c>
    </row>
    <row r="47" spans="1:25" ht="54.75" customHeight="1" thickBot="1">
      <c r="A47" s="355" t="s">
        <v>9</v>
      </c>
      <c r="B47" s="2127" t="s">
        <v>274</v>
      </c>
      <c r="C47" s="2128"/>
      <c r="D47" s="2128"/>
      <c r="E47" s="2129"/>
      <c r="F47" s="2127" t="s">
        <v>271</v>
      </c>
      <c r="G47" s="2128"/>
      <c r="H47" s="2128"/>
      <c r="I47" s="2129"/>
      <c r="J47" s="2246" t="s">
        <v>757</v>
      </c>
      <c r="K47" s="2247"/>
      <c r="L47" s="2247"/>
      <c r="M47" s="2248"/>
      <c r="N47" s="356" t="s">
        <v>275</v>
      </c>
      <c r="O47" s="357" t="s">
        <v>758</v>
      </c>
      <c r="P47" s="357" t="s">
        <v>759</v>
      </c>
      <c r="Q47" s="358" t="s">
        <v>784</v>
      </c>
      <c r="R47" s="2246" t="s">
        <v>760</v>
      </c>
      <c r="S47" s="2248"/>
      <c r="T47" s="2245" t="s">
        <v>761</v>
      </c>
      <c r="U47" s="2245"/>
      <c r="V47" s="2127" t="s">
        <v>13</v>
      </c>
      <c r="W47" s="2128"/>
      <c r="X47" s="2128"/>
      <c r="Y47" s="2188"/>
    </row>
    <row r="48" spans="1:25" ht="54" customHeight="1">
      <c r="A48" s="2196">
        <f>'بند3-1مقاله علمي پژوهشيJCRو...'!A42</f>
        <v>0</v>
      </c>
      <c r="B48" s="2212">
        <f>'بند3-1مقاله علمي پژوهشيJCRو...'!B42</f>
        <v>0</v>
      </c>
      <c r="C48" s="2212"/>
      <c r="D48" s="2212"/>
      <c r="E48" s="2212"/>
      <c r="F48" s="2229">
        <f>'بند3-1مقاله علمي پژوهشيJCRو...'!F42</f>
        <v>0</v>
      </c>
      <c r="G48" s="2229"/>
      <c r="H48" s="2229"/>
      <c r="I48" s="2229"/>
      <c r="J48" s="2178">
        <f>'بند3-1مقاله علمي پژوهشيJCRو...'!P42</f>
        <v>0</v>
      </c>
      <c r="K48" s="2178"/>
      <c r="L48" s="2178"/>
      <c r="M48" s="2178"/>
      <c r="N48" s="2239">
        <f>'بند3-1مقاله علمي پژوهشيJCRو...'!I42</f>
        <v>0</v>
      </c>
      <c r="O48" s="2239">
        <f>'بند3-1مقاله علمي پژوهشيJCRو...'!O42</f>
        <v>0</v>
      </c>
      <c r="P48" s="2228">
        <f>'بند3-1مقاله علمي پژوهشيJCRو...'!J42</f>
        <v>0</v>
      </c>
      <c r="Q48" s="2228">
        <f>'بند3-1مقاله علمي پژوهشيJCRو...'!K42</f>
        <v>0</v>
      </c>
      <c r="R48" s="2229">
        <f>'بند3-1مقاله علمي پژوهشيJCRو...'!H42</f>
        <v>0</v>
      </c>
      <c r="S48" s="2229"/>
      <c r="T48" s="365" t="s">
        <v>762</v>
      </c>
      <c r="U48" s="365" t="s">
        <v>763</v>
      </c>
      <c r="V48" s="365" t="s">
        <v>764</v>
      </c>
      <c r="W48" s="359" t="s">
        <v>1315</v>
      </c>
      <c r="X48" s="359" t="s">
        <v>1316</v>
      </c>
      <c r="Y48" s="366" t="s">
        <v>765</v>
      </c>
    </row>
    <row r="49" spans="1:25" ht="54" customHeight="1" thickBot="1">
      <c r="A49" s="2230"/>
      <c r="B49" s="2213"/>
      <c r="C49" s="2213"/>
      <c r="D49" s="2213"/>
      <c r="E49" s="2213"/>
      <c r="F49" s="2109"/>
      <c r="G49" s="2109"/>
      <c r="H49" s="2109"/>
      <c r="I49" s="2109"/>
      <c r="J49" s="2180"/>
      <c r="K49" s="2180"/>
      <c r="L49" s="2180"/>
      <c r="M49" s="2180"/>
      <c r="N49" s="2240"/>
      <c r="O49" s="2240"/>
      <c r="P49" s="2189"/>
      <c r="Q49" s="2189"/>
      <c r="R49" s="2109"/>
      <c r="S49" s="2109"/>
      <c r="T49" s="362">
        <f>'بند3-1مقاله علمي پژوهشيJCRو...'!H44</f>
        <v>0</v>
      </c>
      <c r="U49" s="362">
        <f>'بند3-1مقاله علمي پژوهشيJCRو...'!J44</f>
        <v>0</v>
      </c>
      <c r="V49" s="362">
        <f>'بند3-1مقاله علمي پژوهشيJCRو...'!F44</f>
        <v>0</v>
      </c>
      <c r="W49" s="362">
        <f>'بند3-1مقاله علمي پژوهشيJCRو...'!N44</f>
        <v>0</v>
      </c>
      <c r="X49" s="362">
        <f>'بند3-1مقاله علمي پژوهشيJCRو...'!L44</f>
        <v>0</v>
      </c>
      <c r="Y49" s="460">
        <f ca="1">'بند3-1مقاله علمي پژوهشيJCRو...'!S42</f>
        <v>0</v>
      </c>
    </row>
    <row r="50" spans="1:25" ht="54" customHeight="1">
      <c r="A50" s="2230">
        <f>'بند3-1مقاله علمي پژوهشيJCRو...'!A45</f>
        <v>0</v>
      </c>
      <c r="B50" s="2213">
        <f>'بند3-1مقاله علمي پژوهشيJCRو...'!B45</f>
        <v>0</v>
      </c>
      <c r="C50" s="2213"/>
      <c r="D50" s="2213"/>
      <c r="E50" s="2213"/>
      <c r="F50" s="2109">
        <f>'بند3-1مقاله علمي پژوهشيJCRو...'!F45</f>
        <v>0</v>
      </c>
      <c r="G50" s="2109"/>
      <c r="H50" s="2109"/>
      <c r="I50" s="2109"/>
      <c r="J50" s="2180">
        <f>'بند3-1مقاله علمي پژوهشيJCRو...'!P45</f>
        <v>0</v>
      </c>
      <c r="K50" s="2180"/>
      <c r="L50" s="2180"/>
      <c r="M50" s="2180"/>
      <c r="N50" s="2240">
        <f>'بند3-1مقاله علمي پژوهشيJCRو...'!I45</f>
        <v>0</v>
      </c>
      <c r="O50" s="2240">
        <f>'بند3-1مقاله علمي پژوهشيJCRو...'!O45</f>
        <v>0</v>
      </c>
      <c r="P50" s="2189">
        <f>'بند3-1مقاله علمي پژوهشيJCRو...'!J45</f>
        <v>0</v>
      </c>
      <c r="Q50" s="2189">
        <f>'بند3-1مقاله علمي پژوهشيJCRو...'!K45</f>
        <v>0</v>
      </c>
      <c r="R50" s="2109">
        <f>'بند3-1مقاله علمي پژوهشيJCRو...'!H45</f>
        <v>0</v>
      </c>
      <c r="S50" s="2109"/>
      <c r="T50" s="363" t="s">
        <v>762</v>
      </c>
      <c r="U50" s="363" t="s">
        <v>763</v>
      </c>
      <c r="V50" s="363" t="s">
        <v>764</v>
      </c>
      <c r="W50" s="359" t="s">
        <v>1315</v>
      </c>
      <c r="X50" s="359" t="s">
        <v>1316</v>
      </c>
      <c r="Y50" s="364" t="s">
        <v>765</v>
      </c>
    </row>
    <row r="51" spans="1:25" ht="54" customHeight="1" thickBot="1">
      <c r="A51" s="2230"/>
      <c r="B51" s="2213"/>
      <c r="C51" s="2213"/>
      <c r="D51" s="2213"/>
      <c r="E51" s="2213"/>
      <c r="F51" s="2109"/>
      <c r="G51" s="2109"/>
      <c r="H51" s="2109"/>
      <c r="I51" s="2109"/>
      <c r="J51" s="2180"/>
      <c r="K51" s="2180"/>
      <c r="L51" s="2180"/>
      <c r="M51" s="2180"/>
      <c r="N51" s="2240"/>
      <c r="O51" s="2240"/>
      <c r="P51" s="2189"/>
      <c r="Q51" s="2189"/>
      <c r="R51" s="2109"/>
      <c r="S51" s="2109"/>
      <c r="T51" s="362">
        <f>'بند3-1مقاله علمي پژوهشيJCRو...'!H47</f>
        <v>0</v>
      </c>
      <c r="U51" s="362">
        <f>'بند3-1مقاله علمي پژوهشيJCRو...'!J47</f>
        <v>0</v>
      </c>
      <c r="V51" s="362">
        <f>'بند3-1مقاله علمي پژوهشيJCRو...'!F47</f>
        <v>0</v>
      </c>
      <c r="W51" s="362">
        <f>'بند3-1مقاله علمي پژوهشيJCRو...'!N47</f>
        <v>0</v>
      </c>
      <c r="X51" s="362">
        <f>'بند3-1مقاله علمي پژوهشيJCRو...'!L47</f>
        <v>0</v>
      </c>
      <c r="Y51" s="460">
        <f ca="1">'بند3-1مقاله علمي پژوهشيJCRو...'!S45</f>
        <v>0</v>
      </c>
    </row>
    <row r="52" spans="1:25" ht="54" customHeight="1">
      <c r="A52" s="2230">
        <f>'بند3-1مقاله علمي پژوهشيJCRو...'!A48</f>
        <v>0</v>
      </c>
      <c r="B52" s="2213">
        <f>'بند3-1مقاله علمي پژوهشيJCRو...'!B48</f>
        <v>0</v>
      </c>
      <c r="C52" s="2213"/>
      <c r="D52" s="2213"/>
      <c r="E52" s="2213"/>
      <c r="F52" s="2109">
        <f>'بند3-1مقاله علمي پژوهشيJCRو...'!F48</f>
        <v>0</v>
      </c>
      <c r="G52" s="2109"/>
      <c r="H52" s="2109"/>
      <c r="I52" s="2109"/>
      <c r="J52" s="2180">
        <f>'بند3-1مقاله علمي پژوهشيJCRو...'!P48</f>
        <v>0</v>
      </c>
      <c r="K52" s="2180"/>
      <c r="L52" s="2180"/>
      <c r="M52" s="2180"/>
      <c r="N52" s="2240">
        <f>'بند3-1مقاله علمي پژوهشيJCRو...'!I48</f>
        <v>0</v>
      </c>
      <c r="O52" s="2240">
        <f>'بند3-1مقاله علمي پژوهشيJCRو...'!O48</f>
        <v>0</v>
      </c>
      <c r="P52" s="2189">
        <f>'بند3-1مقاله علمي پژوهشيJCRو...'!J48</f>
        <v>0</v>
      </c>
      <c r="Q52" s="2189">
        <f>'بند3-1مقاله علمي پژوهشيJCRو...'!K48</f>
        <v>0</v>
      </c>
      <c r="R52" s="2109">
        <f>'بند3-1مقاله علمي پژوهشيJCRو...'!H48</f>
        <v>0</v>
      </c>
      <c r="S52" s="2109"/>
      <c r="T52" s="363" t="s">
        <v>762</v>
      </c>
      <c r="U52" s="363" t="s">
        <v>763</v>
      </c>
      <c r="V52" s="363" t="s">
        <v>764</v>
      </c>
      <c r="W52" s="359" t="s">
        <v>1315</v>
      </c>
      <c r="X52" s="359" t="s">
        <v>1316</v>
      </c>
      <c r="Y52" s="364" t="s">
        <v>765</v>
      </c>
    </row>
    <row r="53" spans="1:25" ht="54" customHeight="1" thickBot="1">
      <c r="A53" s="2230"/>
      <c r="B53" s="2213"/>
      <c r="C53" s="2213"/>
      <c r="D53" s="2213"/>
      <c r="E53" s="2213"/>
      <c r="F53" s="2109"/>
      <c r="G53" s="2109"/>
      <c r="H53" s="2109"/>
      <c r="I53" s="2109"/>
      <c r="J53" s="2180"/>
      <c r="K53" s="2180"/>
      <c r="L53" s="2180"/>
      <c r="M53" s="2180"/>
      <c r="N53" s="2240"/>
      <c r="O53" s="2240"/>
      <c r="P53" s="2189"/>
      <c r="Q53" s="2189"/>
      <c r="R53" s="2109"/>
      <c r="S53" s="2109"/>
      <c r="T53" s="362">
        <f>'بند3-1مقاله علمي پژوهشيJCRو...'!H50</f>
        <v>0</v>
      </c>
      <c r="U53" s="362">
        <f>'بند3-1مقاله علمي پژوهشيJCRو...'!J50</f>
        <v>0</v>
      </c>
      <c r="V53" s="362">
        <f>'بند3-1مقاله علمي پژوهشيJCRو...'!F50</f>
        <v>0</v>
      </c>
      <c r="W53" s="362">
        <f>'بند3-1مقاله علمي پژوهشيJCRو...'!N50</f>
        <v>0</v>
      </c>
      <c r="X53" s="362">
        <f>'بند3-1مقاله علمي پژوهشيJCRو...'!L50</f>
        <v>0</v>
      </c>
      <c r="Y53" s="460">
        <f ca="1">'بند3-1مقاله علمي پژوهشيJCRو...'!S48</f>
        <v>0</v>
      </c>
    </row>
    <row r="54" spans="1:25" ht="54" customHeight="1">
      <c r="A54" s="2230">
        <f>'بند3-1مقاله علمي پژوهشيJCRو...'!A51</f>
        <v>0</v>
      </c>
      <c r="B54" s="2213">
        <f>'بند3-1مقاله علمي پژوهشيJCRو...'!B51</f>
        <v>0</v>
      </c>
      <c r="C54" s="2213"/>
      <c r="D54" s="2213"/>
      <c r="E54" s="2213"/>
      <c r="F54" s="2109">
        <f>'بند3-1مقاله علمي پژوهشيJCRو...'!F51</f>
        <v>0</v>
      </c>
      <c r="G54" s="2109"/>
      <c r="H54" s="2109"/>
      <c r="I54" s="2109"/>
      <c r="J54" s="2180">
        <f>'بند3-1مقاله علمي پژوهشيJCRو...'!P51</f>
        <v>0</v>
      </c>
      <c r="K54" s="2180"/>
      <c r="L54" s="2180"/>
      <c r="M54" s="2180"/>
      <c r="N54" s="2240">
        <f>'بند3-1مقاله علمي پژوهشيJCRو...'!I51</f>
        <v>0</v>
      </c>
      <c r="O54" s="2240">
        <f>'بند3-1مقاله علمي پژوهشيJCRو...'!O51</f>
        <v>0</v>
      </c>
      <c r="P54" s="2189">
        <f>'بند3-1مقاله علمي پژوهشيJCRو...'!J51</f>
        <v>0</v>
      </c>
      <c r="Q54" s="2189">
        <f>'بند3-1مقاله علمي پژوهشيJCRو...'!K51</f>
        <v>0</v>
      </c>
      <c r="R54" s="2109">
        <f>'بند3-1مقاله علمي پژوهشيJCRو...'!H51</f>
        <v>0</v>
      </c>
      <c r="S54" s="2109"/>
      <c r="T54" s="363" t="s">
        <v>762</v>
      </c>
      <c r="U54" s="363" t="s">
        <v>763</v>
      </c>
      <c r="V54" s="363" t="s">
        <v>764</v>
      </c>
      <c r="W54" s="359" t="s">
        <v>1315</v>
      </c>
      <c r="X54" s="359" t="s">
        <v>1316</v>
      </c>
      <c r="Y54" s="364" t="s">
        <v>765</v>
      </c>
    </row>
    <row r="55" spans="1:25" ht="54" customHeight="1" thickBot="1">
      <c r="A55" s="2230"/>
      <c r="B55" s="2213"/>
      <c r="C55" s="2213"/>
      <c r="D55" s="2213"/>
      <c r="E55" s="2213"/>
      <c r="F55" s="2109"/>
      <c r="G55" s="2109"/>
      <c r="H55" s="2109"/>
      <c r="I55" s="2109"/>
      <c r="J55" s="2180"/>
      <c r="K55" s="2180"/>
      <c r="L55" s="2180"/>
      <c r="M55" s="2180"/>
      <c r="N55" s="2240"/>
      <c r="O55" s="2240"/>
      <c r="P55" s="2189"/>
      <c r="Q55" s="2189"/>
      <c r="R55" s="2109"/>
      <c r="S55" s="2109"/>
      <c r="T55" s="362">
        <f>'بند3-1مقاله علمي پژوهشيJCRو...'!H53</f>
        <v>0</v>
      </c>
      <c r="U55" s="362">
        <f>'بند3-1مقاله علمي پژوهشيJCRو...'!J53</f>
        <v>0</v>
      </c>
      <c r="V55" s="362">
        <f>'بند3-1مقاله علمي پژوهشيJCRو...'!F53</f>
        <v>0</v>
      </c>
      <c r="W55" s="362">
        <f>'بند3-1مقاله علمي پژوهشيJCRو...'!N53</f>
        <v>0</v>
      </c>
      <c r="X55" s="362">
        <f>'بند3-1مقاله علمي پژوهشيJCRو...'!L53</f>
        <v>0</v>
      </c>
      <c r="Y55" s="460">
        <f ca="1">'بند3-1مقاله علمي پژوهشيJCRو...'!S51</f>
        <v>0</v>
      </c>
    </row>
    <row r="56" spans="1:25" ht="54.75" customHeight="1" thickBot="1">
      <c r="A56" s="355" t="s">
        <v>9</v>
      </c>
      <c r="B56" s="2127" t="s">
        <v>274</v>
      </c>
      <c r="C56" s="2128"/>
      <c r="D56" s="2128"/>
      <c r="E56" s="2129"/>
      <c r="F56" s="2127" t="s">
        <v>271</v>
      </c>
      <c r="G56" s="2128"/>
      <c r="H56" s="2128"/>
      <c r="I56" s="2129"/>
      <c r="J56" s="2246" t="s">
        <v>757</v>
      </c>
      <c r="K56" s="2247"/>
      <c r="L56" s="2247"/>
      <c r="M56" s="2248"/>
      <c r="N56" s="356" t="s">
        <v>275</v>
      </c>
      <c r="O56" s="357" t="s">
        <v>758</v>
      </c>
      <c r="P56" s="357" t="s">
        <v>759</v>
      </c>
      <c r="Q56" s="358" t="s">
        <v>784</v>
      </c>
      <c r="R56" s="2246" t="s">
        <v>760</v>
      </c>
      <c r="S56" s="2248"/>
      <c r="T56" s="2246" t="s">
        <v>761</v>
      </c>
      <c r="U56" s="2248"/>
      <c r="V56" s="2127" t="s">
        <v>13</v>
      </c>
      <c r="W56" s="2128"/>
      <c r="X56" s="2128"/>
      <c r="Y56" s="2188"/>
    </row>
    <row r="57" spans="1:25" ht="54" customHeight="1">
      <c r="A57" s="2196">
        <f>'بند3-1مقاله علمي پژوهشيJCRو...'!A54</f>
        <v>0</v>
      </c>
      <c r="B57" s="2212">
        <f>'بند3-1مقاله علمي پژوهشيJCRو...'!B54</f>
        <v>0</v>
      </c>
      <c r="C57" s="2212"/>
      <c r="D57" s="2212"/>
      <c r="E57" s="2212"/>
      <c r="F57" s="2229">
        <f>'بند3-1مقاله علمي پژوهشيJCRو...'!F54</f>
        <v>0</v>
      </c>
      <c r="G57" s="2229"/>
      <c r="H57" s="2229"/>
      <c r="I57" s="2229"/>
      <c r="J57" s="2178">
        <f>'بند3-1مقاله علمي پژوهشيJCRو...'!P54</f>
        <v>0</v>
      </c>
      <c r="K57" s="2178"/>
      <c r="L57" s="2178"/>
      <c r="M57" s="2178"/>
      <c r="N57" s="2239">
        <f>'بند3-1مقاله علمي پژوهشيJCRو...'!I54</f>
        <v>0</v>
      </c>
      <c r="O57" s="2239">
        <f>'بند3-1مقاله علمي پژوهشيJCRو...'!O54</f>
        <v>0</v>
      </c>
      <c r="P57" s="2228">
        <f>'بند3-1مقاله علمي پژوهشيJCRو...'!J54</f>
        <v>0</v>
      </c>
      <c r="Q57" s="2228">
        <f>'بند3-1مقاله علمي پژوهشيJCRو...'!K54</f>
        <v>0</v>
      </c>
      <c r="R57" s="2229">
        <f>'بند3-1مقاله علمي پژوهشيJCRو...'!H54</f>
        <v>0</v>
      </c>
      <c r="S57" s="2229"/>
      <c r="T57" s="365" t="s">
        <v>762</v>
      </c>
      <c r="U57" s="365" t="s">
        <v>763</v>
      </c>
      <c r="V57" s="365" t="s">
        <v>764</v>
      </c>
      <c r="W57" s="359" t="s">
        <v>1315</v>
      </c>
      <c r="X57" s="359" t="s">
        <v>1316</v>
      </c>
      <c r="Y57" s="366" t="s">
        <v>765</v>
      </c>
    </row>
    <row r="58" spans="1:25" ht="54" customHeight="1" thickBot="1">
      <c r="A58" s="2230"/>
      <c r="B58" s="2213"/>
      <c r="C58" s="2213"/>
      <c r="D58" s="2213"/>
      <c r="E58" s="2213"/>
      <c r="F58" s="2109"/>
      <c r="G58" s="2109"/>
      <c r="H58" s="2109"/>
      <c r="I58" s="2109"/>
      <c r="J58" s="2180"/>
      <c r="K58" s="2180"/>
      <c r="L58" s="2180"/>
      <c r="M58" s="2180"/>
      <c r="N58" s="2240"/>
      <c r="O58" s="2240"/>
      <c r="P58" s="2189"/>
      <c r="Q58" s="2189"/>
      <c r="R58" s="2109"/>
      <c r="S58" s="2109"/>
      <c r="T58" s="362">
        <f>'بند3-1مقاله علمي پژوهشيJCRو...'!H56</f>
        <v>0</v>
      </c>
      <c r="U58" s="362">
        <f>'بند3-1مقاله علمي پژوهشيJCRو...'!J56</f>
        <v>0</v>
      </c>
      <c r="V58" s="362">
        <f>'بند3-1مقاله علمي پژوهشيJCRو...'!F56</f>
        <v>0</v>
      </c>
      <c r="W58" s="362">
        <f>'بند3-1مقاله علمي پژوهشيJCRو...'!N56</f>
        <v>0</v>
      </c>
      <c r="X58" s="362">
        <f>'بند3-1مقاله علمي پژوهشيJCRو...'!L56</f>
        <v>0</v>
      </c>
      <c r="Y58" s="460">
        <f ca="1">'بند3-1مقاله علمي پژوهشيJCRو...'!S54</f>
        <v>0</v>
      </c>
    </row>
    <row r="59" spans="1:25" ht="54" customHeight="1">
      <c r="A59" s="2230">
        <f>'بند3-1مقاله علمي پژوهشيJCRو...'!A57</f>
        <v>0</v>
      </c>
      <c r="B59" s="2213">
        <f>'بند3-1مقاله علمي پژوهشيJCRو...'!B57</f>
        <v>0</v>
      </c>
      <c r="C59" s="2213"/>
      <c r="D59" s="2213"/>
      <c r="E59" s="2213"/>
      <c r="F59" s="2109">
        <f>'بند3-1مقاله علمي پژوهشيJCRو...'!F57</f>
        <v>0</v>
      </c>
      <c r="G59" s="2109"/>
      <c r="H59" s="2109"/>
      <c r="I59" s="2109"/>
      <c r="J59" s="2180">
        <f>'بند3-1مقاله علمي پژوهشيJCRو...'!P57</f>
        <v>0</v>
      </c>
      <c r="K59" s="2180"/>
      <c r="L59" s="2180"/>
      <c r="M59" s="2180"/>
      <c r="N59" s="2240">
        <f>'بند3-1مقاله علمي پژوهشيJCRو...'!I57</f>
        <v>0</v>
      </c>
      <c r="O59" s="2240">
        <f>'بند3-1مقاله علمي پژوهشيJCRو...'!O57</f>
        <v>0</v>
      </c>
      <c r="P59" s="2189">
        <f>'بند3-1مقاله علمي پژوهشيJCRو...'!J57</f>
        <v>0</v>
      </c>
      <c r="Q59" s="2189">
        <f>'بند3-1مقاله علمي پژوهشيJCRو...'!K57</f>
        <v>0</v>
      </c>
      <c r="R59" s="2109">
        <f>'بند3-1مقاله علمي پژوهشيJCRو...'!H57</f>
        <v>0</v>
      </c>
      <c r="S59" s="2109"/>
      <c r="T59" s="363" t="s">
        <v>762</v>
      </c>
      <c r="U59" s="363" t="s">
        <v>763</v>
      </c>
      <c r="V59" s="363" t="s">
        <v>764</v>
      </c>
      <c r="W59" s="359" t="s">
        <v>1315</v>
      </c>
      <c r="X59" s="359" t="s">
        <v>1316</v>
      </c>
      <c r="Y59" s="364" t="s">
        <v>765</v>
      </c>
    </row>
    <row r="60" spans="1:25" ht="54" customHeight="1" thickBot="1">
      <c r="A60" s="2230"/>
      <c r="B60" s="2213"/>
      <c r="C60" s="2213"/>
      <c r="D60" s="2213"/>
      <c r="E60" s="2213"/>
      <c r="F60" s="2109"/>
      <c r="G60" s="2109"/>
      <c r="H60" s="2109"/>
      <c r="I60" s="2109"/>
      <c r="J60" s="2180"/>
      <c r="K60" s="2180"/>
      <c r="L60" s="2180"/>
      <c r="M60" s="2180"/>
      <c r="N60" s="2240"/>
      <c r="O60" s="2240"/>
      <c r="P60" s="2189"/>
      <c r="Q60" s="2189"/>
      <c r="R60" s="2109"/>
      <c r="S60" s="2109"/>
      <c r="T60" s="362">
        <f>'بند3-1مقاله علمي پژوهشيJCRو...'!H59</f>
        <v>0</v>
      </c>
      <c r="U60" s="362">
        <f>'بند3-1مقاله علمي پژوهشيJCRو...'!J59</f>
        <v>0</v>
      </c>
      <c r="V60" s="362">
        <f>'بند3-1مقاله علمي پژوهشيJCRو...'!F59</f>
        <v>0</v>
      </c>
      <c r="W60" s="362">
        <f>'بند3-1مقاله علمي پژوهشيJCRو...'!N59</f>
        <v>0</v>
      </c>
      <c r="X60" s="362">
        <f>'بند3-1مقاله علمي پژوهشيJCRو...'!L59</f>
        <v>0</v>
      </c>
      <c r="Y60" s="460">
        <f ca="1">'بند3-1مقاله علمي پژوهشيJCRو...'!S57</f>
        <v>0</v>
      </c>
    </row>
    <row r="61" spans="1:25" ht="54" customHeight="1">
      <c r="A61" s="2230">
        <f>'بند3-1مقاله علمي پژوهشيJCRو...'!A60</f>
        <v>0</v>
      </c>
      <c r="B61" s="2213">
        <f>'بند3-1مقاله علمي پژوهشيJCRو...'!B60</f>
        <v>0</v>
      </c>
      <c r="C61" s="2213"/>
      <c r="D61" s="2213"/>
      <c r="E61" s="2213"/>
      <c r="F61" s="2109">
        <f>'بند3-1مقاله علمي پژوهشيJCRو...'!F60</f>
        <v>0</v>
      </c>
      <c r="G61" s="2109"/>
      <c r="H61" s="2109"/>
      <c r="I61" s="2109"/>
      <c r="J61" s="2180">
        <f>'بند3-1مقاله علمي پژوهشيJCRو...'!P60</f>
        <v>0</v>
      </c>
      <c r="K61" s="2180"/>
      <c r="L61" s="2180"/>
      <c r="M61" s="2180"/>
      <c r="N61" s="2240">
        <f>'بند3-1مقاله علمي پژوهشيJCRو...'!I60</f>
        <v>0</v>
      </c>
      <c r="O61" s="2240">
        <f>'بند3-1مقاله علمي پژوهشيJCRو...'!O60</f>
        <v>0</v>
      </c>
      <c r="P61" s="2189">
        <f>'بند3-1مقاله علمي پژوهشيJCRو...'!J60</f>
        <v>0</v>
      </c>
      <c r="Q61" s="2189">
        <f>'بند3-1مقاله علمي پژوهشيJCRو...'!K60</f>
        <v>0</v>
      </c>
      <c r="R61" s="2109">
        <f>'بند3-1مقاله علمي پژوهشيJCRو...'!H60</f>
        <v>0</v>
      </c>
      <c r="S61" s="2109"/>
      <c r="T61" s="363" t="s">
        <v>762</v>
      </c>
      <c r="U61" s="363" t="s">
        <v>763</v>
      </c>
      <c r="V61" s="363" t="s">
        <v>764</v>
      </c>
      <c r="W61" s="359" t="s">
        <v>1315</v>
      </c>
      <c r="X61" s="359" t="s">
        <v>1316</v>
      </c>
      <c r="Y61" s="364" t="s">
        <v>765</v>
      </c>
    </row>
    <row r="62" spans="1:25" ht="54" customHeight="1" thickBot="1">
      <c r="A62" s="2230"/>
      <c r="B62" s="2213"/>
      <c r="C62" s="2213"/>
      <c r="D62" s="2213"/>
      <c r="E62" s="2213"/>
      <c r="F62" s="2109"/>
      <c r="G62" s="2109"/>
      <c r="H62" s="2109"/>
      <c r="I62" s="2109"/>
      <c r="J62" s="2180"/>
      <c r="K62" s="2180"/>
      <c r="L62" s="2180"/>
      <c r="M62" s="2180"/>
      <c r="N62" s="2240"/>
      <c r="O62" s="2240"/>
      <c r="P62" s="2189"/>
      <c r="Q62" s="2189"/>
      <c r="R62" s="2109"/>
      <c r="S62" s="2109"/>
      <c r="T62" s="362">
        <f>'بند3-1مقاله علمي پژوهشيJCRو...'!H62</f>
        <v>0</v>
      </c>
      <c r="U62" s="362">
        <f>'بند3-1مقاله علمي پژوهشيJCRو...'!J62</f>
        <v>0</v>
      </c>
      <c r="V62" s="362">
        <f>'بند3-1مقاله علمي پژوهشيJCRو...'!F62</f>
        <v>0</v>
      </c>
      <c r="W62" s="362">
        <f>'بند3-1مقاله علمي پژوهشيJCRو...'!N62</f>
        <v>0</v>
      </c>
      <c r="X62" s="362">
        <f>'بند3-1مقاله علمي پژوهشيJCRو...'!L62</f>
        <v>0</v>
      </c>
      <c r="Y62" s="460">
        <f ca="1">'بند3-1مقاله علمي پژوهشيJCRو...'!S60</f>
        <v>0</v>
      </c>
    </row>
    <row r="63" spans="1:25" ht="54" customHeight="1">
      <c r="A63" s="2230">
        <f>'بند3-1مقاله علمي پژوهشيJCRو...'!A63</f>
        <v>0</v>
      </c>
      <c r="B63" s="2213">
        <f>'بند3-1مقاله علمي پژوهشيJCRو...'!B63</f>
        <v>0</v>
      </c>
      <c r="C63" s="2213"/>
      <c r="D63" s="2213"/>
      <c r="E63" s="2213"/>
      <c r="F63" s="2109">
        <f>'بند3-1مقاله علمي پژوهشيJCRو...'!F63</f>
        <v>0</v>
      </c>
      <c r="G63" s="2109"/>
      <c r="H63" s="2109"/>
      <c r="I63" s="2109"/>
      <c r="J63" s="2180">
        <f>'بند3-1مقاله علمي پژوهشيJCRو...'!P63</f>
        <v>0</v>
      </c>
      <c r="K63" s="2180"/>
      <c r="L63" s="2180"/>
      <c r="M63" s="2180"/>
      <c r="N63" s="2240">
        <f>'بند3-1مقاله علمي پژوهشيJCRو...'!I63</f>
        <v>0</v>
      </c>
      <c r="O63" s="2240">
        <f>'بند3-1مقاله علمي پژوهشيJCRو...'!O63</f>
        <v>0</v>
      </c>
      <c r="P63" s="2189">
        <f>'بند3-1مقاله علمي پژوهشيJCRو...'!J63</f>
        <v>0</v>
      </c>
      <c r="Q63" s="2189">
        <f>'بند3-1مقاله علمي پژوهشيJCRو...'!K63</f>
        <v>0</v>
      </c>
      <c r="R63" s="2109">
        <f>'بند3-1مقاله علمي پژوهشيJCRو...'!H63</f>
        <v>0</v>
      </c>
      <c r="S63" s="2109"/>
      <c r="T63" s="363" t="s">
        <v>762</v>
      </c>
      <c r="U63" s="363" t="s">
        <v>763</v>
      </c>
      <c r="V63" s="363" t="s">
        <v>764</v>
      </c>
      <c r="W63" s="359" t="s">
        <v>1315</v>
      </c>
      <c r="X63" s="359" t="s">
        <v>1316</v>
      </c>
      <c r="Y63" s="364" t="s">
        <v>765</v>
      </c>
    </row>
    <row r="64" spans="1:25" ht="54" customHeight="1" thickBot="1">
      <c r="A64" s="2230"/>
      <c r="B64" s="2213"/>
      <c r="C64" s="2213"/>
      <c r="D64" s="2213"/>
      <c r="E64" s="2213"/>
      <c r="F64" s="2109"/>
      <c r="G64" s="2109"/>
      <c r="H64" s="2109"/>
      <c r="I64" s="2109"/>
      <c r="J64" s="2180"/>
      <c r="K64" s="2180"/>
      <c r="L64" s="2180"/>
      <c r="M64" s="2180"/>
      <c r="N64" s="2240"/>
      <c r="O64" s="2240"/>
      <c r="P64" s="2189"/>
      <c r="Q64" s="2189"/>
      <c r="R64" s="2109"/>
      <c r="S64" s="2109"/>
      <c r="T64" s="362">
        <f>'بند3-1مقاله علمي پژوهشيJCRو...'!H65</f>
        <v>0</v>
      </c>
      <c r="U64" s="362">
        <f>'بند3-1مقاله علمي پژوهشيJCRو...'!J65</f>
        <v>0</v>
      </c>
      <c r="V64" s="362">
        <f>'بند3-1مقاله علمي پژوهشيJCRو...'!F65</f>
        <v>0</v>
      </c>
      <c r="W64" s="362">
        <f>'بند3-1مقاله علمي پژوهشيJCRو...'!N65</f>
        <v>0</v>
      </c>
      <c r="X64" s="362">
        <f>'بند3-1مقاله علمي پژوهشيJCRو...'!L65</f>
        <v>0</v>
      </c>
      <c r="Y64" s="460">
        <f ca="1">'بند3-1مقاله علمي پژوهشيJCRو...'!S63</f>
        <v>0</v>
      </c>
    </row>
    <row r="65" spans="1:25" ht="54.75" customHeight="1" thickBot="1">
      <c r="A65" s="355" t="s">
        <v>9</v>
      </c>
      <c r="B65" s="2127" t="s">
        <v>274</v>
      </c>
      <c r="C65" s="2128"/>
      <c r="D65" s="2128"/>
      <c r="E65" s="2129"/>
      <c r="F65" s="2127" t="s">
        <v>271</v>
      </c>
      <c r="G65" s="2128"/>
      <c r="H65" s="2128"/>
      <c r="I65" s="2129"/>
      <c r="J65" s="2246" t="s">
        <v>757</v>
      </c>
      <c r="K65" s="2247"/>
      <c r="L65" s="2247"/>
      <c r="M65" s="2248"/>
      <c r="N65" s="356" t="s">
        <v>275</v>
      </c>
      <c r="O65" s="357" t="s">
        <v>758</v>
      </c>
      <c r="P65" s="357" t="s">
        <v>759</v>
      </c>
      <c r="Q65" s="358" t="s">
        <v>784</v>
      </c>
      <c r="R65" s="2246" t="s">
        <v>760</v>
      </c>
      <c r="S65" s="2248"/>
      <c r="T65" s="2246" t="s">
        <v>761</v>
      </c>
      <c r="U65" s="2248"/>
      <c r="V65" s="2127" t="s">
        <v>13</v>
      </c>
      <c r="W65" s="2128"/>
      <c r="X65" s="2128"/>
      <c r="Y65" s="2188"/>
    </row>
    <row r="66" spans="1:25" ht="54" customHeight="1">
      <c r="A66" s="2196">
        <f>'بند3-1مقاله علمي پژوهشيJCRو...'!A66</f>
        <v>0</v>
      </c>
      <c r="B66" s="2212">
        <f>'بند3-1مقاله علمي پژوهشيJCRو...'!B66</f>
        <v>0</v>
      </c>
      <c r="C66" s="2212"/>
      <c r="D66" s="2212"/>
      <c r="E66" s="2212"/>
      <c r="F66" s="2229">
        <f>'بند3-1مقاله علمي پژوهشيJCRو...'!F66</f>
        <v>0</v>
      </c>
      <c r="G66" s="2229"/>
      <c r="H66" s="2229"/>
      <c r="I66" s="2229"/>
      <c r="J66" s="2178">
        <f>'بند3-1مقاله علمي پژوهشيJCRو...'!P66</f>
        <v>0</v>
      </c>
      <c r="K66" s="2178"/>
      <c r="L66" s="2178"/>
      <c r="M66" s="2178"/>
      <c r="N66" s="2239">
        <f>'بند3-1مقاله علمي پژوهشيJCRو...'!I66</f>
        <v>0</v>
      </c>
      <c r="O66" s="2239">
        <f>'بند3-1مقاله علمي پژوهشيJCRو...'!O66</f>
        <v>0</v>
      </c>
      <c r="P66" s="2228">
        <f>'بند3-1مقاله علمي پژوهشيJCRو...'!J66</f>
        <v>0</v>
      </c>
      <c r="Q66" s="2228">
        <f>'بند3-1مقاله علمي پژوهشيJCRو...'!K66</f>
        <v>0</v>
      </c>
      <c r="R66" s="2229">
        <f>'بند3-1مقاله علمي پژوهشيJCRو...'!H66</f>
        <v>0</v>
      </c>
      <c r="S66" s="2229"/>
      <c r="T66" s="365" t="s">
        <v>762</v>
      </c>
      <c r="U66" s="365" t="s">
        <v>763</v>
      </c>
      <c r="V66" s="365" t="s">
        <v>764</v>
      </c>
      <c r="W66" s="359" t="s">
        <v>1315</v>
      </c>
      <c r="X66" s="359" t="s">
        <v>1316</v>
      </c>
      <c r="Y66" s="366" t="s">
        <v>765</v>
      </c>
    </row>
    <row r="67" spans="1:25" ht="54" customHeight="1" thickBot="1">
      <c r="A67" s="2230"/>
      <c r="B67" s="2213"/>
      <c r="C67" s="2213"/>
      <c r="D67" s="2213"/>
      <c r="E67" s="2213"/>
      <c r="F67" s="2109"/>
      <c r="G67" s="2109"/>
      <c r="H67" s="2109"/>
      <c r="I67" s="2109"/>
      <c r="J67" s="2180"/>
      <c r="K67" s="2180"/>
      <c r="L67" s="2180"/>
      <c r="M67" s="2180"/>
      <c r="N67" s="2240"/>
      <c r="O67" s="2240"/>
      <c r="P67" s="2189"/>
      <c r="Q67" s="2189"/>
      <c r="R67" s="2109"/>
      <c r="S67" s="2109"/>
      <c r="T67" s="362">
        <f>'بند3-1مقاله علمي پژوهشيJCRو...'!H68</f>
        <v>0</v>
      </c>
      <c r="U67" s="362">
        <f>'بند3-1مقاله علمي پژوهشيJCRو...'!J68</f>
        <v>0</v>
      </c>
      <c r="V67" s="362">
        <f>'بند3-1مقاله علمي پژوهشيJCRو...'!F68</f>
        <v>0</v>
      </c>
      <c r="W67" s="362">
        <f>'بند3-1مقاله علمي پژوهشيJCRو...'!N68</f>
        <v>0</v>
      </c>
      <c r="X67" s="362">
        <f>'بند3-1مقاله علمي پژوهشيJCRو...'!L68</f>
        <v>0</v>
      </c>
      <c r="Y67" s="460">
        <f ca="1">'بند3-1مقاله علمي پژوهشيJCRو...'!S66</f>
        <v>0</v>
      </c>
    </row>
    <row r="68" spans="1:25" ht="54" customHeight="1">
      <c r="A68" s="2230">
        <f>'بند3-1مقاله علمي پژوهشيJCRو...'!A69</f>
        <v>0</v>
      </c>
      <c r="B68" s="2213">
        <f>'بند3-1مقاله علمي پژوهشيJCRو...'!B69</f>
        <v>0</v>
      </c>
      <c r="C68" s="2213"/>
      <c r="D68" s="2213"/>
      <c r="E68" s="2213"/>
      <c r="F68" s="2109">
        <f>'بند3-1مقاله علمي پژوهشيJCRو...'!F69</f>
        <v>0</v>
      </c>
      <c r="G68" s="2109"/>
      <c r="H68" s="2109"/>
      <c r="I68" s="2109"/>
      <c r="J68" s="2180">
        <f>'بند3-1مقاله علمي پژوهشيJCRو...'!P69</f>
        <v>0</v>
      </c>
      <c r="K68" s="2180"/>
      <c r="L68" s="2180"/>
      <c r="M68" s="2180"/>
      <c r="N68" s="2240">
        <f>'بند3-1مقاله علمي پژوهشيJCRو...'!I69</f>
        <v>0</v>
      </c>
      <c r="O68" s="2240">
        <f>'بند3-1مقاله علمي پژوهشيJCRو...'!O69</f>
        <v>0</v>
      </c>
      <c r="P68" s="2189">
        <f>'بند3-1مقاله علمي پژوهشيJCRو...'!J69</f>
        <v>0</v>
      </c>
      <c r="Q68" s="2189">
        <f>'بند3-1مقاله علمي پژوهشيJCRو...'!K69</f>
        <v>0</v>
      </c>
      <c r="R68" s="2109">
        <f>'بند3-1مقاله علمي پژوهشيJCRو...'!H69</f>
        <v>0</v>
      </c>
      <c r="S68" s="2109"/>
      <c r="T68" s="363" t="s">
        <v>762</v>
      </c>
      <c r="U68" s="363" t="s">
        <v>763</v>
      </c>
      <c r="V68" s="363" t="s">
        <v>764</v>
      </c>
      <c r="W68" s="359" t="s">
        <v>1315</v>
      </c>
      <c r="X68" s="359" t="s">
        <v>1316</v>
      </c>
      <c r="Y68" s="364" t="s">
        <v>765</v>
      </c>
    </row>
    <row r="69" spans="1:25" ht="54" customHeight="1" thickBot="1">
      <c r="A69" s="2230"/>
      <c r="B69" s="2213"/>
      <c r="C69" s="2213"/>
      <c r="D69" s="2213"/>
      <c r="E69" s="2213"/>
      <c r="F69" s="2109"/>
      <c r="G69" s="2109"/>
      <c r="H69" s="2109"/>
      <c r="I69" s="2109"/>
      <c r="J69" s="2180"/>
      <c r="K69" s="2180"/>
      <c r="L69" s="2180"/>
      <c r="M69" s="2180"/>
      <c r="N69" s="2240"/>
      <c r="O69" s="2240"/>
      <c r="P69" s="2189"/>
      <c r="Q69" s="2189"/>
      <c r="R69" s="2109"/>
      <c r="S69" s="2109"/>
      <c r="T69" s="362">
        <f>'بند3-1مقاله علمي پژوهشيJCRو...'!H71</f>
        <v>0</v>
      </c>
      <c r="U69" s="362">
        <f>'بند3-1مقاله علمي پژوهشيJCRو...'!J71</f>
        <v>0</v>
      </c>
      <c r="V69" s="362">
        <f>'بند3-1مقاله علمي پژوهشيJCRو...'!F71</f>
        <v>0</v>
      </c>
      <c r="W69" s="362">
        <f>'بند3-1مقاله علمي پژوهشيJCRو...'!N71</f>
        <v>0</v>
      </c>
      <c r="X69" s="362">
        <f>'بند3-1مقاله علمي پژوهشيJCRو...'!L71</f>
        <v>0</v>
      </c>
      <c r="Y69" s="460">
        <f ca="1">'بند3-1مقاله علمي پژوهشيJCRو...'!S69</f>
        <v>0</v>
      </c>
    </row>
    <row r="70" spans="1:25" ht="54" customHeight="1">
      <c r="A70" s="2230">
        <f>'بند3-1مقاله علمي پژوهشيJCRو...'!A72</f>
        <v>0</v>
      </c>
      <c r="B70" s="2213">
        <f>'بند3-1مقاله علمي پژوهشيJCRو...'!B72</f>
        <v>0</v>
      </c>
      <c r="C70" s="2213"/>
      <c r="D70" s="2213"/>
      <c r="E70" s="2213"/>
      <c r="F70" s="2109">
        <f>'بند3-1مقاله علمي پژوهشيJCRو...'!F72</f>
        <v>0</v>
      </c>
      <c r="G70" s="2109"/>
      <c r="H70" s="2109"/>
      <c r="I70" s="2109"/>
      <c r="J70" s="2180">
        <f>'بند3-1مقاله علمي پژوهشيJCRو...'!P72</f>
        <v>0</v>
      </c>
      <c r="K70" s="2180"/>
      <c r="L70" s="2180"/>
      <c r="M70" s="2180"/>
      <c r="N70" s="2240">
        <f>'بند3-1مقاله علمي پژوهشيJCRو...'!I72</f>
        <v>0</v>
      </c>
      <c r="O70" s="2240">
        <f>'بند3-1مقاله علمي پژوهشيJCRو...'!O72</f>
        <v>0</v>
      </c>
      <c r="P70" s="2189">
        <f>'بند3-1مقاله علمي پژوهشيJCRو...'!J72</f>
        <v>0</v>
      </c>
      <c r="Q70" s="2189">
        <f>'بند3-1مقاله علمي پژوهشيJCRو...'!K72</f>
        <v>0</v>
      </c>
      <c r="R70" s="2109">
        <f>'بند3-1مقاله علمي پژوهشيJCRو...'!H72</f>
        <v>0</v>
      </c>
      <c r="S70" s="2109"/>
      <c r="T70" s="363" t="s">
        <v>762</v>
      </c>
      <c r="U70" s="363" t="s">
        <v>763</v>
      </c>
      <c r="V70" s="363" t="s">
        <v>764</v>
      </c>
      <c r="W70" s="359" t="s">
        <v>1315</v>
      </c>
      <c r="X70" s="359" t="s">
        <v>1316</v>
      </c>
      <c r="Y70" s="364" t="s">
        <v>765</v>
      </c>
    </row>
    <row r="71" spans="1:25" ht="54" customHeight="1" thickBot="1">
      <c r="A71" s="2230"/>
      <c r="B71" s="2213"/>
      <c r="C71" s="2213"/>
      <c r="D71" s="2213"/>
      <c r="E71" s="2213"/>
      <c r="F71" s="2109"/>
      <c r="G71" s="2109"/>
      <c r="H71" s="2109"/>
      <c r="I71" s="2109"/>
      <c r="J71" s="2180"/>
      <c r="K71" s="2180"/>
      <c r="L71" s="2180"/>
      <c r="M71" s="2180"/>
      <c r="N71" s="2240"/>
      <c r="O71" s="2240"/>
      <c r="P71" s="2189"/>
      <c r="Q71" s="2189"/>
      <c r="R71" s="2109"/>
      <c r="S71" s="2109"/>
      <c r="T71" s="362">
        <f>'بند3-1مقاله علمي پژوهشيJCRو...'!H74</f>
        <v>0</v>
      </c>
      <c r="U71" s="362">
        <f>'بند3-1مقاله علمي پژوهشيJCRو...'!J74</f>
        <v>0</v>
      </c>
      <c r="V71" s="362">
        <f>'بند3-1مقاله علمي پژوهشيJCRو...'!F74</f>
        <v>0</v>
      </c>
      <c r="W71" s="362">
        <f>'بند3-1مقاله علمي پژوهشيJCRو...'!N74</f>
        <v>0</v>
      </c>
      <c r="X71" s="362">
        <f>'بند3-1مقاله علمي پژوهشيJCRو...'!L74</f>
        <v>0</v>
      </c>
      <c r="Y71" s="460">
        <f ca="1">'بند3-1مقاله علمي پژوهشيJCRو...'!S72</f>
        <v>0</v>
      </c>
    </row>
    <row r="72" spans="1:25" ht="54" customHeight="1">
      <c r="A72" s="2230">
        <f>'بند3-1مقاله علمي پژوهشيJCRو...'!A75</f>
        <v>0</v>
      </c>
      <c r="B72" s="2213">
        <f>'بند3-1مقاله علمي پژوهشيJCRو...'!B75</f>
        <v>0</v>
      </c>
      <c r="C72" s="2213"/>
      <c r="D72" s="2213"/>
      <c r="E72" s="2213"/>
      <c r="F72" s="2109">
        <f>'بند3-1مقاله علمي پژوهشيJCRو...'!F75</f>
        <v>0</v>
      </c>
      <c r="G72" s="2109"/>
      <c r="H72" s="2109"/>
      <c r="I72" s="2109"/>
      <c r="J72" s="2180">
        <f>'بند3-1مقاله علمي پژوهشيJCRو...'!P75</f>
        <v>0</v>
      </c>
      <c r="K72" s="2180"/>
      <c r="L72" s="2180"/>
      <c r="M72" s="2180"/>
      <c r="N72" s="2240">
        <f>'بند3-1مقاله علمي پژوهشيJCRو...'!I75</f>
        <v>0</v>
      </c>
      <c r="O72" s="2240">
        <f>'بند3-1مقاله علمي پژوهشيJCRو...'!O75</f>
        <v>0</v>
      </c>
      <c r="P72" s="2189">
        <f>'بند3-1مقاله علمي پژوهشيJCRو...'!J75</f>
        <v>0</v>
      </c>
      <c r="Q72" s="2189">
        <f>'بند3-1مقاله علمي پژوهشيJCRو...'!K75</f>
        <v>0</v>
      </c>
      <c r="R72" s="2109">
        <f>'بند3-1مقاله علمي پژوهشيJCRو...'!H75</f>
        <v>0</v>
      </c>
      <c r="S72" s="2109"/>
      <c r="T72" s="363" t="s">
        <v>762</v>
      </c>
      <c r="U72" s="363" t="s">
        <v>763</v>
      </c>
      <c r="V72" s="363" t="s">
        <v>764</v>
      </c>
      <c r="W72" s="359" t="s">
        <v>1315</v>
      </c>
      <c r="X72" s="359" t="s">
        <v>1316</v>
      </c>
      <c r="Y72" s="364" t="s">
        <v>765</v>
      </c>
    </row>
    <row r="73" spans="1:25" ht="54" customHeight="1" thickBot="1">
      <c r="A73" s="2230"/>
      <c r="B73" s="2213"/>
      <c r="C73" s="2213"/>
      <c r="D73" s="2213"/>
      <c r="E73" s="2213"/>
      <c r="F73" s="2109"/>
      <c r="G73" s="2109"/>
      <c r="H73" s="2109"/>
      <c r="I73" s="2109"/>
      <c r="J73" s="2180"/>
      <c r="K73" s="2180"/>
      <c r="L73" s="2180"/>
      <c r="M73" s="2180"/>
      <c r="N73" s="2240"/>
      <c r="O73" s="2240"/>
      <c r="P73" s="2189"/>
      <c r="Q73" s="2189"/>
      <c r="R73" s="2109"/>
      <c r="S73" s="2109"/>
      <c r="T73" s="362">
        <f>'بند3-1مقاله علمي پژوهشيJCRو...'!H77</f>
        <v>0</v>
      </c>
      <c r="U73" s="362">
        <f>'بند3-1مقاله علمي پژوهشيJCRو...'!J77</f>
        <v>0</v>
      </c>
      <c r="V73" s="362">
        <f>'بند3-1مقاله علمي پژوهشيJCRو...'!F77</f>
        <v>0</v>
      </c>
      <c r="W73" s="362">
        <f>'بند3-1مقاله علمي پژوهشيJCRو...'!N77</f>
        <v>0</v>
      </c>
      <c r="X73" s="362">
        <f>'بند3-1مقاله علمي پژوهشيJCRو...'!L77</f>
        <v>0</v>
      </c>
      <c r="Y73" s="460">
        <f ca="1">'بند3-1مقاله علمي پژوهشيJCRو...'!S75</f>
        <v>0</v>
      </c>
    </row>
    <row r="74" spans="1:25" ht="54.75" customHeight="1" thickBot="1">
      <c r="A74" s="367" t="s">
        <v>9</v>
      </c>
      <c r="B74" s="2242" t="s">
        <v>274</v>
      </c>
      <c r="C74" s="2243"/>
      <c r="D74" s="2243"/>
      <c r="E74" s="2244"/>
      <c r="F74" s="2242" t="s">
        <v>271</v>
      </c>
      <c r="G74" s="2243"/>
      <c r="H74" s="2243"/>
      <c r="I74" s="2244"/>
      <c r="J74" s="2102" t="s">
        <v>757</v>
      </c>
      <c r="K74" s="2103"/>
      <c r="L74" s="2103"/>
      <c r="M74" s="2104"/>
      <c r="N74" s="368" t="s">
        <v>275</v>
      </c>
      <c r="O74" s="369" t="s">
        <v>758</v>
      </c>
      <c r="P74" s="369" t="s">
        <v>759</v>
      </c>
      <c r="Q74" s="370" t="s">
        <v>784</v>
      </c>
      <c r="R74" s="2102" t="s">
        <v>760</v>
      </c>
      <c r="S74" s="2104"/>
      <c r="T74" s="2241" t="s">
        <v>761</v>
      </c>
      <c r="U74" s="2241"/>
      <c r="V74" s="2242" t="s">
        <v>13</v>
      </c>
      <c r="W74" s="2243"/>
      <c r="X74" s="2243"/>
      <c r="Y74" s="2193"/>
    </row>
    <row r="75" spans="1:25" ht="54" customHeight="1">
      <c r="A75" s="2230">
        <f>'بند3-1مقاله علمي پژوهشيJCRو...'!A78</f>
        <v>0</v>
      </c>
      <c r="B75" s="2213">
        <f>'بند3-1مقاله علمي پژوهشيJCRو...'!B78</f>
        <v>0</v>
      </c>
      <c r="C75" s="2213"/>
      <c r="D75" s="2213"/>
      <c r="E75" s="2213"/>
      <c r="F75" s="2109">
        <f>'بند3-1مقاله علمي پژوهشيJCRو...'!F78</f>
        <v>0</v>
      </c>
      <c r="G75" s="2109"/>
      <c r="H75" s="2109"/>
      <c r="I75" s="2109"/>
      <c r="J75" s="2180">
        <f>'بند3-1مقاله علمي پژوهشيJCRو...'!P78</f>
        <v>0</v>
      </c>
      <c r="K75" s="2180"/>
      <c r="L75" s="2180"/>
      <c r="M75" s="2180"/>
      <c r="N75" s="2240">
        <f>'بند3-1مقاله علمي پژوهشيJCRو...'!I78</f>
        <v>0</v>
      </c>
      <c r="O75" s="2240">
        <f>'بند3-1مقاله علمي پژوهشيJCRو...'!O78</f>
        <v>0</v>
      </c>
      <c r="P75" s="2189">
        <f>'بند3-1مقاله علمي پژوهشيJCRو...'!J78</f>
        <v>0</v>
      </c>
      <c r="Q75" s="2189">
        <f>'بند3-1مقاله علمي پژوهشيJCRو...'!K78</f>
        <v>0</v>
      </c>
      <c r="R75" s="2109">
        <f>'بند3-1مقاله علمي پژوهشيJCRو...'!H78</f>
        <v>0</v>
      </c>
      <c r="S75" s="2109"/>
      <c r="T75" s="363" t="s">
        <v>762</v>
      </c>
      <c r="U75" s="363" t="s">
        <v>763</v>
      </c>
      <c r="V75" s="363" t="s">
        <v>764</v>
      </c>
      <c r="W75" s="359" t="s">
        <v>1315</v>
      </c>
      <c r="X75" s="359" t="s">
        <v>1316</v>
      </c>
      <c r="Y75" s="364" t="s">
        <v>765</v>
      </c>
    </row>
    <row r="76" spans="1:25" ht="54" customHeight="1" thickBot="1">
      <c r="A76" s="2230"/>
      <c r="B76" s="2213"/>
      <c r="C76" s="2213"/>
      <c r="D76" s="2213"/>
      <c r="E76" s="2213"/>
      <c r="F76" s="2109"/>
      <c r="G76" s="2109"/>
      <c r="H76" s="2109"/>
      <c r="I76" s="2109"/>
      <c r="J76" s="2180"/>
      <c r="K76" s="2180"/>
      <c r="L76" s="2180"/>
      <c r="M76" s="2180"/>
      <c r="N76" s="2240"/>
      <c r="O76" s="2240"/>
      <c r="P76" s="2189"/>
      <c r="Q76" s="2189"/>
      <c r="R76" s="2109"/>
      <c r="S76" s="2109"/>
      <c r="T76" s="362">
        <f>'بند3-1مقاله علمي پژوهشيJCRو...'!H80</f>
        <v>0</v>
      </c>
      <c r="U76" s="362">
        <f>'بند3-1مقاله علمي پژوهشيJCRو...'!J80</f>
        <v>0</v>
      </c>
      <c r="V76" s="362">
        <f>'بند3-1مقاله علمي پژوهشيJCRو...'!F80</f>
        <v>0</v>
      </c>
      <c r="W76" s="362">
        <f>'بند3-1مقاله علمي پژوهشيJCRو...'!N80</f>
        <v>0</v>
      </c>
      <c r="X76" s="362">
        <f>'بند3-1مقاله علمي پژوهشيJCRو...'!L80</f>
        <v>0</v>
      </c>
      <c r="Y76" s="460">
        <f ca="1">'بند3-1مقاله علمي پژوهشيJCRو...'!S78</f>
        <v>0</v>
      </c>
    </row>
    <row r="77" spans="1:25" ht="54" customHeight="1">
      <c r="A77" s="2230">
        <f>'بند3-1مقاله علمي پژوهشيJCRو...'!A81</f>
        <v>0</v>
      </c>
      <c r="B77" s="2213">
        <f>'بند3-1مقاله علمي پژوهشيJCRو...'!B81</f>
        <v>0</v>
      </c>
      <c r="C77" s="2213"/>
      <c r="D77" s="2213"/>
      <c r="E77" s="2213"/>
      <c r="F77" s="2109">
        <f>'بند3-1مقاله علمي پژوهشيJCRو...'!F81</f>
        <v>0</v>
      </c>
      <c r="G77" s="2109"/>
      <c r="H77" s="2109"/>
      <c r="I77" s="2109"/>
      <c r="J77" s="2180">
        <f>'بند3-1مقاله علمي پژوهشيJCRو...'!P81</f>
        <v>0</v>
      </c>
      <c r="K77" s="2180"/>
      <c r="L77" s="2180"/>
      <c r="M77" s="2180"/>
      <c r="N77" s="2240">
        <f>'بند3-1مقاله علمي پژوهشيJCRو...'!I81</f>
        <v>0</v>
      </c>
      <c r="O77" s="2240">
        <f>'بند3-1مقاله علمي پژوهشيJCRو...'!O81</f>
        <v>0</v>
      </c>
      <c r="P77" s="2189">
        <f>'بند3-1مقاله علمي پژوهشيJCRو...'!J81</f>
        <v>0</v>
      </c>
      <c r="Q77" s="2189">
        <f>'بند3-1مقاله علمي پژوهشيJCRو...'!K81</f>
        <v>0</v>
      </c>
      <c r="R77" s="2109">
        <f>'بند3-1مقاله علمي پژوهشيJCRو...'!H81</f>
        <v>0</v>
      </c>
      <c r="S77" s="2109"/>
      <c r="T77" s="363" t="s">
        <v>762</v>
      </c>
      <c r="U77" s="363" t="s">
        <v>763</v>
      </c>
      <c r="V77" s="363" t="s">
        <v>764</v>
      </c>
      <c r="W77" s="359" t="s">
        <v>1315</v>
      </c>
      <c r="X77" s="359" t="s">
        <v>1316</v>
      </c>
      <c r="Y77" s="364" t="s">
        <v>765</v>
      </c>
    </row>
    <row r="78" spans="1:25" ht="54" customHeight="1" thickBot="1">
      <c r="A78" s="2230"/>
      <c r="B78" s="2213"/>
      <c r="C78" s="2213"/>
      <c r="D78" s="2213"/>
      <c r="E78" s="2213"/>
      <c r="F78" s="2109"/>
      <c r="G78" s="2109"/>
      <c r="H78" s="2109"/>
      <c r="I78" s="2109"/>
      <c r="J78" s="2180"/>
      <c r="K78" s="2180"/>
      <c r="L78" s="2180"/>
      <c r="M78" s="2180"/>
      <c r="N78" s="2240"/>
      <c r="O78" s="2240"/>
      <c r="P78" s="2189"/>
      <c r="Q78" s="2189"/>
      <c r="R78" s="2109"/>
      <c r="S78" s="2109"/>
      <c r="T78" s="362">
        <f>'بند3-1مقاله علمي پژوهشيJCRو...'!H83</f>
        <v>0</v>
      </c>
      <c r="U78" s="362">
        <f>'بند3-1مقاله علمي پژوهشيJCRو...'!J83</f>
        <v>0</v>
      </c>
      <c r="V78" s="362">
        <f>'بند3-1مقاله علمي پژوهشيJCRو...'!F83</f>
        <v>0</v>
      </c>
      <c r="W78" s="362">
        <f>'بند3-1مقاله علمي پژوهشيJCRو...'!N83</f>
        <v>0</v>
      </c>
      <c r="X78" s="362">
        <f>'بند3-1مقاله علمي پژوهشيJCRو...'!L83</f>
        <v>0</v>
      </c>
      <c r="Y78" s="460">
        <f ca="1">'بند3-1مقاله علمي پژوهشيJCRو...'!S81</f>
        <v>0</v>
      </c>
    </row>
    <row r="79" spans="1:25" ht="54" customHeight="1">
      <c r="A79" s="2230">
        <f>'بند3-1مقاله علمي پژوهشيJCRو...'!A84</f>
        <v>0</v>
      </c>
      <c r="B79" s="2213">
        <f>'بند3-1مقاله علمي پژوهشيJCRو...'!B84</f>
        <v>0</v>
      </c>
      <c r="C79" s="2213"/>
      <c r="D79" s="2213"/>
      <c r="E79" s="2213"/>
      <c r="F79" s="2109">
        <f>'بند3-1مقاله علمي پژوهشيJCRو...'!F84</f>
        <v>0</v>
      </c>
      <c r="G79" s="2109"/>
      <c r="H79" s="2109"/>
      <c r="I79" s="2109"/>
      <c r="J79" s="2180">
        <f>'بند3-1مقاله علمي پژوهشيJCRو...'!P84</f>
        <v>0</v>
      </c>
      <c r="K79" s="2180"/>
      <c r="L79" s="2180"/>
      <c r="M79" s="2180"/>
      <c r="N79" s="2240">
        <f>'بند3-1مقاله علمي پژوهشيJCRو...'!I84</f>
        <v>0</v>
      </c>
      <c r="O79" s="2240">
        <f>'بند3-1مقاله علمي پژوهشيJCRو...'!O84</f>
        <v>0</v>
      </c>
      <c r="P79" s="2189">
        <f>'بند3-1مقاله علمي پژوهشيJCRو...'!J84</f>
        <v>0</v>
      </c>
      <c r="Q79" s="2189">
        <f>'بند3-1مقاله علمي پژوهشيJCRو...'!K84</f>
        <v>0</v>
      </c>
      <c r="R79" s="2109">
        <f>'بند3-1مقاله علمي پژوهشيJCRو...'!H84</f>
        <v>0</v>
      </c>
      <c r="S79" s="2109"/>
      <c r="T79" s="363" t="s">
        <v>762</v>
      </c>
      <c r="U79" s="363" t="s">
        <v>763</v>
      </c>
      <c r="V79" s="363" t="s">
        <v>764</v>
      </c>
      <c r="W79" s="359" t="s">
        <v>1315</v>
      </c>
      <c r="X79" s="359" t="s">
        <v>1316</v>
      </c>
      <c r="Y79" s="364" t="s">
        <v>765</v>
      </c>
    </row>
    <row r="80" spans="1:25" ht="54" customHeight="1" thickBot="1">
      <c r="A80" s="2230"/>
      <c r="B80" s="2213"/>
      <c r="C80" s="2213"/>
      <c r="D80" s="2213"/>
      <c r="E80" s="2213"/>
      <c r="F80" s="2109"/>
      <c r="G80" s="2109"/>
      <c r="H80" s="2109"/>
      <c r="I80" s="2109"/>
      <c r="J80" s="2180"/>
      <c r="K80" s="2180"/>
      <c r="L80" s="2180"/>
      <c r="M80" s="2180"/>
      <c r="N80" s="2240"/>
      <c r="O80" s="2240"/>
      <c r="P80" s="2189"/>
      <c r="Q80" s="2189"/>
      <c r="R80" s="2109"/>
      <c r="S80" s="2109"/>
      <c r="T80" s="362">
        <f>'بند3-1مقاله علمي پژوهشيJCRو...'!H86</f>
        <v>0</v>
      </c>
      <c r="U80" s="362">
        <f>'بند3-1مقاله علمي پژوهشيJCRو...'!J86</f>
        <v>0</v>
      </c>
      <c r="V80" s="362">
        <f>'بند3-1مقاله علمي پژوهشيJCRو...'!F86</f>
        <v>0</v>
      </c>
      <c r="W80" s="362">
        <f>'بند3-1مقاله علمي پژوهشيJCRو...'!N86</f>
        <v>0</v>
      </c>
      <c r="X80" s="362">
        <f>'بند3-1مقاله علمي پژوهشيJCRو...'!L86</f>
        <v>0</v>
      </c>
      <c r="Y80" s="460">
        <f ca="1">'بند3-1مقاله علمي پژوهشيJCRو...'!S84</f>
        <v>0</v>
      </c>
    </row>
    <row r="81" spans="1:25" ht="54" customHeight="1">
      <c r="A81" s="2230">
        <f>'بند3-1مقاله علمي پژوهشيJCRو...'!A87</f>
        <v>0</v>
      </c>
      <c r="B81" s="2213">
        <f>'بند3-1مقاله علمي پژوهشيJCRو...'!B87</f>
        <v>0</v>
      </c>
      <c r="C81" s="2213"/>
      <c r="D81" s="2213"/>
      <c r="E81" s="2213"/>
      <c r="F81" s="2109">
        <f>'بند3-1مقاله علمي پژوهشيJCRو...'!F87</f>
        <v>0</v>
      </c>
      <c r="G81" s="2109"/>
      <c r="H81" s="2109"/>
      <c r="I81" s="2109"/>
      <c r="J81" s="2180">
        <f>'بند3-1مقاله علمي پژوهشيJCRو...'!P87</f>
        <v>0</v>
      </c>
      <c r="K81" s="2180"/>
      <c r="L81" s="2180"/>
      <c r="M81" s="2180"/>
      <c r="N81" s="2240">
        <f>'بند3-1مقاله علمي پژوهشيJCRو...'!I87</f>
        <v>0</v>
      </c>
      <c r="O81" s="2240">
        <f>'بند3-1مقاله علمي پژوهشيJCRو...'!O87</f>
        <v>0</v>
      </c>
      <c r="P81" s="2189">
        <f>'بند3-1مقاله علمي پژوهشيJCRو...'!J87</f>
        <v>0</v>
      </c>
      <c r="Q81" s="2189">
        <f>'بند3-1مقاله علمي پژوهشيJCRو...'!K87</f>
        <v>0</v>
      </c>
      <c r="R81" s="2109">
        <f>'بند3-1مقاله علمي پژوهشيJCRو...'!H87</f>
        <v>0</v>
      </c>
      <c r="S81" s="2109"/>
      <c r="T81" s="363" t="s">
        <v>762</v>
      </c>
      <c r="U81" s="363" t="s">
        <v>763</v>
      </c>
      <c r="V81" s="363" t="s">
        <v>764</v>
      </c>
      <c r="W81" s="359" t="s">
        <v>1315</v>
      </c>
      <c r="X81" s="359" t="s">
        <v>1316</v>
      </c>
      <c r="Y81" s="364" t="s">
        <v>765</v>
      </c>
    </row>
    <row r="82" spans="1:25" ht="54" customHeight="1" thickBot="1">
      <c r="A82" s="2230"/>
      <c r="B82" s="2213"/>
      <c r="C82" s="2213"/>
      <c r="D82" s="2213"/>
      <c r="E82" s="2213"/>
      <c r="F82" s="2109"/>
      <c r="G82" s="2109"/>
      <c r="H82" s="2109"/>
      <c r="I82" s="2109"/>
      <c r="J82" s="2180"/>
      <c r="K82" s="2180"/>
      <c r="L82" s="2180"/>
      <c r="M82" s="2180"/>
      <c r="N82" s="2240"/>
      <c r="O82" s="2240"/>
      <c r="P82" s="2189"/>
      <c r="Q82" s="2189"/>
      <c r="R82" s="2109"/>
      <c r="S82" s="2109"/>
      <c r="T82" s="362">
        <f>'بند3-1مقاله علمي پژوهشيJCRو...'!H89</f>
        <v>0</v>
      </c>
      <c r="U82" s="362">
        <f>'بند3-1مقاله علمي پژوهشيJCRو...'!J89</f>
        <v>0</v>
      </c>
      <c r="V82" s="362">
        <f>'بند3-1مقاله علمي پژوهشيJCRو...'!F89</f>
        <v>0</v>
      </c>
      <c r="W82" s="362">
        <f>'بند3-1مقاله علمي پژوهشيJCRو...'!N89</f>
        <v>0</v>
      </c>
      <c r="X82" s="362">
        <f>'بند3-1مقاله علمي پژوهشيJCRو...'!L89</f>
        <v>0</v>
      </c>
      <c r="Y82" s="460">
        <f ca="1">'بند3-1مقاله علمي پژوهشيJCRو...'!S87</f>
        <v>0</v>
      </c>
    </row>
    <row r="83" spans="1:25" ht="54.75" customHeight="1" thickBot="1">
      <c r="A83" s="367" t="s">
        <v>9</v>
      </c>
      <c r="B83" s="2242" t="s">
        <v>274</v>
      </c>
      <c r="C83" s="2243"/>
      <c r="D83" s="2243"/>
      <c r="E83" s="2244"/>
      <c r="F83" s="2242" t="s">
        <v>271</v>
      </c>
      <c r="G83" s="2243"/>
      <c r="H83" s="2243"/>
      <c r="I83" s="2244"/>
      <c r="J83" s="2102" t="s">
        <v>757</v>
      </c>
      <c r="K83" s="2103"/>
      <c r="L83" s="2103"/>
      <c r="M83" s="2104"/>
      <c r="N83" s="368" t="s">
        <v>275</v>
      </c>
      <c r="O83" s="369" t="s">
        <v>758</v>
      </c>
      <c r="P83" s="369" t="s">
        <v>759</v>
      </c>
      <c r="Q83" s="370" t="s">
        <v>784</v>
      </c>
      <c r="R83" s="2102" t="s">
        <v>760</v>
      </c>
      <c r="S83" s="2104"/>
      <c r="T83" s="2241" t="s">
        <v>761</v>
      </c>
      <c r="U83" s="2241"/>
      <c r="V83" s="2242" t="s">
        <v>13</v>
      </c>
      <c r="W83" s="2243"/>
      <c r="X83" s="2243"/>
      <c r="Y83" s="2193"/>
    </row>
    <row r="84" spans="1:25" ht="54" customHeight="1">
      <c r="A84" s="2230">
        <f>'بند3-1مقاله علمي پژوهشيJCRو...'!A90</f>
        <v>0</v>
      </c>
      <c r="B84" s="2213">
        <f>'بند3-1مقاله علمي پژوهشيJCRو...'!B90</f>
        <v>0</v>
      </c>
      <c r="C84" s="2213"/>
      <c r="D84" s="2213"/>
      <c r="E84" s="2213"/>
      <c r="F84" s="2109">
        <f>'بند3-1مقاله علمي پژوهشيJCRو...'!F90</f>
        <v>0</v>
      </c>
      <c r="G84" s="2109"/>
      <c r="H84" s="2109"/>
      <c r="I84" s="2109"/>
      <c r="J84" s="2180">
        <f>'بند3-1مقاله علمي پژوهشيJCRو...'!P90</f>
        <v>0</v>
      </c>
      <c r="K84" s="2180"/>
      <c r="L84" s="2180"/>
      <c r="M84" s="2180"/>
      <c r="N84" s="2240">
        <f>'بند3-1مقاله علمي پژوهشيJCRو...'!I90</f>
        <v>0</v>
      </c>
      <c r="O84" s="2240">
        <f>'بند3-1مقاله علمي پژوهشيJCRو...'!O90</f>
        <v>0</v>
      </c>
      <c r="P84" s="2189">
        <f>'بند3-1مقاله علمي پژوهشيJCRو...'!J90</f>
        <v>0</v>
      </c>
      <c r="Q84" s="2189">
        <f>'بند3-1مقاله علمي پژوهشيJCRو...'!K90</f>
        <v>0</v>
      </c>
      <c r="R84" s="2109">
        <f>'بند3-1مقاله علمي پژوهشيJCRو...'!H90</f>
        <v>0</v>
      </c>
      <c r="S84" s="2109"/>
      <c r="T84" s="363" t="s">
        <v>762</v>
      </c>
      <c r="U84" s="363" t="s">
        <v>763</v>
      </c>
      <c r="V84" s="363" t="s">
        <v>764</v>
      </c>
      <c r="W84" s="359" t="s">
        <v>1315</v>
      </c>
      <c r="X84" s="359" t="s">
        <v>1316</v>
      </c>
      <c r="Y84" s="364" t="s">
        <v>765</v>
      </c>
    </row>
    <row r="85" spans="1:25" ht="54" customHeight="1" thickBot="1">
      <c r="A85" s="2230"/>
      <c r="B85" s="2213"/>
      <c r="C85" s="2213"/>
      <c r="D85" s="2213"/>
      <c r="E85" s="2213"/>
      <c r="F85" s="2109"/>
      <c r="G85" s="2109"/>
      <c r="H85" s="2109"/>
      <c r="I85" s="2109"/>
      <c r="J85" s="2180"/>
      <c r="K85" s="2180"/>
      <c r="L85" s="2180"/>
      <c r="M85" s="2180"/>
      <c r="N85" s="2240"/>
      <c r="O85" s="2240"/>
      <c r="P85" s="2189"/>
      <c r="Q85" s="2189"/>
      <c r="R85" s="2109"/>
      <c r="S85" s="2109"/>
      <c r="T85" s="362">
        <f>'بند3-1مقاله علمي پژوهشيJCRو...'!H92</f>
        <v>0</v>
      </c>
      <c r="U85" s="362">
        <f>'بند3-1مقاله علمي پژوهشيJCRو...'!J92</f>
        <v>0</v>
      </c>
      <c r="V85" s="362">
        <f>'بند3-1مقاله علمي پژوهشيJCRو...'!F92</f>
        <v>0</v>
      </c>
      <c r="W85" s="362">
        <f>'بند3-1مقاله علمي پژوهشيJCRو...'!N92</f>
        <v>0</v>
      </c>
      <c r="X85" s="362">
        <f>'بند3-1مقاله علمي پژوهشيJCRو...'!L92</f>
        <v>0</v>
      </c>
      <c r="Y85" s="460">
        <f ca="1">'بند3-1مقاله علمي پژوهشيJCRو...'!S90</f>
        <v>0</v>
      </c>
    </row>
    <row r="86" spans="1:25" ht="54" customHeight="1">
      <c r="A86" s="2230">
        <f>'بند3-1مقاله علمي پژوهشيJCRو...'!A93</f>
        <v>0</v>
      </c>
      <c r="B86" s="2213">
        <f>'بند3-1مقاله علمي پژوهشيJCRو...'!B93</f>
        <v>0</v>
      </c>
      <c r="C86" s="2213"/>
      <c r="D86" s="2213"/>
      <c r="E86" s="2213"/>
      <c r="F86" s="2109">
        <f>'بند3-1مقاله علمي پژوهشيJCRو...'!F93</f>
        <v>0</v>
      </c>
      <c r="G86" s="2109"/>
      <c r="H86" s="2109"/>
      <c r="I86" s="2109"/>
      <c r="J86" s="2180">
        <f>'بند3-1مقاله علمي پژوهشيJCRو...'!P93</f>
        <v>0</v>
      </c>
      <c r="K86" s="2180"/>
      <c r="L86" s="2180"/>
      <c r="M86" s="2180"/>
      <c r="N86" s="2240">
        <f>'بند3-1مقاله علمي پژوهشيJCRو...'!I93</f>
        <v>0</v>
      </c>
      <c r="O86" s="2240">
        <f>'بند3-1مقاله علمي پژوهشيJCRو...'!O93</f>
        <v>0</v>
      </c>
      <c r="P86" s="2189">
        <f>'بند3-1مقاله علمي پژوهشيJCRو...'!J93</f>
        <v>0</v>
      </c>
      <c r="Q86" s="2189">
        <f>'بند3-1مقاله علمي پژوهشيJCRو...'!K93</f>
        <v>0</v>
      </c>
      <c r="R86" s="2109">
        <f>'بند3-1مقاله علمي پژوهشيJCRو...'!H93</f>
        <v>0</v>
      </c>
      <c r="S86" s="2109"/>
      <c r="T86" s="363" t="s">
        <v>762</v>
      </c>
      <c r="U86" s="363" t="s">
        <v>763</v>
      </c>
      <c r="V86" s="363" t="s">
        <v>764</v>
      </c>
      <c r="W86" s="359" t="s">
        <v>1315</v>
      </c>
      <c r="X86" s="359" t="s">
        <v>1316</v>
      </c>
      <c r="Y86" s="364" t="s">
        <v>765</v>
      </c>
    </row>
    <row r="87" spans="1:25" ht="54" customHeight="1" thickBot="1">
      <c r="A87" s="2230"/>
      <c r="B87" s="2213"/>
      <c r="C87" s="2213"/>
      <c r="D87" s="2213"/>
      <c r="E87" s="2213"/>
      <c r="F87" s="2109"/>
      <c r="G87" s="2109"/>
      <c r="H87" s="2109"/>
      <c r="I87" s="2109"/>
      <c r="J87" s="2180"/>
      <c r="K87" s="2180"/>
      <c r="L87" s="2180"/>
      <c r="M87" s="2180"/>
      <c r="N87" s="2240"/>
      <c r="O87" s="2240"/>
      <c r="P87" s="2189"/>
      <c r="Q87" s="2189"/>
      <c r="R87" s="2109"/>
      <c r="S87" s="2109"/>
      <c r="T87" s="362">
        <f>'بند3-1مقاله علمي پژوهشيJCRو...'!H95</f>
        <v>0</v>
      </c>
      <c r="U87" s="362">
        <f>'بند3-1مقاله علمي پژوهشيJCRو...'!J95</f>
        <v>0</v>
      </c>
      <c r="V87" s="362">
        <f>'بند3-1مقاله علمي پژوهشيJCRو...'!F95</f>
        <v>0</v>
      </c>
      <c r="W87" s="362">
        <f>'بند3-1مقاله علمي پژوهشيJCRو...'!N95</f>
        <v>0</v>
      </c>
      <c r="X87" s="362">
        <f>'بند3-1مقاله علمي پژوهشيJCRو...'!L95</f>
        <v>0</v>
      </c>
      <c r="Y87" s="460">
        <f ca="1">'بند3-1مقاله علمي پژوهشيJCRو...'!S93</f>
        <v>0</v>
      </c>
    </row>
    <row r="88" spans="1:25" ht="54" customHeight="1">
      <c r="A88" s="2230">
        <f>'بند3-1مقاله علمي پژوهشيJCRو...'!A96</f>
        <v>0</v>
      </c>
      <c r="B88" s="2213">
        <f>'بند3-1مقاله علمي پژوهشيJCRو...'!B96</f>
        <v>0</v>
      </c>
      <c r="C88" s="2213"/>
      <c r="D88" s="2213"/>
      <c r="E88" s="2213"/>
      <c r="F88" s="2109">
        <f>'بند3-1مقاله علمي پژوهشيJCRو...'!F96</f>
        <v>0</v>
      </c>
      <c r="G88" s="2109"/>
      <c r="H88" s="2109"/>
      <c r="I88" s="2109"/>
      <c r="J88" s="2180">
        <f>'بند3-1مقاله علمي پژوهشيJCRو...'!P96</f>
        <v>0</v>
      </c>
      <c r="K88" s="2180"/>
      <c r="L88" s="2180"/>
      <c r="M88" s="2180"/>
      <c r="N88" s="2240">
        <f>'بند3-1مقاله علمي پژوهشيJCRو...'!I96</f>
        <v>0</v>
      </c>
      <c r="O88" s="2240">
        <f>'بند3-1مقاله علمي پژوهشيJCRو...'!O96</f>
        <v>0</v>
      </c>
      <c r="P88" s="2189">
        <f>'بند3-1مقاله علمي پژوهشيJCRو...'!J96</f>
        <v>0</v>
      </c>
      <c r="Q88" s="2189">
        <f>'بند3-1مقاله علمي پژوهشيJCRو...'!K96</f>
        <v>0</v>
      </c>
      <c r="R88" s="2109">
        <f>'بند3-1مقاله علمي پژوهشيJCRو...'!H96</f>
        <v>0</v>
      </c>
      <c r="S88" s="2109"/>
      <c r="T88" s="363" t="s">
        <v>762</v>
      </c>
      <c r="U88" s="363" t="s">
        <v>763</v>
      </c>
      <c r="V88" s="363" t="s">
        <v>764</v>
      </c>
      <c r="W88" s="359" t="s">
        <v>1315</v>
      </c>
      <c r="X88" s="359" t="s">
        <v>1316</v>
      </c>
      <c r="Y88" s="364" t="s">
        <v>765</v>
      </c>
    </row>
    <row r="89" spans="1:25" ht="54" customHeight="1" thickBot="1">
      <c r="A89" s="2230"/>
      <c r="B89" s="2213"/>
      <c r="C89" s="2213"/>
      <c r="D89" s="2213"/>
      <c r="E89" s="2213"/>
      <c r="F89" s="2109"/>
      <c r="G89" s="2109"/>
      <c r="H89" s="2109"/>
      <c r="I89" s="2109"/>
      <c r="J89" s="2180"/>
      <c r="K89" s="2180"/>
      <c r="L89" s="2180"/>
      <c r="M89" s="2180"/>
      <c r="N89" s="2240"/>
      <c r="O89" s="2240"/>
      <c r="P89" s="2189"/>
      <c r="Q89" s="2189"/>
      <c r="R89" s="2109"/>
      <c r="S89" s="2109"/>
      <c r="T89" s="362">
        <f>'بند3-1مقاله علمي پژوهشيJCRو...'!H98</f>
        <v>0</v>
      </c>
      <c r="U89" s="362">
        <f>'بند3-1مقاله علمي پژوهشيJCRو...'!J98</f>
        <v>0</v>
      </c>
      <c r="V89" s="362">
        <f>'بند3-1مقاله علمي پژوهشيJCRو...'!F98</f>
        <v>0</v>
      </c>
      <c r="W89" s="362">
        <f>'بند3-1مقاله علمي پژوهشيJCRو...'!N98</f>
        <v>0</v>
      </c>
      <c r="X89" s="362">
        <f>'بند3-1مقاله علمي پژوهشيJCRو...'!L98</f>
        <v>0</v>
      </c>
      <c r="Y89" s="460">
        <f ca="1">'بند3-1مقاله علمي پژوهشيJCRو...'!S96</f>
        <v>0</v>
      </c>
    </row>
    <row r="90" spans="1:25" ht="54" customHeight="1">
      <c r="A90" s="2230">
        <f>'بند3-1مقاله علمي پژوهشيJCRو...'!A99</f>
        <v>0</v>
      </c>
      <c r="B90" s="2213">
        <f>'بند3-1مقاله علمي پژوهشيJCRو...'!B99</f>
        <v>0</v>
      </c>
      <c r="C90" s="2213"/>
      <c r="D90" s="2213"/>
      <c r="E90" s="2213"/>
      <c r="F90" s="2109">
        <f>'بند3-1مقاله علمي پژوهشيJCRو...'!F99</f>
        <v>0</v>
      </c>
      <c r="G90" s="2109"/>
      <c r="H90" s="2109"/>
      <c r="I90" s="2109"/>
      <c r="J90" s="2180">
        <f>'بند3-1مقاله علمي پژوهشيJCRو...'!P99</f>
        <v>0</v>
      </c>
      <c r="K90" s="2180"/>
      <c r="L90" s="2180"/>
      <c r="M90" s="2180"/>
      <c r="N90" s="2240">
        <f>'بند3-1مقاله علمي پژوهشيJCRو...'!I99</f>
        <v>0</v>
      </c>
      <c r="O90" s="2240">
        <f>'بند3-1مقاله علمي پژوهشيJCRو...'!O99</f>
        <v>0</v>
      </c>
      <c r="P90" s="2189">
        <f>'بند3-1مقاله علمي پژوهشيJCRو...'!J99</f>
        <v>0</v>
      </c>
      <c r="Q90" s="2189">
        <f>'بند3-1مقاله علمي پژوهشيJCRو...'!K99</f>
        <v>0</v>
      </c>
      <c r="R90" s="2109">
        <f>'بند3-1مقاله علمي پژوهشيJCRو...'!H99</f>
        <v>0</v>
      </c>
      <c r="S90" s="2109"/>
      <c r="T90" s="363" t="s">
        <v>762</v>
      </c>
      <c r="U90" s="363" t="s">
        <v>763</v>
      </c>
      <c r="V90" s="363" t="s">
        <v>764</v>
      </c>
      <c r="W90" s="359" t="s">
        <v>1315</v>
      </c>
      <c r="X90" s="359" t="s">
        <v>1316</v>
      </c>
      <c r="Y90" s="364" t="s">
        <v>765</v>
      </c>
    </row>
    <row r="91" spans="1:25" ht="54" customHeight="1" thickBot="1">
      <c r="A91" s="2230"/>
      <c r="B91" s="2213"/>
      <c r="C91" s="2213"/>
      <c r="D91" s="2213"/>
      <c r="E91" s="2213"/>
      <c r="F91" s="2109"/>
      <c r="G91" s="2109"/>
      <c r="H91" s="2109"/>
      <c r="I91" s="2109"/>
      <c r="J91" s="2180"/>
      <c r="K91" s="2180"/>
      <c r="L91" s="2180"/>
      <c r="M91" s="2180"/>
      <c r="N91" s="2240"/>
      <c r="O91" s="2240"/>
      <c r="P91" s="2189"/>
      <c r="Q91" s="2189"/>
      <c r="R91" s="2109"/>
      <c r="S91" s="2109"/>
      <c r="T91" s="362">
        <f>'بند3-1مقاله علمي پژوهشيJCRو...'!H101</f>
        <v>0</v>
      </c>
      <c r="U91" s="362">
        <f>'بند3-1مقاله علمي پژوهشيJCRو...'!J101</f>
        <v>0</v>
      </c>
      <c r="V91" s="362">
        <f>'بند3-1مقاله علمي پژوهشيJCRو...'!F101</f>
        <v>0</v>
      </c>
      <c r="W91" s="362">
        <f>'بند3-1مقاله علمي پژوهشيJCRو...'!N101</f>
        <v>0</v>
      </c>
      <c r="X91" s="362">
        <f>'بند3-1مقاله علمي پژوهشيJCRو...'!L101</f>
        <v>0</v>
      </c>
      <c r="Y91" s="460">
        <f ca="1">'بند3-1مقاله علمي پژوهشيJCRو...'!S99</f>
        <v>0</v>
      </c>
    </row>
    <row r="92" spans="1:25" ht="54.75" customHeight="1" thickBot="1">
      <c r="A92" s="367" t="s">
        <v>9</v>
      </c>
      <c r="B92" s="2242" t="s">
        <v>274</v>
      </c>
      <c r="C92" s="2243"/>
      <c r="D92" s="2243"/>
      <c r="E92" s="2244"/>
      <c r="F92" s="2242" t="s">
        <v>271</v>
      </c>
      <c r="G92" s="2243"/>
      <c r="H92" s="2243"/>
      <c r="I92" s="2244"/>
      <c r="J92" s="2102" t="s">
        <v>757</v>
      </c>
      <c r="K92" s="2103"/>
      <c r="L92" s="2103"/>
      <c r="M92" s="2104"/>
      <c r="N92" s="368" t="s">
        <v>275</v>
      </c>
      <c r="O92" s="369" t="s">
        <v>758</v>
      </c>
      <c r="P92" s="369" t="s">
        <v>759</v>
      </c>
      <c r="Q92" s="370" t="s">
        <v>784</v>
      </c>
      <c r="R92" s="2102" t="s">
        <v>760</v>
      </c>
      <c r="S92" s="2104"/>
      <c r="T92" s="2241" t="s">
        <v>761</v>
      </c>
      <c r="U92" s="2241"/>
      <c r="V92" s="2242" t="s">
        <v>13</v>
      </c>
      <c r="W92" s="2243"/>
      <c r="X92" s="2243"/>
      <c r="Y92" s="2193"/>
    </row>
    <row r="93" spans="1:25" ht="54" customHeight="1">
      <c r="A93" s="2230">
        <f>'بند3-1مقاله علمي پژوهشيJCRو...'!A102</f>
        <v>0</v>
      </c>
      <c r="B93" s="2213">
        <f>'بند3-1مقاله علمي پژوهشيJCRو...'!B102</f>
        <v>0</v>
      </c>
      <c r="C93" s="2213"/>
      <c r="D93" s="2213"/>
      <c r="E93" s="2213"/>
      <c r="F93" s="2109">
        <f>'بند3-1مقاله علمي پژوهشيJCRو...'!F102</f>
        <v>0</v>
      </c>
      <c r="G93" s="2109"/>
      <c r="H93" s="2109"/>
      <c r="I93" s="2109"/>
      <c r="J93" s="2180">
        <f>'بند3-1مقاله علمي پژوهشيJCRو...'!P102</f>
        <v>0</v>
      </c>
      <c r="K93" s="2180"/>
      <c r="L93" s="2180"/>
      <c r="M93" s="2180"/>
      <c r="N93" s="2240">
        <f>'بند3-1مقاله علمي پژوهشيJCRو...'!I102</f>
        <v>0</v>
      </c>
      <c r="O93" s="2240">
        <f>'بند3-1مقاله علمي پژوهشيJCRو...'!O102</f>
        <v>0</v>
      </c>
      <c r="P93" s="2189">
        <f>'بند3-1مقاله علمي پژوهشيJCRو...'!J102</f>
        <v>0</v>
      </c>
      <c r="Q93" s="2189">
        <f>'بند3-1مقاله علمي پژوهشيJCRو...'!K102</f>
        <v>0</v>
      </c>
      <c r="R93" s="2109">
        <f>'بند3-1مقاله علمي پژوهشيJCRو...'!H102</f>
        <v>0</v>
      </c>
      <c r="S93" s="2109"/>
      <c r="T93" s="363" t="s">
        <v>762</v>
      </c>
      <c r="U93" s="363" t="s">
        <v>763</v>
      </c>
      <c r="V93" s="363" t="s">
        <v>764</v>
      </c>
      <c r="W93" s="359" t="s">
        <v>1315</v>
      </c>
      <c r="X93" s="359" t="s">
        <v>1316</v>
      </c>
      <c r="Y93" s="364" t="s">
        <v>765</v>
      </c>
    </row>
    <row r="94" spans="1:25" ht="54" customHeight="1" thickBot="1">
      <c r="A94" s="2230"/>
      <c r="B94" s="2213"/>
      <c r="C94" s="2213"/>
      <c r="D94" s="2213"/>
      <c r="E94" s="2213"/>
      <c r="F94" s="2109"/>
      <c r="G94" s="2109"/>
      <c r="H94" s="2109"/>
      <c r="I94" s="2109"/>
      <c r="J94" s="2180"/>
      <c r="K94" s="2180"/>
      <c r="L94" s="2180"/>
      <c r="M94" s="2180"/>
      <c r="N94" s="2240"/>
      <c r="O94" s="2240"/>
      <c r="P94" s="2189"/>
      <c r="Q94" s="2189"/>
      <c r="R94" s="2109"/>
      <c r="S94" s="2109"/>
      <c r="T94" s="362">
        <f>'بند3-1مقاله علمي پژوهشيJCRو...'!H104</f>
        <v>0</v>
      </c>
      <c r="U94" s="362">
        <f>'بند3-1مقاله علمي پژوهشيJCRو...'!J104</f>
        <v>0</v>
      </c>
      <c r="V94" s="362">
        <f>'بند3-1مقاله علمي پژوهشيJCRو...'!F104</f>
        <v>0</v>
      </c>
      <c r="W94" s="362">
        <f>'بند3-1مقاله علمي پژوهشيJCRو...'!N104</f>
        <v>0</v>
      </c>
      <c r="X94" s="362">
        <f>'بند3-1مقاله علمي پژوهشيJCRو...'!L104</f>
        <v>0</v>
      </c>
      <c r="Y94" s="460">
        <f ca="1">'بند3-1مقاله علمي پژوهشيJCRو...'!S102</f>
        <v>0</v>
      </c>
    </row>
    <row r="95" spans="1:25" ht="54" customHeight="1">
      <c r="A95" s="2230">
        <f>'بند3-1مقاله علمي پژوهشيJCRو...'!A105</f>
        <v>0</v>
      </c>
      <c r="B95" s="2213">
        <f>'بند3-1مقاله علمي پژوهشيJCRو...'!B105</f>
        <v>0</v>
      </c>
      <c r="C95" s="2213"/>
      <c r="D95" s="2213"/>
      <c r="E95" s="2213"/>
      <c r="F95" s="2109">
        <f>'بند3-1مقاله علمي پژوهشيJCRو...'!F105</f>
        <v>0</v>
      </c>
      <c r="G95" s="2109"/>
      <c r="H95" s="2109"/>
      <c r="I95" s="2109"/>
      <c r="J95" s="2180">
        <f>'بند3-1مقاله علمي پژوهشيJCRو...'!P105</f>
        <v>0</v>
      </c>
      <c r="K95" s="2180"/>
      <c r="L95" s="2180"/>
      <c r="M95" s="2180"/>
      <c r="N95" s="2240">
        <f>'بند3-1مقاله علمي پژوهشيJCRو...'!I105</f>
        <v>0</v>
      </c>
      <c r="O95" s="2240">
        <f>'بند3-1مقاله علمي پژوهشيJCRو...'!O105</f>
        <v>0</v>
      </c>
      <c r="P95" s="2189">
        <f>'بند3-1مقاله علمي پژوهشيJCRو...'!J105</f>
        <v>0</v>
      </c>
      <c r="Q95" s="2189">
        <f>'بند3-1مقاله علمي پژوهشيJCRو...'!K105</f>
        <v>0</v>
      </c>
      <c r="R95" s="2109">
        <f>'بند3-1مقاله علمي پژوهشيJCRو...'!H105</f>
        <v>0</v>
      </c>
      <c r="S95" s="2109"/>
      <c r="T95" s="363" t="s">
        <v>762</v>
      </c>
      <c r="U95" s="363" t="s">
        <v>763</v>
      </c>
      <c r="V95" s="363" t="s">
        <v>764</v>
      </c>
      <c r="W95" s="359" t="s">
        <v>1315</v>
      </c>
      <c r="X95" s="359" t="s">
        <v>1316</v>
      </c>
      <c r="Y95" s="364" t="s">
        <v>765</v>
      </c>
    </row>
    <row r="96" spans="1:25" ht="54" customHeight="1" thickBot="1">
      <c r="A96" s="2230"/>
      <c r="B96" s="2213"/>
      <c r="C96" s="2213"/>
      <c r="D96" s="2213"/>
      <c r="E96" s="2213"/>
      <c r="F96" s="2109"/>
      <c r="G96" s="2109"/>
      <c r="H96" s="2109"/>
      <c r="I96" s="2109"/>
      <c r="J96" s="2180"/>
      <c r="K96" s="2180"/>
      <c r="L96" s="2180"/>
      <c r="M96" s="2180"/>
      <c r="N96" s="2240"/>
      <c r="O96" s="2240"/>
      <c r="P96" s="2189"/>
      <c r="Q96" s="2189"/>
      <c r="R96" s="2109"/>
      <c r="S96" s="2109"/>
      <c r="T96" s="362">
        <f>'بند3-1مقاله علمي پژوهشيJCRو...'!H107</f>
        <v>0</v>
      </c>
      <c r="U96" s="362">
        <f>'بند3-1مقاله علمي پژوهشيJCRو...'!J107</f>
        <v>0</v>
      </c>
      <c r="V96" s="362">
        <f>'بند3-1مقاله علمي پژوهشيJCRو...'!F107</f>
        <v>0</v>
      </c>
      <c r="W96" s="362">
        <f>'بند3-1مقاله علمي پژوهشيJCRو...'!N107</f>
        <v>0</v>
      </c>
      <c r="X96" s="362">
        <f>'بند3-1مقاله علمي پژوهشيJCRو...'!L107</f>
        <v>0</v>
      </c>
      <c r="Y96" s="460">
        <f ca="1">'بند3-1مقاله علمي پژوهشيJCRو...'!S105</f>
        <v>0</v>
      </c>
    </row>
    <row r="97" spans="1:25" ht="54" customHeight="1">
      <c r="A97" s="2230">
        <f>'بند3-1مقاله علمي پژوهشيJCRو...'!A108</f>
        <v>0</v>
      </c>
      <c r="B97" s="2213">
        <f>'بند3-1مقاله علمي پژوهشيJCRو...'!B108</f>
        <v>0</v>
      </c>
      <c r="C97" s="2213"/>
      <c r="D97" s="2213"/>
      <c r="E97" s="2213"/>
      <c r="F97" s="2109">
        <f>'بند3-1مقاله علمي پژوهشيJCRو...'!F108</f>
        <v>0</v>
      </c>
      <c r="G97" s="2109"/>
      <c r="H97" s="2109"/>
      <c r="I97" s="2109"/>
      <c r="J97" s="2180">
        <f>'بند3-1مقاله علمي پژوهشيJCRو...'!P108</f>
        <v>0</v>
      </c>
      <c r="K97" s="2180"/>
      <c r="L97" s="2180"/>
      <c r="M97" s="2180"/>
      <c r="N97" s="2240">
        <f>'بند3-1مقاله علمي پژوهشيJCRو...'!I108</f>
        <v>0</v>
      </c>
      <c r="O97" s="2240">
        <f>'بند3-1مقاله علمي پژوهشيJCRو...'!O108</f>
        <v>0</v>
      </c>
      <c r="P97" s="2189">
        <f>'بند3-1مقاله علمي پژوهشيJCRو...'!J108</f>
        <v>0</v>
      </c>
      <c r="Q97" s="2189">
        <f>'بند3-1مقاله علمي پژوهشيJCRو...'!K108</f>
        <v>0</v>
      </c>
      <c r="R97" s="2109">
        <f>'بند3-1مقاله علمي پژوهشيJCRو...'!H108</f>
        <v>0</v>
      </c>
      <c r="S97" s="2109"/>
      <c r="T97" s="363" t="s">
        <v>762</v>
      </c>
      <c r="U97" s="363" t="s">
        <v>763</v>
      </c>
      <c r="V97" s="363" t="s">
        <v>764</v>
      </c>
      <c r="W97" s="359" t="s">
        <v>1315</v>
      </c>
      <c r="X97" s="359" t="s">
        <v>1316</v>
      </c>
      <c r="Y97" s="364" t="s">
        <v>765</v>
      </c>
    </row>
    <row r="98" spans="1:25" ht="54" customHeight="1" thickBot="1">
      <c r="A98" s="2230"/>
      <c r="B98" s="2213"/>
      <c r="C98" s="2213"/>
      <c r="D98" s="2213"/>
      <c r="E98" s="2213"/>
      <c r="F98" s="2109"/>
      <c r="G98" s="2109"/>
      <c r="H98" s="2109"/>
      <c r="I98" s="2109"/>
      <c r="J98" s="2180"/>
      <c r="K98" s="2180"/>
      <c r="L98" s="2180"/>
      <c r="M98" s="2180"/>
      <c r="N98" s="2240"/>
      <c r="O98" s="2240"/>
      <c r="P98" s="2189"/>
      <c r="Q98" s="2189"/>
      <c r="R98" s="2109"/>
      <c r="S98" s="2109"/>
      <c r="T98" s="362">
        <f>'بند3-1مقاله علمي پژوهشيJCRو...'!H110</f>
        <v>0</v>
      </c>
      <c r="U98" s="362">
        <f>'بند3-1مقاله علمي پژوهشيJCRو...'!J110</f>
        <v>0</v>
      </c>
      <c r="V98" s="362">
        <f>'بند3-1مقاله علمي پژوهشيJCRو...'!F110</f>
        <v>0</v>
      </c>
      <c r="W98" s="362">
        <f>'بند3-1مقاله علمي پژوهشيJCRو...'!N110</f>
        <v>0</v>
      </c>
      <c r="X98" s="362">
        <f>'بند3-1مقاله علمي پژوهشيJCRو...'!L110</f>
        <v>0</v>
      </c>
      <c r="Y98" s="460">
        <f ca="1">'بند3-1مقاله علمي پژوهشيJCRو...'!S108</f>
        <v>0</v>
      </c>
    </row>
    <row r="99" spans="1:25" ht="54" customHeight="1">
      <c r="A99" s="2230">
        <f>'بند3-1مقاله علمي پژوهشيJCRو...'!A111</f>
        <v>0</v>
      </c>
      <c r="B99" s="2213">
        <f>'بند3-1مقاله علمي پژوهشيJCRو...'!B111</f>
        <v>0</v>
      </c>
      <c r="C99" s="2213"/>
      <c r="D99" s="2213"/>
      <c r="E99" s="2213"/>
      <c r="F99" s="2109">
        <f>'بند3-1مقاله علمي پژوهشيJCRو...'!F111</f>
        <v>0</v>
      </c>
      <c r="G99" s="2109"/>
      <c r="H99" s="2109"/>
      <c r="I99" s="2109"/>
      <c r="J99" s="2180">
        <f>'بند3-1مقاله علمي پژوهشيJCRو...'!P111</f>
        <v>0</v>
      </c>
      <c r="K99" s="2180"/>
      <c r="L99" s="2180"/>
      <c r="M99" s="2180"/>
      <c r="N99" s="2240">
        <f>'بند3-1مقاله علمي پژوهشيJCRو...'!I111</f>
        <v>0</v>
      </c>
      <c r="O99" s="2240">
        <f>'بند3-1مقاله علمي پژوهشيJCRو...'!O111</f>
        <v>0</v>
      </c>
      <c r="P99" s="2189">
        <f>'بند3-1مقاله علمي پژوهشيJCRو...'!J111</f>
        <v>0</v>
      </c>
      <c r="Q99" s="2189">
        <f>'بند3-1مقاله علمي پژوهشيJCRو...'!K111</f>
        <v>0</v>
      </c>
      <c r="R99" s="2109">
        <f>'بند3-1مقاله علمي پژوهشيJCRو...'!H111</f>
        <v>0</v>
      </c>
      <c r="S99" s="2109"/>
      <c r="T99" s="363" t="s">
        <v>762</v>
      </c>
      <c r="U99" s="363" t="s">
        <v>763</v>
      </c>
      <c r="V99" s="363" t="s">
        <v>764</v>
      </c>
      <c r="W99" s="359" t="s">
        <v>1315</v>
      </c>
      <c r="X99" s="359" t="s">
        <v>1316</v>
      </c>
      <c r="Y99" s="364" t="s">
        <v>765</v>
      </c>
    </row>
    <row r="100" spans="1:25" ht="54" customHeight="1" thickBot="1">
      <c r="A100" s="2230"/>
      <c r="B100" s="2213"/>
      <c r="C100" s="2213"/>
      <c r="D100" s="2213"/>
      <c r="E100" s="2213"/>
      <c r="F100" s="2109"/>
      <c r="G100" s="2109"/>
      <c r="H100" s="2109"/>
      <c r="I100" s="2109"/>
      <c r="J100" s="2180"/>
      <c r="K100" s="2180"/>
      <c r="L100" s="2180"/>
      <c r="M100" s="2180"/>
      <c r="N100" s="2240"/>
      <c r="O100" s="2240"/>
      <c r="P100" s="2189"/>
      <c r="Q100" s="2189"/>
      <c r="R100" s="2109"/>
      <c r="S100" s="2109"/>
      <c r="T100" s="362">
        <f>'بند3-1مقاله علمي پژوهشيJCRو...'!H113</f>
        <v>0</v>
      </c>
      <c r="U100" s="362">
        <f>'بند3-1مقاله علمي پژوهشيJCRو...'!J113</f>
        <v>0</v>
      </c>
      <c r="V100" s="362">
        <f>'بند3-1مقاله علمي پژوهشيJCRو...'!F113</f>
        <v>0</v>
      </c>
      <c r="W100" s="362">
        <f>'بند3-1مقاله علمي پژوهشيJCRو...'!N113</f>
        <v>0</v>
      </c>
      <c r="X100" s="362">
        <f>'بند3-1مقاله علمي پژوهشيJCRو...'!L113</f>
        <v>0</v>
      </c>
      <c r="Y100" s="460">
        <f ca="1">'بند3-1مقاله علمي پژوهشيJCRو...'!S111</f>
        <v>0</v>
      </c>
    </row>
    <row r="101" spans="1:25" ht="54.75" customHeight="1" thickBot="1">
      <c r="A101" s="367" t="s">
        <v>9</v>
      </c>
      <c r="B101" s="2242" t="s">
        <v>274</v>
      </c>
      <c r="C101" s="2243"/>
      <c r="D101" s="2243"/>
      <c r="E101" s="2244"/>
      <c r="F101" s="2242" t="s">
        <v>271</v>
      </c>
      <c r="G101" s="2243"/>
      <c r="H101" s="2243"/>
      <c r="I101" s="2244"/>
      <c r="J101" s="2102" t="s">
        <v>757</v>
      </c>
      <c r="K101" s="2103"/>
      <c r="L101" s="2103"/>
      <c r="M101" s="2104"/>
      <c r="N101" s="368" t="s">
        <v>275</v>
      </c>
      <c r="O101" s="369" t="s">
        <v>758</v>
      </c>
      <c r="P101" s="369" t="s">
        <v>759</v>
      </c>
      <c r="Q101" s="370" t="s">
        <v>784</v>
      </c>
      <c r="R101" s="2102" t="s">
        <v>760</v>
      </c>
      <c r="S101" s="2104"/>
      <c r="T101" s="2241" t="s">
        <v>761</v>
      </c>
      <c r="U101" s="2241"/>
      <c r="V101" s="2242" t="s">
        <v>13</v>
      </c>
      <c r="W101" s="2243"/>
      <c r="X101" s="2243"/>
      <c r="Y101" s="2193"/>
    </row>
    <row r="102" spans="1:25" ht="54" customHeight="1">
      <c r="A102" s="2230">
        <f>'بند3-1مقاله علمي پژوهشيJCRو...'!A114</f>
        <v>0</v>
      </c>
      <c r="B102" s="2213">
        <f>'بند3-1مقاله علمي پژوهشيJCRو...'!B114</f>
        <v>0</v>
      </c>
      <c r="C102" s="2213"/>
      <c r="D102" s="2213"/>
      <c r="E102" s="2213"/>
      <c r="F102" s="2109">
        <f>'بند3-1مقاله علمي پژوهشيJCRو...'!F114</f>
        <v>0</v>
      </c>
      <c r="G102" s="2109"/>
      <c r="H102" s="2109"/>
      <c r="I102" s="2109"/>
      <c r="J102" s="2180">
        <f>'بند3-1مقاله علمي پژوهشيJCRو...'!P114</f>
        <v>0</v>
      </c>
      <c r="K102" s="2180"/>
      <c r="L102" s="2180"/>
      <c r="M102" s="2180"/>
      <c r="N102" s="2240">
        <f>'بند3-1مقاله علمي پژوهشيJCRو...'!I114</f>
        <v>0</v>
      </c>
      <c r="O102" s="2240">
        <f>'بند3-1مقاله علمي پژوهشيJCRو...'!O114</f>
        <v>0</v>
      </c>
      <c r="P102" s="2189">
        <f>'بند3-1مقاله علمي پژوهشيJCRو...'!J114</f>
        <v>0</v>
      </c>
      <c r="Q102" s="2189">
        <f>'بند3-1مقاله علمي پژوهشيJCRو...'!K114</f>
        <v>0</v>
      </c>
      <c r="R102" s="2109">
        <f>'بند3-1مقاله علمي پژوهشيJCRو...'!H114</f>
        <v>0</v>
      </c>
      <c r="S102" s="2109"/>
      <c r="T102" s="363" t="s">
        <v>762</v>
      </c>
      <c r="U102" s="363" t="s">
        <v>763</v>
      </c>
      <c r="V102" s="363" t="s">
        <v>764</v>
      </c>
      <c r="W102" s="359" t="s">
        <v>1315</v>
      </c>
      <c r="X102" s="359" t="s">
        <v>1316</v>
      </c>
      <c r="Y102" s="364" t="s">
        <v>765</v>
      </c>
    </row>
    <row r="103" spans="1:25" ht="54" customHeight="1" thickBot="1">
      <c r="A103" s="2230"/>
      <c r="B103" s="2213"/>
      <c r="C103" s="2213"/>
      <c r="D103" s="2213"/>
      <c r="E103" s="2213"/>
      <c r="F103" s="2109"/>
      <c r="G103" s="2109"/>
      <c r="H103" s="2109"/>
      <c r="I103" s="2109"/>
      <c r="J103" s="2180"/>
      <c r="K103" s="2180"/>
      <c r="L103" s="2180"/>
      <c r="M103" s="2180"/>
      <c r="N103" s="2240"/>
      <c r="O103" s="2240"/>
      <c r="P103" s="2189"/>
      <c r="Q103" s="2189"/>
      <c r="R103" s="2109"/>
      <c r="S103" s="2109"/>
      <c r="T103" s="362">
        <f>'بند3-1مقاله علمي پژوهشيJCRو...'!H116</f>
        <v>0</v>
      </c>
      <c r="U103" s="362">
        <f>'بند3-1مقاله علمي پژوهشيJCRو...'!J116</f>
        <v>0</v>
      </c>
      <c r="V103" s="362">
        <f>'بند3-1مقاله علمي پژوهشيJCRو...'!F116</f>
        <v>0</v>
      </c>
      <c r="W103" s="362">
        <f>'بند3-1مقاله علمي پژوهشيJCRو...'!N116</f>
        <v>0</v>
      </c>
      <c r="X103" s="362">
        <f>'بند3-1مقاله علمي پژوهشيJCRو...'!L116</f>
        <v>0</v>
      </c>
      <c r="Y103" s="460">
        <f ca="1">'بند3-1مقاله علمي پژوهشيJCRو...'!S114</f>
        <v>0</v>
      </c>
    </row>
    <row r="104" spans="1:25" ht="54" customHeight="1">
      <c r="A104" s="2230">
        <f>'بند3-1مقاله علمي پژوهشيJCRو...'!A117</f>
        <v>0</v>
      </c>
      <c r="B104" s="2213">
        <f>'بند3-1مقاله علمي پژوهشيJCRو...'!B117</f>
        <v>0</v>
      </c>
      <c r="C104" s="2213"/>
      <c r="D104" s="2213"/>
      <c r="E104" s="2213"/>
      <c r="F104" s="2109">
        <f>'بند3-1مقاله علمي پژوهشيJCRو...'!F117</f>
        <v>0</v>
      </c>
      <c r="G104" s="2109"/>
      <c r="H104" s="2109"/>
      <c r="I104" s="2109"/>
      <c r="J104" s="2180">
        <f>'بند3-1مقاله علمي پژوهشيJCRو...'!P117</f>
        <v>0</v>
      </c>
      <c r="K104" s="2180"/>
      <c r="L104" s="2180"/>
      <c r="M104" s="2180"/>
      <c r="N104" s="2240">
        <f>'بند3-1مقاله علمي پژوهشيJCRو...'!I117</f>
        <v>0</v>
      </c>
      <c r="O104" s="2240">
        <f>'بند3-1مقاله علمي پژوهشيJCRو...'!O117</f>
        <v>0</v>
      </c>
      <c r="P104" s="2189">
        <f>'بند3-1مقاله علمي پژوهشيJCRو...'!J117</f>
        <v>0</v>
      </c>
      <c r="Q104" s="2189">
        <f>'بند3-1مقاله علمي پژوهشيJCRو...'!K117</f>
        <v>0</v>
      </c>
      <c r="R104" s="2109">
        <f>'بند3-1مقاله علمي پژوهشيJCRو...'!H117</f>
        <v>0</v>
      </c>
      <c r="S104" s="2109"/>
      <c r="T104" s="363" t="s">
        <v>762</v>
      </c>
      <c r="U104" s="363" t="s">
        <v>763</v>
      </c>
      <c r="V104" s="363" t="s">
        <v>764</v>
      </c>
      <c r="W104" s="359" t="s">
        <v>1315</v>
      </c>
      <c r="X104" s="359" t="s">
        <v>1316</v>
      </c>
      <c r="Y104" s="364" t="s">
        <v>765</v>
      </c>
    </row>
    <row r="105" spans="1:25" ht="54" customHeight="1" thickBot="1">
      <c r="A105" s="2230"/>
      <c r="B105" s="2213"/>
      <c r="C105" s="2213"/>
      <c r="D105" s="2213"/>
      <c r="E105" s="2213"/>
      <c r="F105" s="2109"/>
      <c r="G105" s="2109"/>
      <c r="H105" s="2109"/>
      <c r="I105" s="2109"/>
      <c r="J105" s="2180"/>
      <c r="K105" s="2180"/>
      <c r="L105" s="2180"/>
      <c r="M105" s="2180"/>
      <c r="N105" s="2240"/>
      <c r="O105" s="2240"/>
      <c r="P105" s="2189"/>
      <c r="Q105" s="2189"/>
      <c r="R105" s="2109"/>
      <c r="S105" s="2109"/>
      <c r="T105" s="362">
        <f>'بند3-1مقاله علمي پژوهشيJCRو...'!H119</f>
        <v>0</v>
      </c>
      <c r="U105" s="362">
        <f>'بند3-1مقاله علمي پژوهشيJCRو...'!J119</f>
        <v>0</v>
      </c>
      <c r="V105" s="362">
        <f>'بند3-1مقاله علمي پژوهشيJCRو...'!F119</f>
        <v>0</v>
      </c>
      <c r="W105" s="362">
        <f>'بند3-1مقاله علمي پژوهشيJCRو...'!N119</f>
        <v>0</v>
      </c>
      <c r="X105" s="362">
        <f>'بند3-1مقاله علمي پژوهشيJCRو...'!L119</f>
        <v>0</v>
      </c>
      <c r="Y105" s="460">
        <f ca="1">'بند3-1مقاله علمي پژوهشيJCRو...'!S117</f>
        <v>0</v>
      </c>
    </row>
    <row r="106" spans="1:25" ht="54" customHeight="1">
      <c r="A106" s="2230">
        <f>'بند3-1مقاله علمي پژوهشيJCRو...'!A120</f>
        <v>0</v>
      </c>
      <c r="B106" s="2213">
        <f>'بند3-1مقاله علمي پژوهشيJCRو...'!B120</f>
        <v>0</v>
      </c>
      <c r="C106" s="2213"/>
      <c r="D106" s="2213"/>
      <c r="E106" s="2213"/>
      <c r="F106" s="2109">
        <f>'بند3-1مقاله علمي پژوهشيJCRو...'!F120</f>
        <v>0</v>
      </c>
      <c r="G106" s="2109"/>
      <c r="H106" s="2109"/>
      <c r="I106" s="2109"/>
      <c r="J106" s="2180">
        <f>'بند3-1مقاله علمي پژوهشيJCRو...'!P120</f>
        <v>0</v>
      </c>
      <c r="K106" s="2180"/>
      <c r="L106" s="2180"/>
      <c r="M106" s="2180"/>
      <c r="N106" s="2240">
        <f>'بند3-1مقاله علمي پژوهشيJCRو...'!I120</f>
        <v>0</v>
      </c>
      <c r="O106" s="2240">
        <f>'بند3-1مقاله علمي پژوهشيJCRو...'!O120</f>
        <v>0</v>
      </c>
      <c r="P106" s="2189">
        <f>'بند3-1مقاله علمي پژوهشيJCRو...'!J120</f>
        <v>0</v>
      </c>
      <c r="Q106" s="2189">
        <f>'بند3-1مقاله علمي پژوهشيJCRو...'!K120</f>
        <v>0</v>
      </c>
      <c r="R106" s="2109">
        <f>'بند3-1مقاله علمي پژوهشيJCRو...'!H120</f>
        <v>0</v>
      </c>
      <c r="S106" s="2109"/>
      <c r="T106" s="363" t="s">
        <v>762</v>
      </c>
      <c r="U106" s="363" t="s">
        <v>763</v>
      </c>
      <c r="V106" s="363" t="s">
        <v>764</v>
      </c>
      <c r="W106" s="359" t="s">
        <v>1315</v>
      </c>
      <c r="X106" s="359" t="s">
        <v>1316</v>
      </c>
      <c r="Y106" s="364" t="s">
        <v>765</v>
      </c>
    </row>
    <row r="107" spans="1:25" ht="54" customHeight="1" thickBot="1">
      <c r="A107" s="2230"/>
      <c r="B107" s="2213"/>
      <c r="C107" s="2213"/>
      <c r="D107" s="2213"/>
      <c r="E107" s="2213"/>
      <c r="F107" s="2109"/>
      <c r="G107" s="2109"/>
      <c r="H107" s="2109"/>
      <c r="I107" s="2109"/>
      <c r="J107" s="2180"/>
      <c r="K107" s="2180"/>
      <c r="L107" s="2180"/>
      <c r="M107" s="2180"/>
      <c r="N107" s="2240"/>
      <c r="O107" s="2240"/>
      <c r="P107" s="2189"/>
      <c r="Q107" s="2189"/>
      <c r="R107" s="2109"/>
      <c r="S107" s="2109"/>
      <c r="T107" s="362">
        <f>'بند3-1مقاله علمي پژوهشيJCRو...'!H122</f>
        <v>0</v>
      </c>
      <c r="U107" s="362">
        <f>'بند3-1مقاله علمي پژوهشيJCRو...'!J122</f>
        <v>0</v>
      </c>
      <c r="V107" s="362">
        <f>'بند3-1مقاله علمي پژوهشيJCRو...'!F122</f>
        <v>0</v>
      </c>
      <c r="W107" s="362">
        <f>'بند3-1مقاله علمي پژوهشيJCRو...'!N122</f>
        <v>0</v>
      </c>
      <c r="X107" s="362">
        <f>'بند3-1مقاله علمي پژوهشيJCRو...'!L122</f>
        <v>0</v>
      </c>
      <c r="Y107" s="460">
        <f ca="1">'بند3-1مقاله علمي پژوهشيJCRو...'!S120</f>
        <v>0</v>
      </c>
    </row>
    <row r="108" spans="1:25" ht="54" customHeight="1">
      <c r="A108" s="2230">
        <f>'بند3-1مقاله علمي پژوهشيJCRو...'!A123</f>
        <v>0</v>
      </c>
      <c r="B108" s="2213">
        <f>'بند3-1مقاله علمي پژوهشيJCRو...'!B123</f>
        <v>0</v>
      </c>
      <c r="C108" s="2213"/>
      <c r="D108" s="2213"/>
      <c r="E108" s="2213"/>
      <c r="F108" s="2109">
        <f>'بند3-1مقاله علمي پژوهشيJCRو...'!F123</f>
        <v>0</v>
      </c>
      <c r="G108" s="2109"/>
      <c r="H108" s="2109"/>
      <c r="I108" s="2109"/>
      <c r="J108" s="2180">
        <f>'بند3-1مقاله علمي پژوهشيJCRو...'!P123</f>
        <v>0</v>
      </c>
      <c r="K108" s="2180"/>
      <c r="L108" s="2180"/>
      <c r="M108" s="2180"/>
      <c r="N108" s="2240">
        <f>'بند3-1مقاله علمي پژوهشيJCRو...'!I123</f>
        <v>0</v>
      </c>
      <c r="O108" s="2240">
        <f>'بند3-1مقاله علمي پژوهشيJCRو...'!O123</f>
        <v>0</v>
      </c>
      <c r="P108" s="2189">
        <f>'بند3-1مقاله علمي پژوهشيJCRو...'!J123</f>
        <v>0</v>
      </c>
      <c r="Q108" s="2189">
        <f>'بند3-1مقاله علمي پژوهشيJCRو...'!K123</f>
        <v>0</v>
      </c>
      <c r="R108" s="2109">
        <f>'بند3-1مقاله علمي پژوهشيJCRو...'!H123</f>
        <v>0</v>
      </c>
      <c r="S108" s="2109"/>
      <c r="T108" s="363" t="s">
        <v>762</v>
      </c>
      <c r="U108" s="363" t="s">
        <v>763</v>
      </c>
      <c r="V108" s="363" t="s">
        <v>764</v>
      </c>
      <c r="W108" s="359" t="s">
        <v>1315</v>
      </c>
      <c r="X108" s="359" t="s">
        <v>1316</v>
      </c>
      <c r="Y108" s="364" t="s">
        <v>765</v>
      </c>
    </row>
    <row r="109" spans="1:25" ht="54" customHeight="1" thickBot="1">
      <c r="A109" s="2230"/>
      <c r="B109" s="2213"/>
      <c r="C109" s="2213"/>
      <c r="D109" s="2213"/>
      <c r="E109" s="2213"/>
      <c r="F109" s="2109"/>
      <c r="G109" s="2109"/>
      <c r="H109" s="2109"/>
      <c r="I109" s="2109"/>
      <c r="J109" s="2180"/>
      <c r="K109" s="2180"/>
      <c r="L109" s="2180"/>
      <c r="M109" s="2180"/>
      <c r="N109" s="2240"/>
      <c r="O109" s="2240"/>
      <c r="P109" s="2189"/>
      <c r="Q109" s="2189"/>
      <c r="R109" s="2109"/>
      <c r="S109" s="2109"/>
      <c r="T109" s="362">
        <f>'بند3-1مقاله علمي پژوهشيJCRو...'!H125</f>
        <v>0</v>
      </c>
      <c r="U109" s="362">
        <f>'بند3-1مقاله علمي پژوهشيJCRو...'!J125</f>
        <v>0</v>
      </c>
      <c r="V109" s="362">
        <f>'بند3-1مقاله علمي پژوهشيJCRو...'!F125</f>
        <v>0</v>
      </c>
      <c r="W109" s="362">
        <f>'بند3-1مقاله علمي پژوهشيJCRو...'!N125</f>
        <v>0</v>
      </c>
      <c r="X109" s="362">
        <f>'بند3-1مقاله علمي پژوهشيJCRو...'!L125</f>
        <v>0</v>
      </c>
      <c r="Y109" s="460">
        <f ca="1">'بند3-1مقاله علمي پژوهشيJCRو...'!S123</f>
        <v>0</v>
      </c>
    </row>
    <row r="110" spans="1:25" ht="54.75" customHeight="1" thickBot="1">
      <c r="A110" s="367" t="s">
        <v>9</v>
      </c>
      <c r="B110" s="2242" t="s">
        <v>274</v>
      </c>
      <c r="C110" s="2243"/>
      <c r="D110" s="2243"/>
      <c r="E110" s="2244"/>
      <c r="F110" s="2242" t="s">
        <v>271</v>
      </c>
      <c r="G110" s="2243"/>
      <c r="H110" s="2243"/>
      <c r="I110" s="2244"/>
      <c r="J110" s="2102" t="s">
        <v>757</v>
      </c>
      <c r="K110" s="2103"/>
      <c r="L110" s="2103"/>
      <c r="M110" s="2104"/>
      <c r="N110" s="368" t="s">
        <v>275</v>
      </c>
      <c r="O110" s="369" t="s">
        <v>758</v>
      </c>
      <c r="P110" s="369" t="s">
        <v>759</v>
      </c>
      <c r="Q110" s="370" t="s">
        <v>784</v>
      </c>
      <c r="R110" s="2102" t="s">
        <v>760</v>
      </c>
      <c r="S110" s="2104"/>
      <c r="T110" s="2241" t="s">
        <v>761</v>
      </c>
      <c r="U110" s="2241"/>
      <c r="V110" s="2242" t="s">
        <v>13</v>
      </c>
      <c r="W110" s="2243"/>
      <c r="X110" s="2243"/>
      <c r="Y110" s="2193"/>
    </row>
    <row r="111" spans="1:25" ht="34.5" customHeight="1">
      <c r="A111" s="2230">
        <f>'بند3-1مقاله علمي پژوهشيJCRو...'!A126</f>
        <v>0</v>
      </c>
      <c r="B111" s="2213">
        <f>'بند3-1مقاله علمي پژوهشيJCRو...'!B126</f>
        <v>0</v>
      </c>
      <c r="C111" s="2213"/>
      <c r="D111" s="2213"/>
      <c r="E111" s="2213"/>
      <c r="F111" s="2109">
        <f>'بند3-1مقاله علمي پژوهشيJCRو...'!F126</f>
        <v>0</v>
      </c>
      <c r="G111" s="2109"/>
      <c r="H111" s="2109"/>
      <c r="I111" s="2109"/>
      <c r="J111" s="2180">
        <f>'بند3-1مقاله علمي پژوهشيJCRو...'!P126</f>
        <v>0</v>
      </c>
      <c r="K111" s="2180"/>
      <c r="L111" s="2180"/>
      <c r="M111" s="2180"/>
      <c r="N111" s="2240">
        <f>'بند3-1مقاله علمي پژوهشيJCRو...'!I126</f>
        <v>0</v>
      </c>
      <c r="O111" s="2240">
        <f>'بند3-1مقاله علمي پژوهشيJCRو...'!O126</f>
        <v>0</v>
      </c>
      <c r="P111" s="2189">
        <f>'بند3-1مقاله علمي پژوهشيJCRو...'!J126</f>
        <v>0</v>
      </c>
      <c r="Q111" s="2189">
        <f>'بند3-1مقاله علمي پژوهشيJCRو...'!K126</f>
        <v>0</v>
      </c>
      <c r="R111" s="2109">
        <f>'بند3-1مقاله علمي پژوهشيJCRو...'!H126</f>
        <v>0</v>
      </c>
      <c r="S111" s="2109"/>
      <c r="T111" s="363" t="s">
        <v>762</v>
      </c>
      <c r="U111" s="363" t="s">
        <v>763</v>
      </c>
      <c r="V111" s="363" t="s">
        <v>764</v>
      </c>
      <c r="W111" s="359" t="s">
        <v>1315</v>
      </c>
      <c r="X111" s="359" t="s">
        <v>1316</v>
      </c>
      <c r="Y111" s="364" t="s">
        <v>765</v>
      </c>
    </row>
    <row r="112" spans="1:25" ht="34.5" customHeight="1" thickBot="1">
      <c r="A112" s="2230"/>
      <c r="B112" s="2213"/>
      <c r="C112" s="2213"/>
      <c r="D112" s="2213"/>
      <c r="E112" s="2213"/>
      <c r="F112" s="2109"/>
      <c r="G112" s="2109"/>
      <c r="H112" s="2109"/>
      <c r="I112" s="2109"/>
      <c r="J112" s="2180"/>
      <c r="K112" s="2180"/>
      <c r="L112" s="2180"/>
      <c r="M112" s="2180"/>
      <c r="N112" s="2240"/>
      <c r="O112" s="2240"/>
      <c r="P112" s="2189"/>
      <c r="Q112" s="2189"/>
      <c r="R112" s="2109"/>
      <c r="S112" s="2109"/>
      <c r="T112" s="362">
        <f>'بند3-1مقاله علمي پژوهشيJCRو...'!H128</f>
        <v>0</v>
      </c>
      <c r="U112" s="362">
        <f>'بند3-1مقاله علمي پژوهشيJCRو...'!J128</f>
        <v>0</v>
      </c>
      <c r="V112" s="362">
        <f>'بند3-1مقاله علمي پژوهشيJCRو...'!F128</f>
        <v>0</v>
      </c>
      <c r="W112" s="362">
        <f>'بند3-1مقاله علمي پژوهشيJCRو...'!N128</f>
        <v>0</v>
      </c>
      <c r="X112" s="362">
        <f>'بند3-1مقاله علمي پژوهشيJCRو...'!L128</f>
        <v>0</v>
      </c>
      <c r="Y112" s="460">
        <f ca="1">'بند3-1مقاله علمي پژوهشيJCRو...'!S126</f>
        <v>0</v>
      </c>
    </row>
    <row r="113" spans="1:25" ht="34.5" customHeight="1">
      <c r="A113" s="2230">
        <f>'بند3-1مقاله علمي پژوهشيJCRو...'!A129</f>
        <v>0</v>
      </c>
      <c r="B113" s="2213">
        <f>'بند3-1مقاله علمي پژوهشيJCRو...'!B129</f>
        <v>0</v>
      </c>
      <c r="C113" s="2213"/>
      <c r="D113" s="2213"/>
      <c r="E113" s="2213"/>
      <c r="F113" s="2109">
        <f>'بند3-1مقاله علمي پژوهشيJCRو...'!F129</f>
        <v>0</v>
      </c>
      <c r="G113" s="2109"/>
      <c r="H113" s="2109"/>
      <c r="I113" s="2109"/>
      <c r="J113" s="2180">
        <f>'بند3-1مقاله علمي پژوهشيJCRو...'!P129</f>
        <v>0</v>
      </c>
      <c r="K113" s="2180"/>
      <c r="L113" s="2180"/>
      <c r="M113" s="2180"/>
      <c r="N113" s="2240">
        <f>'بند3-1مقاله علمي پژوهشيJCRو...'!I129</f>
        <v>0</v>
      </c>
      <c r="O113" s="2240">
        <f>'بند3-1مقاله علمي پژوهشيJCRو...'!O129</f>
        <v>0</v>
      </c>
      <c r="P113" s="2189">
        <f>'بند3-1مقاله علمي پژوهشيJCRو...'!J129</f>
        <v>0</v>
      </c>
      <c r="Q113" s="2189">
        <f>'بند3-1مقاله علمي پژوهشيJCRو...'!K129</f>
        <v>0</v>
      </c>
      <c r="R113" s="2109">
        <f>'بند3-1مقاله علمي پژوهشيJCRو...'!H129</f>
        <v>0</v>
      </c>
      <c r="S113" s="2109"/>
      <c r="T113" s="363" t="s">
        <v>762</v>
      </c>
      <c r="U113" s="363" t="s">
        <v>763</v>
      </c>
      <c r="V113" s="363" t="s">
        <v>764</v>
      </c>
      <c r="W113" s="359" t="s">
        <v>1315</v>
      </c>
      <c r="X113" s="359" t="s">
        <v>1316</v>
      </c>
      <c r="Y113" s="364" t="s">
        <v>765</v>
      </c>
    </row>
    <row r="114" spans="1:25" ht="34.5" customHeight="1" thickBot="1">
      <c r="A114" s="2230"/>
      <c r="B114" s="2213"/>
      <c r="C114" s="2213"/>
      <c r="D114" s="2213"/>
      <c r="E114" s="2213"/>
      <c r="F114" s="2109"/>
      <c r="G114" s="2109"/>
      <c r="H114" s="2109"/>
      <c r="I114" s="2109"/>
      <c r="J114" s="2180"/>
      <c r="K114" s="2180"/>
      <c r="L114" s="2180"/>
      <c r="M114" s="2180"/>
      <c r="N114" s="2240"/>
      <c r="O114" s="2240"/>
      <c r="P114" s="2189"/>
      <c r="Q114" s="2189"/>
      <c r="R114" s="2109"/>
      <c r="S114" s="2109"/>
      <c r="T114" s="362">
        <f>'بند3-1مقاله علمي پژوهشيJCRو...'!H131</f>
        <v>0</v>
      </c>
      <c r="U114" s="362">
        <f>'بند3-1مقاله علمي پژوهشيJCRو...'!J131</f>
        <v>0</v>
      </c>
      <c r="V114" s="362">
        <f>'بند3-1مقاله علمي پژوهشيJCRو...'!F131</f>
        <v>0</v>
      </c>
      <c r="W114" s="362">
        <f>'بند3-1مقاله علمي پژوهشيJCRو...'!N131</f>
        <v>0</v>
      </c>
      <c r="X114" s="362">
        <f>'بند3-1مقاله علمي پژوهشيJCRو...'!L131</f>
        <v>0</v>
      </c>
      <c r="Y114" s="460">
        <f ca="1">'بند3-1مقاله علمي پژوهشيJCRو...'!S129</f>
        <v>0</v>
      </c>
    </row>
    <row r="115" spans="1:25" ht="34.5" customHeight="1">
      <c r="A115" s="2230">
        <f>'بند3-1مقاله علمي پژوهشيJCRو...'!A132</f>
        <v>0</v>
      </c>
      <c r="B115" s="2213">
        <f>'بند3-1مقاله علمي پژوهشيJCRو...'!B132</f>
        <v>0</v>
      </c>
      <c r="C115" s="2213"/>
      <c r="D115" s="2213"/>
      <c r="E115" s="2213"/>
      <c r="F115" s="2109">
        <f>'بند3-1مقاله علمي پژوهشيJCRو...'!F132</f>
        <v>0</v>
      </c>
      <c r="G115" s="2109"/>
      <c r="H115" s="2109"/>
      <c r="I115" s="2109"/>
      <c r="J115" s="2180">
        <f>'بند3-1مقاله علمي پژوهشيJCRو...'!P132</f>
        <v>0</v>
      </c>
      <c r="K115" s="2180"/>
      <c r="L115" s="2180"/>
      <c r="M115" s="2180"/>
      <c r="N115" s="2240">
        <f>'بند3-1مقاله علمي پژوهشيJCRو...'!I132</f>
        <v>0</v>
      </c>
      <c r="O115" s="2240">
        <f>'بند3-1مقاله علمي پژوهشيJCRو...'!O132</f>
        <v>0</v>
      </c>
      <c r="P115" s="2189">
        <f>'بند3-1مقاله علمي پژوهشيJCRو...'!J132</f>
        <v>0</v>
      </c>
      <c r="Q115" s="2189">
        <f>'بند3-1مقاله علمي پژوهشيJCRو...'!K132</f>
        <v>0</v>
      </c>
      <c r="R115" s="2109">
        <f>'بند3-1مقاله علمي پژوهشيJCRو...'!H132</f>
        <v>0</v>
      </c>
      <c r="S115" s="2109"/>
      <c r="T115" s="363" t="s">
        <v>762</v>
      </c>
      <c r="U115" s="363" t="s">
        <v>763</v>
      </c>
      <c r="V115" s="363" t="s">
        <v>764</v>
      </c>
      <c r="W115" s="359" t="s">
        <v>1315</v>
      </c>
      <c r="X115" s="359" t="s">
        <v>1316</v>
      </c>
      <c r="Y115" s="364" t="s">
        <v>765</v>
      </c>
    </row>
    <row r="116" spans="1:25" ht="34.5" customHeight="1" thickBot="1">
      <c r="A116" s="2230"/>
      <c r="B116" s="2213"/>
      <c r="C116" s="2213"/>
      <c r="D116" s="2213"/>
      <c r="E116" s="2213"/>
      <c r="F116" s="2109"/>
      <c r="G116" s="2109"/>
      <c r="H116" s="2109"/>
      <c r="I116" s="2109"/>
      <c r="J116" s="2180"/>
      <c r="K116" s="2180"/>
      <c r="L116" s="2180"/>
      <c r="M116" s="2180"/>
      <c r="N116" s="2240"/>
      <c r="O116" s="2240"/>
      <c r="P116" s="2189"/>
      <c r="Q116" s="2189"/>
      <c r="R116" s="2109"/>
      <c r="S116" s="2109"/>
      <c r="T116" s="362">
        <f>'بند3-1مقاله علمي پژوهشيJCRو...'!H134</f>
        <v>0</v>
      </c>
      <c r="U116" s="362">
        <f>'بند3-1مقاله علمي پژوهشيJCRو...'!J134</f>
        <v>0</v>
      </c>
      <c r="V116" s="362">
        <f>'بند3-1مقاله علمي پژوهشيJCRو...'!F134</f>
        <v>0</v>
      </c>
      <c r="W116" s="362">
        <f>'بند3-1مقاله علمي پژوهشيJCRو...'!N134</f>
        <v>0</v>
      </c>
      <c r="X116" s="362">
        <f>'بند3-1مقاله علمي پژوهشيJCRو...'!L134</f>
        <v>0</v>
      </c>
      <c r="Y116" s="460">
        <f ca="1">'بند3-1مقاله علمي پژوهشيJCRو...'!S132</f>
        <v>0</v>
      </c>
    </row>
    <row r="117" spans="1:25" ht="34.5" customHeight="1">
      <c r="A117" s="2230">
        <f>'بند3-1مقاله علمي پژوهشيJCRو...'!A135</f>
        <v>0</v>
      </c>
      <c r="B117" s="2213">
        <f>'بند3-1مقاله علمي پژوهشيJCRو...'!B135</f>
        <v>0</v>
      </c>
      <c r="C117" s="2213"/>
      <c r="D117" s="2213"/>
      <c r="E117" s="2213"/>
      <c r="F117" s="2109">
        <f>'بند3-1مقاله علمي پژوهشيJCRو...'!F135</f>
        <v>0</v>
      </c>
      <c r="G117" s="2109"/>
      <c r="H117" s="2109"/>
      <c r="I117" s="2109"/>
      <c r="J117" s="2180">
        <f>'بند3-1مقاله علمي پژوهشيJCRو...'!P135</f>
        <v>0</v>
      </c>
      <c r="K117" s="2180"/>
      <c r="L117" s="2180"/>
      <c r="M117" s="2180"/>
      <c r="N117" s="2240">
        <f>'بند3-1مقاله علمي پژوهشيJCRو...'!I135</f>
        <v>0</v>
      </c>
      <c r="O117" s="2240">
        <f>'بند3-1مقاله علمي پژوهشيJCRو...'!O135</f>
        <v>0</v>
      </c>
      <c r="P117" s="2189">
        <f>'بند3-1مقاله علمي پژوهشيJCRو...'!J135</f>
        <v>0</v>
      </c>
      <c r="Q117" s="2189">
        <f>'بند3-1مقاله علمي پژوهشيJCRو...'!K135</f>
        <v>0</v>
      </c>
      <c r="R117" s="2109">
        <f>'بند3-1مقاله علمي پژوهشيJCRو...'!H135</f>
        <v>0</v>
      </c>
      <c r="S117" s="2109"/>
      <c r="T117" s="363" t="s">
        <v>762</v>
      </c>
      <c r="U117" s="363" t="s">
        <v>763</v>
      </c>
      <c r="V117" s="363" t="s">
        <v>764</v>
      </c>
      <c r="W117" s="359" t="s">
        <v>1315</v>
      </c>
      <c r="X117" s="359" t="s">
        <v>1316</v>
      </c>
      <c r="Y117" s="364" t="s">
        <v>765</v>
      </c>
    </row>
    <row r="118" spans="1:25" ht="34.5" customHeight="1" thickBot="1">
      <c r="A118" s="2230"/>
      <c r="B118" s="2213"/>
      <c r="C118" s="2213"/>
      <c r="D118" s="2213"/>
      <c r="E118" s="2213"/>
      <c r="F118" s="2109"/>
      <c r="G118" s="2109"/>
      <c r="H118" s="2109"/>
      <c r="I118" s="2109"/>
      <c r="J118" s="2180"/>
      <c r="K118" s="2180"/>
      <c r="L118" s="2180"/>
      <c r="M118" s="2180"/>
      <c r="N118" s="2240"/>
      <c r="O118" s="2240"/>
      <c r="P118" s="2189"/>
      <c r="Q118" s="2189"/>
      <c r="R118" s="2109"/>
      <c r="S118" s="2109"/>
      <c r="T118" s="362">
        <f>'بند3-1مقاله علمي پژوهشيJCRو...'!H137</f>
        <v>0</v>
      </c>
      <c r="U118" s="362">
        <f>'بند3-1مقاله علمي پژوهشيJCRو...'!J137</f>
        <v>0</v>
      </c>
      <c r="V118" s="362">
        <f>'بند3-1مقاله علمي پژوهشيJCRو...'!F137</f>
        <v>0</v>
      </c>
      <c r="W118" s="362">
        <f>'بند3-1مقاله علمي پژوهشيJCRو...'!N137</f>
        <v>0</v>
      </c>
      <c r="X118" s="362">
        <f>'بند3-1مقاله علمي پژوهشيJCRو...'!L137</f>
        <v>0</v>
      </c>
      <c r="Y118" s="460">
        <f ca="1">'بند3-1مقاله علمي پژوهشيJCRو...'!S135</f>
        <v>0</v>
      </c>
    </row>
    <row r="119" spans="1:25" ht="54.75" customHeight="1" thickBot="1">
      <c r="A119" s="367" t="s">
        <v>9</v>
      </c>
      <c r="B119" s="2242" t="s">
        <v>274</v>
      </c>
      <c r="C119" s="2243"/>
      <c r="D119" s="2243"/>
      <c r="E119" s="2244"/>
      <c r="F119" s="2242" t="s">
        <v>271</v>
      </c>
      <c r="G119" s="2243"/>
      <c r="H119" s="2243"/>
      <c r="I119" s="2244"/>
      <c r="J119" s="2102" t="s">
        <v>757</v>
      </c>
      <c r="K119" s="2103"/>
      <c r="L119" s="2103"/>
      <c r="M119" s="2104"/>
      <c r="N119" s="368" t="s">
        <v>275</v>
      </c>
      <c r="O119" s="369" t="s">
        <v>758</v>
      </c>
      <c r="P119" s="369" t="s">
        <v>759</v>
      </c>
      <c r="Q119" s="370" t="s">
        <v>784</v>
      </c>
      <c r="R119" s="2102" t="s">
        <v>760</v>
      </c>
      <c r="S119" s="2104"/>
      <c r="T119" s="2241" t="s">
        <v>761</v>
      </c>
      <c r="U119" s="2241"/>
      <c r="V119" s="2242" t="s">
        <v>13</v>
      </c>
      <c r="W119" s="2243"/>
      <c r="X119" s="2243"/>
      <c r="Y119" s="2193"/>
    </row>
    <row r="120" spans="1:25" ht="34.5" customHeight="1">
      <c r="A120" s="2230">
        <f>'بند3-1مقاله علمي پژوهشيJCRو...'!A138</f>
        <v>0</v>
      </c>
      <c r="B120" s="2213">
        <f>'بند3-1مقاله علمي پژوهشيJCRو...'!B138</f>
        <v>0</v>
      </c>
      <c r="C120" s="2213"/>
      <c r="D120" s="2213"/>
      <c r="E120" s="2213"/>
      <c r="F120" s="2109">
        <f>'بند3-1مقاله علمي پژوهشيJCRو...'!F138</f>
        <v>0</v>
      </c>
      <c r="G120" s="2109"/>
      <c r="H120" s="2109"/>
      <c r="I120" s="2109"/>
      <c r="J120" s="2180">
        <f>'بند3-1مقاله علمي پژوهشيJCRو...'!P138</f>
        <v>0</v>
      </c>
      <c r="K120" s="2180"/>
      <c r="L120" s="2180"/>
      <c r="M120" s="2180"/>
      <c r="N120" s="2240">
        <f>'بند3-1مقاله علمي پژوهشيJCRو...'!I138</f>
        <v>0</v>
      </c>
      <c r="O120" s="2240">
        <f>'بند3-1مقاله علمي پژوهشيJCRو...'!O138</f>
        <v>0</v>
      </c>
      <c r="P120" s="2189">
        <f>'بند3-1مقاله علمي پژوهشيJCRو...'!J138</f>
        <v>0</v>
      </c>
      <c r="Q120" s="2189">
        <f>'بند3-1مقاله علمي پژوهشيJCRو...'!K138</f>
        <v>0</v>
      </c>
      <c r="R120" s="2109">
        <f>'بند3-1مقاله علمي پژوهشيJCRو...'!H138</f>
        <v>0</v>
      </c>
      <c r="S120" s="2109"/>
      <c r="T120" s="363" t="s">
        <v>762</v>
      </c>
      <c r="U120" s="363" t="s">
        <v>763</v>
      </c>
      <c r="V120" s="363" t="s">
        <v>764</v>
      </c>
      <c r="W120" s="359" t="s">
        <v>1315</v>
      </c>
      <c r="X120" s="359" t="s">
        <v>1316</v>
      </c>
      <c r="Y120" s="364" t="s">
        <v>765</v>
      </c>
    </row>
    <row r="121" spans="1:25" ht="34.5" customHeight="1" thickBot="1">
      <c r="A121" s="2230"/>
      <c r="B121" s="2213"/>
      <c r="C121" s="2213"/>
      <c r="D121" s="2213"/>
      <c r="E121" s="2213"/>
      <c r="F121" s="2109"/>
      <c r="G121" s="2109"/>
      <c r="H121" s="2109"/>
      <c r="I121" s="2109"/>
      <c r="J121" s="2180"/>
      <c r="K121" s="2180"/>
      <c r="L121" s="2180"/>
      <c r="M121" s="2180"/>
      <c r="N121" s="2240"/>
      <c r="O121" s="2240"/>
      <c r="P121" s="2189"/>
      <c r="Q121" s="2189"/>
      <c r="R121" s="2109"/>
      <c r="S121" s="2109"/>
      <c r="T121" s="362">
        <f>'بند3-1مقاله علمي پژوهشيJCRو...'!H140</f>
        <v>0</v>
      </c>
      <c r="U121" s="362">
        <f>'بند3-1مقاله علمي پژوهشيJCRو...'!J140</f>
        <v>0</v>
      </c>
      <c r="V121" s="362">
        <f>'بند3-1مقاله علمي پژوهشيJCRو...'!F140</f>
        <v>0</v>
      </c>
      <c r="W121" s="362">
        <f>'بند3-1مقاله علمي پژوهشيJCRو...'!N140</f>
        <v>0</v>
      </c>
      <c r="X121" s="362">
        <f>'بند3-1مقاله علمي پژوهشيJCRو...'!L140</f>
        <v>0</v>
      </c>
      <c r="Y121" s="460">
        <f ca="1">'بند3-1مقاله علمي پژوهشيJCRو...'!S138</f>
        <v>0</v>
      </c>
    </row>
    <row r="122" spans="1:25" ht="34.5" customHeight="1">
      <c r="A122" s="2230">
        <f>'بند3-1مقاله علمي پژوهشيJCRو...'!A141</f>
        <v>0</v>
      </c>
      <c r="B122" s="2213">
        <f>'بند3-1مقاله علمي پژوهشيJCRو...'!B141</f>
        <v>0</v>
      </c>
      <c r="C122" s="2213"/>
      <c r="D122" s="2213"/>
      <c r="E122" s="2213"/>
      <c r="F122" s="2109">
        <f>'بند3-1مقاله علمي پژوهشيJCRو...'!F141</f>
        <v>0</v>
      </c>
      <c r="G122" s="2109"/>
      <c r="H122" s="2109"/>
      <c r="I122" s="2109"/>
      <c r="J122" s="2180">
        <f>'بند3-1مقاله علمي پژوهشيJCRو...'!P141</f>
        <v>0</v>
      </c>
      <c r="K122" s="2180"/>
      <c r="L122" s="2180"/>
      <c r="M122" s="2180"/>
      <c r="N122" s="2240">
        <f>'بند3-1مقاله علمي پژوهشيJCRو...'!I141</f>
        <v>0</v>
      </c>
      <c r="O122" s="2240">
        <f>'بند3-1مقاله علمي پژوهشيJCRو...'!O141</f>
        <v>0</v>
      </c>
      <c r="P122" s="2189">
        <f>'بند3-1مقاله علمي پژوهشيJCRو...'!J141</f>
        <v>0</v>
      </c>
      <c r="Q122" s="2189">
        <f>'بند3-1مقاله علمي پژوهشيJCRو...'!K141</f>
        <v>0</v>
      </c>
      <c r="R122" s="2109">
        <f>'بند3-1مقاله علمي پژوهشيJCRو...'!H141</f>
        <v>0</v>
      </c>
      <c r="S122" s="2109"/>
      <c r="T122" s="363" t="s">
        <v>762</v>
      </c>
      <c r="U122" s="363" t="s">
        <v>763</v>
      </c>
      <c r="V122" s="363" t="s">
        <v>764</v>
      </c>
      <c r="W122" s="359" t="s">
        <v>1315</v>
      </c>
      <c r="X122" s="359" t="s">
        <v>1316</v>
      </c>
      <c r="Y122" s="364" t="s">
        <v>765</v>
      </c>
    </row>
    <row r="123" spans="1:25" ht="34.5" customHeight="1" thickBot="1">
      <c r="A123" s="2230"/>
      <c r="B123" s="2213"/>
      <c r="C123" s="2213"/>
      <c r="D123" s="2213"/>
      <c r="E123" s="2213"/>
      <c r="F123" s="2109"/>
      <c r="G123" s="2109"/>
      <c r="H123" s="2109"/>
      <c r="I123" s="2109"/>
      <c r="J123" s="2180"/>
      <c r="K123" s="2180"/>
      <c r="L123" s="2180"/>
      <c r="M123" s="2180"/>
      <c r="N123" s="2240"/>
      <c r="O123" s="2240"/>
      <c r="P123" s="2189"/>
      <c r="Q123" s="2189"/>
      <c r="R123" s="2109"/>
      <c r="S123" s="2109"/>
      <c r="T123" s="362">
        <f>'بند3-1مقاله علمي پژوهشيJCRو...'!H143</f>
        <v>0</v>
      </c>
      <c r="U123" s="362">
        <f>'بند3-1مقاله علمي پژوهشيJCRو...'!J143</f>
        <v>0</v>
      </c>
      <c r="V123" s="362">
        <f>'بند3-1مقاله علمي پژوهشيJCRو...'!F143</f>
        <v>0</v>
      </c>
      <c r="W123" s="362">
        <f>'بند3-1مقاله علمي پژوهشيJCRو...'!N143</f>
        <v>0</v>
      </c>
      <c r="X123" s="362">
        <f>'بند3-1مقاله علمي پژوهشيJCRو...'!L143</f>
        <v>0</v>
      </c>
      <c r="Y123" s="460">
        <f ca="1">'بند3-1مقاله علمي پژوهشيJCRو...'!S141</f>
        <v>0</v>
      </c>
    </row>
    <row r="124" spans="1:25" ht="34.5" customHeight="1">
      <c r="A124" s="2230">
        <f>'بند3-1مقاله علمي پژوهشيJCRو...'!A144</f>
        <v>0</v>
      </c>
      <c r="B124" s="2213">
        <f>'بند3-1مقاله علمي پژوهشيJCRو...'!B144</f>
        <v>0</v>
      </c>
      <c r="C124" s="2213"/>
      <c r="D124" s="2213"/>
      <c r="E124" s="2213"/>
      <c r="F124" s="2109">
        <f>'بند3-1مقاله علمي پژوهشيJCRو...'!F144</f>
        <v>0</v>
      </c>
      <c r="G124" s="2109"/>
      <c r="H124" s="2109"/>
      <c r="I124" s="2109"/>
      <c r="J124" s="2180">
        <f>'بند3-1مقاله علمي پژوهشيJCRو...'!P144</f>
        <v>0</v>
      </c>
      <c r="K124" s="2180"/>
      <c r="L124" s="2180"/>
      <c r="M124" s="2180"/>
      <c r="N124" s="2240">
        <f>'بند3-1مقاله علمي پژوهشيJCRو...'!I144</f>
        <v>0</v>
      </c>
      <c r="O124" s="2240">
        <f>'بند3-1مقاله علمي پژوهشيJCRو...'!O144</f>
        <v>0</v>
      </c>
      <c r="P124" s="2189">
        <f>'بند3-1مقاله علمي پژوهشيJCRو...'!J144</f>
        <v>0</v>
      </c>
      <c r="Q124" s="2189">
        <f>'بند3-1مقاله علمي پژوهشيJCRو...'!K144</f>
        <v>0</v>
      </c>
      <c r="R124" s="2109">
        <f>'بند3-1مقاله علمي پژوهشيJCRو...'!H144</f>
        <v>0</v>
      </c>
      <c r="S124" s="2109"/>
      <c r="T124" s="363" t="s">
        <v>762</v>
      </c>
      <c r="U124" s="363" t="s">
        <v>763</v>
      </c>
      <c r="V124" s="363" t="s">
        <v>764</v>
      </c>
      <c r="W124" s="359" t="s">
        <v>1315</v>
      </c>
      <c r="X124" s="359" t="s">
        <v>1316</v>
      </c>
      <c r="Y124" s="364" t="s">
        <v>765</v>
      </c>
    </row>
    <row r="125" spans="1:25" ht="34.5" customHeight="1" thickBot="1">
      <c r="A125" s="2230"/>
      <c r="B125" s="2213"/>
      <c r="C125" s="2213"/>
      <c r="D125" s="2213"/>
      <c r="E125" s="2213"/>
      <c r="F125" s="2109"/>
      <c r="G125" s="2109"/>
      <c r="H125" s="2109"/>
      <c r="I125" s="2109"/>
      <c r="J125" s="2180"/>
      <c r="K125" s="2180"/>
      <c r="L125" s="2180"/>
      <c r="M125" s="2180"/>
      <c r="N125" s="2240"/>
      <c r="O125" s="2240"/>
      <c r="P125" s="2189"/>
      <c r="Q125" s="2189"/>
      <c r="R125" s="2109"/>
      <c r="S125" s="2109"/>
      <c r="T125" s="362">
        <f>'بند3-1مقاله علمي پژوهشيJCRو...'!H146</f>
        <v>0</v>
      </c>
      <c r="U125" s="362">
        <f>'بند3-1مقاله علمي پژوهشيJCRو...'!J146</f>
        <v>0</v>
      </c>
      <c r="V125" s="362">
        <f>'بند3-1مقاله علمي پژوهشيJCRو...'!F146</f>
        <v>0</v>
      </c>
      <c r="W125" s="362">
        <f>'بند3-1مقاله علمي پژوهشيJCRو...'!N146</f>
        <v>0</v>
      </c>
      <c r="X125" s="362">
        <f>'بند3-1مقاله علمي پژوهشيJCRو...'!L146</f>
        <v>0</v>
      </c>
      <c r="Y125" s="460">
        <f ca="1">'بند3-1مقاله علمي پژوهشيJCRو...'!S144</f>
        <v>0</v>
      </c>
    </row>
    <row r="126" spans="1:25" ht="34.5" customHeight="1">
      <c r="A126" s="2230">
        <f>'بند3-1مقاله علمي پژوهشيJCRو...'!A147</f>
        <v>0</v>
      </c>
      <c r="B126" s="2213">
        <f>'بند3-1مقاله علمي پژوهشيJCRو...'!B147</f>
        <v>0</v>
      </c>
      <c r="C126" s="2213"/>
      <c r="D126" s="2213"/>
      <c r="E126" s="2213"/>
      <c r="F126" s="2109">
        <f>'بند3-1مقاله علمي پژوهشيJCRو...'!F147</f>
        <v>0</v>
      </c>
      <c r="G126" s="2109"/>
      <c r="H126" s="2109"/>
      <c r="I126" s="2109"/>
      <c r="J126" s="2180">
        <f>'بند3-1مقاله علمي پژوهشيJCRو...'!P147</f>
        <v>0</v>
      </c>
      <c r="K126" s="2180"/>
      <c r="L126" s="2180"/>
      <c r="M126" s="2180"/>
      <c r="N126" s="2240">
        <f>'بند3-1مقاله علمي پژوهشيJCRو...'!I147</f>
        <v>0</v>
      </c>
      <c r="O126" s="2240">
        <f>'بند3-1مقاله علمي پژوهشيJCRو...'!O147</f>
        <v>0</v>
      </c>
      <c r="P126" s="2189">
        <f>'بند3-1مقاله علمي پژوهشيJCRو...'!J147</f>
        <v>0</v>
      </c>
      <c r="Q126" s="2189">
        <f>'بند3-1مقاله علمي پژوهشيJCRو...'!K147</f>
        <v>0</v>
      </c>
      <c r="R126" s="2109">
        <f>'بند3-1مقاله علمي پژوهشيJCRو...'!H147</f>
        <v>0</v>
      </c>
      <c r="S126" s="2109"/>
      <c r="T126" s="363" t="s">
        <v>762</v>
      </c>
      <c r="U126" s="363" t="s">
        <v>763</v>
      </c>
      <c r="V126" s="363" t="s">
        <v>764</v>
      </c>
      <c r="W126" s="359" t="s">
        <v>1315</v>
      </c>
      <c r="X126" s="359" t="s">
        <v>1316</v>
      </c>
      <c r="Y126" s="364" t="s">
        <v>765</v>
      </c>
    </row>
    <row r="127" spans="1:25" ht="34.5" customHeight="1" thickBot="1">
      <c r="A127" s="2230"/>
      <c r="B127" s="2213"/>
      <c r="C127" s="2213"/>
      <c r="D127" s="2213"/>
      <c r="E127" s="2213"/>
      <c r="F127" s="2109"/>
      <c r="G127" s="2109"/>
      <c r="H127" s="2109"/>
      <c r="I127" s="2109"/>
      <c r="J127" s="2180"/>
      <c r="K127" s="2180"/>
      <c r="L127" s="2180"/>
      <c r="M127" s="2180"/>
      <c r="N127" s="2240"/>
      <c r="O127" s="2240"/>
      <c r="P127" s="2189"/>
      <c r="Q127" s="2189"/>
      <c r="R127" s="2109"/>
      <c r="S127" s="2109"/>
      <c r="T127" s="362">
        <f>'بند3-1مقاله علمي پژوهشيJCRو...'!H149</f>
        <v>0</v>
      </c>
      <c r="U127" s="362">
        <f>'بند3-1مقاله علمي پژوهشيJCRو...'!J149</f>
        <v>0</v>
      </c>
      <c r="V127" s="362">
        <f>'بند3-1مقاله علمي پژوهشيJCRو...'!F149</f>
        <v>0</v>
      </c>
      <c r="W127" s="362">
        <f>'بند3-1مقاله علمي پژوهشيJCRو...'!N149</f>
        <v>0</v>
      </c>
      <c r="X127" s="362">
        <f>'بند3-1مقاله علمي پژوهشيJCRو...'!L149</f>
        <v>0</v>
      </c>
      <c r="Y127" s="460">
        <f ca="1">'بند3-1مقاله علمي پژوهشيJCRو...'!S147</f>
        <v>0</v>
      </c>
    </row>
    <row r="128" spans="1:25" ht="54.75" customHeight="1" thickBot="1">
      <c r="A128" s="367" t="s">
        <v>9</v>
      </c>
      <c r="B128" s="2242" t="s">
        <v>274</v>
      </c>
      <c r="C128" s="2243"/>
      <c r="D128" s="2243"/>
      <c r="E128" s="2244"/>
      <c r="F128" s="2242" t="s">
        <v>271</v>
      </c>
      <c r="G128" s="2243"/>
      <c r="H128" s="2243"/>
      <c r="I128" s="2244"/>
      <c r="J128" s="2102" t="s">
        <v>757</v>
      </c>
      <c r="K128" s="2103"/>
      <c r="L128" s="2103"/>
      <c r="M128" s="2104"/>
      <c r="N128" s="368" t="s">
        <v>275</v>
      </c>
      <c r="O128" s="369" t="s">
        <v>758</v>
      </c>
      <c r="P128" s="369" t="s">
        <v>759</v>
      </c>
      <c r="Q128" s="370" t="s">
        <v>784</v>
      </c>
      <c r="R128" s="2102" t="s">
        <v>760</v>
      </c>
      <c r="S128" s="2104"/>
      <c r="T128" s="2241" t="s">
        <v>761</v>
      </c>
      <c r="U128" s="2241"/>
      <c r="V128" s="2242" t="s">
        <v>13</v>
      </c>
      <c r="W128" s="2243"/>
      <c r="X128" s="2243"/>
      <c r="Y128" s="2193"/>
    </row>
    <row r="129" spans="1:25" ht="34.5" customHeight="1">
      <c r="A129" s="2230">
        <f>'بند3-1مقاله علمي پژوهشيJCRو...'!A150</f>
        <v>0</v>
      </c>
      <c r="B129" s="2213">
        <f>'بند3-1مقاله علمي پژوهشيJCRو...'!B150</f>
        <v>0</v>
      </c>
      <c r="C129" s="2213"/>
      <c r="D129" s="2213"/>
      <c r="E129" s="2213"/>
      <c r="F129" s="2109">
        <f>'بند3-1مقاله علمي پژوهشيJCRو...'!F150</f>
        <v>0</v>
      </c>
      <c r="G129" s="2109"/>
      <c r="H129" s="2109"/>
      <c r="I129" s="2109"/>
      <c r="J129" s="2180">
        <f>'بند3-1مقاله علمي پژوهشيJCRو...'!P150</f>
        <v>0</v>
      </c>
      <c r="K129" s="2180"/>
      <c r="L129" s="2180"/>
      <c r="M129" s="2180"/>
      <c r="N129" s="2240">
        <f>'بند3-1مقاله علمي پژوهشيJCRو...'!I150</f>
        <v>0</v>
      </c>
      <c r="O129" s="2240">
        <f>'بند3-1مقاله علمي پژوهشيJCRو...'!O150</f>
        <v>0</v>
      </c>
      <c r="P129" s="2189">
        <f>'بند3-1مقاله علمي پژوهشيJCRو...'!J150</f>
        <v>0</v>
      </c>
      <c r="Q129" s="2189">
        <f>'بند3-1مقاله علمي پژوهشيJCRو...'!K150</f>
        <v>0</v>
      </c>
      <c r="R129" s="2109">
        <f>'بند3-1مقاله علمي پژوهشيJCRو...'!H150</f>
        <v>0</v>
      </c>
      <c r="S129" s="2109"/>
      <c r="T129" s="363" t="s">
        <v>762</v>
      </c>
      <c r="U129" s="363" t="s">
        <v>763</v>
      </c>
      <c r="V129" s="363" t="s">
        <v>764</v>
      </c>
      <c r="W129" s="359" t="s">
        <v>1315</v>
      </c>
      <c r="X129" s="359" t="s">
        <v>1316</v>
      </c>
      <c r="Y129" s="364" t="s">
        <v>765</v>
      </c>
    </row>
    <row r="130" spans="1:25" ht="34.5" customHeight="1" thickBot="1">
      <c r="A130" s="2230"/>
      <c r="B130" s="2213"/>
      <c r="C130" s="2213"/>
      <c r="D130" s="2213"/>
      <c r="E130" s="2213"/>
      <c r="F130" s="2109"/>
      <c r="G130" s="2109"/>
      <c r="H130" s="2109"/>
      <c r="I130" s="2109"/>
      <c r="J130" s="2180"/>
      <c r="K130" s="2180"/>
      <c r="L130" s="2180"/>
      <c r="M130" s="2180"/>
      <c r="N130" s="2240"/>
      <c r="O130" s="2240"/>
      <c r="P130" s="2189"/>
      <c r="Q130" s="2189"/>
      <c r="R130" s="2109"/>
      <c r="S130" s="2109"/>
      <c r="T130" s="362">
        <f>'بند3-1مقاله علمي پژوهشيJCRو...'!H152</f>
        <v>0</v>
      </c>
      <c r="U130" s="362">
        <f>'بند3-1مقاله علمي پژوهشيJCRو...'!J152</f>
        <v>0</v>
      </c>
      <c r="V130" s="362">
        <f>'بند3-1مقاله علمي پژوهشيJCRو...'!F152</f>
        <v>0</v>
      </c>
      <c r="W130" s="362">
        <f>'بند3-1مقاله علمي پژوهشيJCRو...'!N152</f>
        <v>0</v>
      </c>
      <c r="X130" s="362">
        <f>'بند3-1مقاله علمي پژوهشيJCRو...'!L152</f>
        <v>0</v>
      </c>
      <c r="Y130" s="460">
        <f ca="1">'بند3-1مقاله علمي پژوهشيJCRو...'!S150</f>
        <v>0</v>
      </c>
    </row>
    <row r="131" spans="1:25" ht="34.5" customHeight="1">
      <c r="A131" s="2230">
        <f>'بند3-1مقاله علمي پژوهشيJCRو...'!A153</f>
        <v>0</v>
      </c>
      <c r="B131" s="2213">
        <f>'بند3-1مقاله علمي پژوهشيJCRو...'!B153</f>
        <v>0</v>
      </c>
      <c r="C131" s="2213"/>
      <c r="D131" s="2213"/>
      <c r="E131" s="2213"/>
      <c r="F131" s="2109">
        <f>'بند3-1مقاله علمي پژوهشيJCRو...'!F153</f>
        <v>0</v>
      </c>
      <c r="G131" s="2109"/>
      <c r="H131" s="2109"/>
      <c r="I131" s="2109"/>
      <c r="J131" s="2180">
        <f>'بند3-1مقاله علمي پژوهشيJCRو...'!P153</f>
        <v>0</v>
      </c>
      <c r="K131" s="2180"/>
      <c r="L131" s="2180"/>
      <c r="M131" s="2180"/>
      <c r="N131" s="2240">
        <f>'بند3-1مقاله علمي پژوهشيJCRو...'!I153</f>
        <v>0</v>
      </c>
      <c r="O131" s="2240">
        <f>'بند3-1مقاله علمي پژوهشيJCRو...'!O153</f>
        <v>0</v>
      </c>
      <c r="P131" s="2189">
        <f>'بند3-1مقاله علمي پژوهشيJCRو...'!J153</f>
        <v>0</v>
      </c>
      <c r="Q131" s="2189">
        <f>'بند3-1مقاله علمي پژوهشيJCRو...'!K153</f>
        <v>0</v>
      </c>
      <c r="R131" s="2109">
        <f>'بند3-1مقاله علمي پژوهشيJCRو...'!H153</f>
        <v>0</v>
      </c>
      <c r="S131" s="2109"/>
      <c r="T131" s="363" t="s">
        <v>762</v>
      </c>
      <c r="U131" s="363" t="s">
        <v>763</v>
      </c>
      <c r="V131" s="363" t="s">
        <v>764</v>
      </c>
      <c r="W131" s="359" t="s">
        <v>1315</v>
      </c>
      <c r="X131" s="359" t="s">
        <v>1316</v>
      </c>
      <c r="Y131" s="364" t="s">
        <v>765</v>
      </c>
    </row>
    <row r="132" spans="1:25" ht="34.5" customHeight="1" thickBot="1">
      <c r="A132" s="2230"/>
      <c r="B132" s="2213"/>
      <c r="C132" s="2213"/>
      <c r="D132" s="2213"/>
      <c r="E132" s="2213"/>
      <c r="F132" s="2109"/>
      <c r="G132" s="2109"/>
      <c r="H132" s="2109"/>
      <c r="I132" s="2109"/>
      <c r="J132" s="2180"/>
      <c r="K132" s="2180"/>
      <c r="L132" s="2180"/>
      <c r="M132" s="2180"/>
      <c r="N132" s="2240"/>
      <c r="O132" s="2240"/>
      <c r="P132" s="2189"/>
      <c r="Q132" s="2189"/>
      <c r="R132" s="2109"/>
      <c r="S132" s="2109"/>
      <c r="T132" s="362">
        <f>'بند3-1مقاله علمي پژوهشيJCRو...'!H155</f>
        <v>0</v>
      </c>
      <c r="U132" s="362">
        <f>'بند3-1مقاله علمي پژوهشيJCRو...'!J155</f>
        <v>0</v>
      </c>
      <c r="V132" s="362">
        <f>'بند3-1مقاله علمي پژوهشيJCRو...'!F155</f>
        <v>0</v>
      </c>
      <c r="W132" s="362">
        <f>'بند3-1مقاله علمي پژوهشيJCRو...'!N155</f>
        <v>0</v>
      </c>
      <c r="X132" s="362">
        <f>'بند3-1مقاله علمي پژوهشيJCRو...'!L155</f>
        <v>0</v>
      </c>
      <c r="Y132" s="460">
        <f ca="1">'بند3-1مقاله علمي پژوهشيJCRو...'!S153</f>
        <v>0</v>
      </c>
    </row>
    <row r="133" spans="1:25" ht="34.5" customHeight="1">
      <c r="A133" s="2230">
        <f>'بند3-1مقاله علمي پژوهشيJCRو...'!A156</f>
        <v>0</v>
      </c>
      <c r="B133" s="2213">
        <f>'بند3-1مقاله علمي پژوهشيJCRو...'!B156</f>
        <v>0</v>
      </c>
      <c r="C133" s="2213"/>
      <c r="D133" s="2213"/>
      <c r="E133" s="2213"/>
      <c r="F133" s="2109">
        <f>'بند3-1مقاله علمي پژوهشيJCRو...'!F156</f>
        <v>0</v>
      </c>
      <c r="G133" s="2109"/>
      <c r="H133" s="2109"/>
      <c r="I133" s="2109"/>
      <c r="J133" s="2180">
        <f>'بند3-1مقاله علمي پژوهشيJCRو...'!P156</f>
        <v>0</v>
      </c>
      <c r="K133" s="2180"/>
      <c r="L133" s="2180"/>
      <c r="M133" s="2180"/>
      <c r="N133" s="2240">
        <f>'بند3-1مقاله علمي پژوهشيJCRو...'!I156</f>
        <v>0</v>
      </c>
      <c r="O133" s="2240">
        <f>'بند3-1مقاله علمي پژوهشيJCRو...'!O156</f>
        <v>0</v>
      </c>
      <c r="P133" s="2189">
        <f>'بند3-1مقاله علمي پژوهشيJCRو...'!J156</f>
        <v>0</v>
      </c>
      <c r="Q133" s="2189">
        <f>'بند3-1مقاله علمي پژوهشيJCRو...'!K156</f>
        <v>0</v>
      </c>
      <c r="R133" s="2109">
        <f>'بند3-1مقاله علمي پژوهشيJCRو...'!H156</f>
        <v>0</v>
      </c>
      <c r="S133" s="2109"/>
      <c r="T133" s="363" t="s">
        <v>762</v>
      </c>
      <c r="U133" s="363" t="s">
        <v>763</v>
      </c>
      <c r="V133" s="363" t="s">
        <v>764</v>
      </c>
      <c r="W133" s="359" t="s">
        <v>1315</v>
      </c>
      <c r="X133" s="359" t="s">
        <v>1316</v>
      </c>
      <c r="Y133" s="364" t="s">
        <v>765</v>
      </c>
    </row>
    <row r="134" spans="1:25" ht="34.5" customHeight="1" thickBot="1">
      <c r="A134" s="2230"/>
      <c r="B134" s="2213"/>
      <c r="C134" s="2213"/>
      <c r="D134" s="2213"/>
      <c r="E134" s="2213"/>
      <c r="F134" s="2109"/>
      <c r="G134" s="2109"/>
      <c r="H134" s="2109"/>
      <c r="I134" s="2109"/>
      <c r="J134" s="2180"/>
      <c r="K134" s="2180"/>
      <c r="L134" s="2180"/>
      <c r="M134" s="2180"/>
      <c r="N134" s="2240"/>
      <c r="O134" s="2240"/>
      <c r="P134" s="2189"/>
      <c r="Q134" s="2189"/>
      <c r="R134" s="2109"/>
      <c r="S134" s="2109"/>
      <c r="T134" s="362">
        <f>'بند3-1مقاله علمي پژوهشيJCRو...'!H158</f>
        <v>0</v>
      </c>
      <c r="U134" s="362">
        <f>'بند3-1مقاله علمي پژوهشيJCRو...'!J158</f>
        <v>0</v>
      </c>
      <c r="V134" s="362">
        <f>'بند3-1مقاله علمي پژوهشيJCRو...'!F158</f>
        <v>0</v>
      </c>
      <c r="W134" s="362">
        <f>'بند3-1مقاله علمي پژوهشيJCRو...'!N158</f>
        <v>0</v>
      </c>
      <c r="X134" s="362">
        <f>'بند3-1مقاله علمي پژوهشيJCRو...'!L158</f>
        <v>0</v>
      </c>
      <c r="Y134" s="460">
        <f ca="1">'بند3-1مقاله علمي پژوهشيJCRو...'!S156</f>
        <v>0</v>
      </c>
    </row>
    <row r="135" spans="1:25" ht="34.5" customHeight="1">
      <c r="A135" s="2230">
        <f>'بند3-1مقاله علمي پژوهشيJCRو...'!A159</f>
        <v>0</v>
      </c>
      <c r="B135" s="2213">
        <f>'بند3-1مقاله علمي پژوهشيJCRو...'!B159</f>
        <v>0</v>
      </c>
      <c r="C135" s="2213"/>
      <c r="D135" s="2213"/>
      <c r="E135" s="2213"/>
      <c r="F135" s="2109">
        <f>'بند3-1مقاله علمي پژوهشيJCRو...'!F159</f>
        <v>0</v>
      </c>
      <c r="G135" s="2109"/>
      <c r="H135" s="2109"/>
      <c r="I135" s="2109"/>
      <c r="J135" s="2180">
        <f>'بند3-1مقاله علمي پژوهشيJCRو...'!P159</f>
        <v>0</v>
      </c>
      <c r="K135" s="2180"/>
      <c r="L135" s="2180"/>
      <c r="M135" s="2180"/>
      <c r="N135" s="2240">
        <f>'بند3-1مقاله علمي پژوهشيJCRو...'!I159</f>
        <v>0</v>
      </c>
      <c r="O135" s="2240">
        <f>'بند3-1مقاله علمي پژوهشيJCRو...'!O159</f>
        <v>0</v>
      </c>
      <c r="P135" s="2189">
        <f>'بند3-1مقاله علمي پژوهشيJCRو...'!J159</f>
        <v>0</v>
      </c>
      <c r="Q135" s="2189">
        <f>'بند3-1مقاله علمي پژوهشيJCRو...'!K159</f>
        <v>0</v>
      </c>
      <c r="R135" s="2109">
        <f>'بند3-1مقاله علمي پژوهشيJCRو...'!H159</f>
        <v>0</v>
      </c>
      <c r="S135" s="2109"/>
      <c r="T135" s="363" t="s">
        <v>762</v>
      </c>
      <c r="U135" s="363" t="s">
        <v>763</v>
      </c>
      <c r="V135" s="363" t="s">
        <v>764</v>
      </c>
      <c r="W135" s="359" t="s">
        <v>1315</v>
      </c>
      <c r="X135" s="359" t="s">
        <v>1316</v>
      </c>
      <c r="Y135" s="364" t="s">
        <v>765</v>
      </c>
    </row>
    <row r="136" spans="1:25" ht="34.5" customHeight="1" thickBot="1">
      <c r="A136" s="2230"/>
      <c r="B136" s="2213"/>
      <c r="C136" s="2213"/>
      <c r="D136" s="2213"/>
      <c r="E136" s="2213"/>
      <c r="F136" s="2109"/>
      <c r="G136" s="2109"/>
      <c r="H136" s="2109"/>
      <c r="I136" s="2109"/>
      <c r="J136" s="2180"/>
      <c r="K136" s="2180"/>
      <c r="L136" s="2180"/>
      <c r="M136" s="2180"/>
      <c r="N136" s="2240"/>
      <c r="O136" s="2240"/>
      <c r="P136" s="2189"/>
      <c r="Q136" s="2189"/>
      <c r="R136" s="2109"/>
      <c r="S136" s="2109"/>
      <c r="T136" s="362">
        <f>'بند3-1مقاله علمي پژوهشيJCRو...'!H161</f>
        <v>0</v>
      </c>
      <c r="U136" s="362">
        <f>'بند3-1مقاله علمي پژوهشيJCRو...'!J161</f>
        <v>0</v>
      </c>
      <c r="V136" s="362">
        <f>'بند3-1مقاله علمي پژوهشيJCRو...'!F161</f>
        <v>0</v>
      </c>
      <c r="W136" s="362">
        <f>'بند3-1مقاله علمي پژوهشيJCRو...'!N161</f>
        <v>0</v>
      </c>
      <c r="X136" s="362">
        <f>'بند3-1مقاله علمي پژوهشيJCRو...'!L161</f>
        <v>0</v>
      </c>
      <c r="Y136" s="460">
        <f ca="1">'بند3-1مقاله علمي پژوهشيJCRو...'!S159</f>
        <v>0</v>
      </c>
    </row>
    <row r="137" spans="1:25" ht="54.75" customHeight="1" thickBot="1">
      <c r="A137" s="367" t="s">
        <v>9</v>
      </c>
      <c r="B137" s="2242" t="s">
        <v>274</v>
      </c>
      <c r="C137" s="2243"/>
      <c r="D137" s="2243"/>
      <c r="E137" s="2244"/>
      <c r="F137" s="2242" t="s">
        <v>271</v>
      </c>
      <c r="G137" s="2243"/>
      <c r="H137" s="2243"/>
      <c r="I137" s="2244"/>
      <c r="J137" s="2102" t="s">
        <v>757</v>
      </c>
      <c r="K137" s="2103"/>
      <c r="L137" s="2103"/>
      <c r="M137" s="2104"/>
      <c r="N137" s="368" t="s">
        <v>275</v>
      </c>
      <c r="O137" s="369" t="s">
        <v>758</v>
      </c>
      <c r="P137" s="369" t="s">
        <v>759</v>
      </c>
      <c r="Q137" s="370" t="s">
        <v>784</v>
      </c>
      <c r="R137" s="2102" t="s">
        <v>760</v>
      </c>
      <c r="S137" s="2104"/>
      <c r="T137" s="2241" t="s">
        <v>761</v>
      </c>
      <c r="U137" s="2241"/>
      <c r="V137" s="2242" t="s">
        <v>13</v>
      </c>
      <c r="W137" s="2243"/>
      <c r="X137" s="2243"/>
      <c r="Y137" s="2193"/>
    </row>
    <row r="138" spans="1:25" ht="34.5" customHeight="1">
      <c r="A138" s="2230">
        <f>'بند3-1مقاله علمي پژوهشيJCRو...'!A162</f>
        <v>0</v>
      </c>
      <c r="B138" s="2213">
        <f>'بند3-1مقاله علمي پژوهشيJCRو...'!B162</f>
        <v>0</v>
      </c>
      <c r="C138" s="2213"/>
      <c r="D138" s="2213"/>
      <c r="E138" s="2213"/>
      <c r="F138" s="2109">
        <f>'بند3-1مقاله علمي پژوهشيJCRو...'!F162</f>
        <v>0</v>
      </c>
      <c r="G138" s="2109"/>
      <c r="H138" s="2109"/>
      <c r="I138" s="2109"/>
      <c r="J138" s="2180">
        <f>'بند3-1مقاله علمي پژوهشيJCRو...'!P162</f>
        <v>0</v>
      </c>
      <c r="K138" s="2180"/>
      <c r="L138" s="2180"/>
      <c r="M138" s="2180"/>
      <c r="N138" s="2240">
        <f>'بند3-1مقاله علمي پژوهشيJCRو...'!I162</f>
        <v>0</v>
      </c>
      <c r="O138" s="2240">
        <f>'بند3-1مقاله علمي پژوهشيJCRو...'!O162</f>
        <v>0</v>
      </c>
      <c r="P138" s="2189">
        <f>'بند3-1مقاله علمي پژوهشيJCRو...'!J162</f>
        <v>0</v>
      </c>
      <c r="Q138" s="2189">
        <f>'بند3-1مقاله علمي پژوهشيJCRو...'!K162</f>
        <v>0</v>
      </c>
      <c r="R138" s="2109">
        <f>'بند3-1مقاله علمي پژوهشيJCRو...'!H162</f>
        <v>0</v>
      </c>
      <c r="S138" s="2109"/>
      <c r="T138" s="363" t="s">
        <v>762</v>
      </c>
      <c r="U138" s="363" t="s">
        <v>763</v>
      </c>
      <c r="V138" s="363" t="s">
        <v>764</v>
      </c>
      <c r="W138" s="359" t="s">
        <v>1315</v>
      </c>
      <c r="X138" s="359" t="s">
        <v>1316</v>
      </c>
      <c r="Y138" s="364" t="s">
        <v>765</v>
      </c>
    </row>
    <row r="139" spans="1:25" ht="34.5" customHeight="1" thickBot="1">
      <c r="A139" s="2230"/>
      <c r="B139" s="2213"/>
      <c r="C139" s="2213"/>
      <c r="D139" s="2213"/>
      <c r="E139" s="2213"/>
      <c r="F139" s="2109"/>
      <c r="G139" s="2109"/>
      <c r="H139" s="2109"/>
      <c r="I139" s="2109"/>
      <c r="J139" s="2180"/>
      <c r="K139" s="2180"/>
      <c r="L139" s="2180"/>
      <c r="M139" s="2180"/>
      <c r="N139" s="2240"/>
      <c r="O139" s="2240"/>
      <c r="P139" s="2189"/>
      <c r="Q139" s="2189"/>
      <c r="R139" s="2109"/>
      <c r="S139" s="2109"/>
      <c r="T139" s="362">
        <f>'بند3-1مقاله علمي پژوهشيJCRو...'!H164</f>
        <v>0</v>
      </c>
      <c r="U139" s="362">
        <f>'بند3-1مقاله علمي پژوهشيJCRو...'!J164</f>
        <v>0</v>
      </c>
      <c r="V139" s="362">
        <f>'بند3-1مقاله علمي پژوهشيJCRو...'!F164</f>
        <v>0</v>
      </c>
      <c r="W139" s="362">
        <f>'بند3-1مقاله علمي پژوهشيJCRو...'!N164</f>
        <v>0</v>
      </c>
      <c r="X139" s="362">
        <f>'بند3-1مقاله علمي پژوهشيJCRو...'!L164</f>
        <v>0</v>
      </c>
      <c r="Y139" s="460">
        <f ca="1">'بند3-1مقاله علمي پژوهشيJCRو...'!S162</f>
        <v>0</v>
      </c>
    </row>
    <row r="140" spans="1:25" ht="34.5" customHeight="1">
      <c r="A140" s="2230">
        <f>'بند3-1مقاله علمي پژوهشيJCRو...'!A165</f>
        <v>0</v>
      </c>
      <c r="B140" s="2213">
        <f>'بند3-1مقاله علمي پژوهشيJCRو...'!B165</f>
        <v>0</v>
      </c>
      <c r="C140" s="2213"/>
      <c r="D140" s="2213"/>
      <c r="E140" s="2213"/>
      <c r="F140" s="2109">
        <f>'بند3-1مقاله علمي پژوهشيJCRو...'!F165</f>
        <v>0</v>
      </c>
      <c r="G140" s="2109"/>
      <c r="H140" s="2109"/>
      <c r="I140" s="2109"/>
      <c r="J140" s="2180">
        <f>'بند3-1مقاله علمي پژوهشيJCRو...'!P165</f>
        <v>0</v>
      </c>
      <c r="K140" s="2180"/>
      <c r="L140" s="2180"/>
      <c r="M140" s="2180"/>
      <c r="N140" s="2240">
        <f>'بند3-1مقاله علمي پژوهشيJCRو...'!I165</f>
        <v>0</v>
      </c>
      <c r="O140" s="2240">
        <f>'بند3-1مقاله علمي پژوهشيJCRو...'!O165</f>
        <v>0</v>
      </c>
      <c r="P140" s="2189">
        <f>'بند3-1مقاله علمي پژوهشيJCRو...'!J165</f>
        <v>0</v>
      </c>
      <c r="Q140" s="2189">
        <f>'بند3-1مقاله علمي پژوهشيJCRو...'!K165</f>
        <v>0</v>
      </c>
      <c r="R140" s="2109">
        <f>'بند3-1مقاله علمي پژوهشيJCRو...'!H165</f>
        <v>0</v>
      </c>
      <c r="S140" s="2109"/>
      <c r="T140" s="363" t="s">
        <v>762</v>
      </c>
      <c r="U140" s="363" t="s">
        <v>763</v>
      </c>
      <c r="V140" s="363" t="s">
        <v>764</v>
      </c>
      <c r="W140" s="359" t="s">
        <v>1315</v>
      </c>
      <c r="X140" s="359" t="s">
        <v>1316</v>
      </c>
      <c r="Y140" s="364" t="s">
        <v>765</v>
      </c>
    </row>
    <row r="141" spans="1:25" ht="34.5" customHeight="1" thickBot="1">
      <c r="A141" s="2230"/>
      <c r="B141" s="2213"/>
      <c r="C141" s="2213"/>
      <c r="D141" s="2213"/>
      <c r="E141" s="2213"/>
      <c r="F141" s="2109"/>
      <c r="G141" s="2109"/>
      <c r="H141" s="2109"/>
      <c r="I141" s="2109"/>
      <c r="J141" s="2180"/>
      <c r="K141" s="2180"/>
      <c r="L141" s="2180"/>
      <c r="M141" s="2180"/>
      <c r="N141" s="2240"/>
      <c r="O141" s="2240"/>
      <c r="P141" s="2189"/>
      <c r="Q141" s="2189"/>
      <c r="R141" s="2109"/>
      <c r="S141" s="2109"/>
      <c r="T141" s="362">
        <f>'بند3-1مقاله علمي پژوهشيJCRو...'!H167</f>
        <v>0</v>
      </c>
      <c r="U141" s="362">
        <f>'بند3-1مقاله علمي پژوهشيJCRو...'!J167</f>
        <v>0</v>
      </c>
      <c r="V141" s="362">
        <f>'بند3-1مقاله علمي پژوهشيJCRو...'!F167</f>
        <v>0</v>
      </c>
      <c r="W141" s="362">
        <f>'بند3-1مقاله علمي پژوهشيJCRو...'!N167</f>
        <v>0</v>
      </c>
      <c r="X141" s="362">
        <f>'بند3-1مقاله علمي پژوهشيJCRو...'!L167</f>
        <v>0</v>
      </c>
      <c r="Y141" s="460">
        <f ca="1">'بند3-1مقاله علمي پژوهشيJCRو...'!S165</f>
        <v>0</v>
      </c>
    </row>
    <row r="142" spans="1:25" ht="34.5" customHeight="1">
      <c r="A142" s="2230">
        <f>'بند3-1مقاله علمي پژوهشيJCRو...'!A168</f>
        <v>0</v>
      </c>
      <c r="B142" s="2213">
        <f>'بند3-1مقاله علمي پژوهشيJCRو...'!B168</f>
        <v>0</v>
      </c>
      <c r="C142" s="2213"/>
      <c r="D142" s="2213"/>
      <c r="E142" s="2213"/>
      <c r="F142" s="2109">
        <f>'بند3-1مقاله علمي پژوهشيJCRو...'!F168</f>
        <v>0</v>
      </c>
      <c r="G142" s="2109"/>
      <c r="H142" s="2109"/>
      <c r="I142" s="2109"/>
      <c r="J142" s="2180">
        <f>'بند3-1مقاله علمي پژوهشيJCRو...'!P168</f>
        <v>0</v>
      </c>
      <c r="K142" s="2180"/>
      <c r="L142" s="2180"/>
      <c r="M142" s="2180"/>
      <c r="N142" s="2240">
        <f>'بند3-1مقاله علمي پژوهشيJCRو...'!I168</f>
        <v>0</v>
      </c>
      <c r="O142" s="2240">
        <f>'بند3-1مقاله علمي پژوهشيJCRو...'!O168</f>
        <v>0</v>
      </c>
      <c r="P142" s="2189">
        <f>'بند3-1مقاله علمي پژوهشيJCRو...'!J168</f>
        <v>0</v>
      </c>
      <c r="Q142" s="2189">
        <f>'بند3-1مقاله علمي پژوهشيJCRو...'!K168</f>
        <v>0</v>
      </c>
      <c r="R142" s="2109">
        <f>'بند3-1مقاله علمي پژوهشيJCRو...'!H168</f>
        <v>0</v>
      </c>
      <c r="S142" s="2109"/>
      <c r="T142" s="363" t="s">
        <v>762</v>
      </c>
      <c r="U142" s="363" t="s">
        <v>763</v>
      </c>
      <c r="V142" s="363" t="s">
        <v>764</v>
      </c>
      <c r="W142" s="359" t="s">
        <v>1315</v>
      </c>
      <c r="X142" s="359" t="s">
        <v>1316</v>
      </c>
      <c r="Y142" s="364" t="s">
        <v>765</v>
      </c>
    </row>
    <row r="143" spans="1:25" ht="34.5" customHeight="1" thickBot="1">
      <c r="A143" s="2230"/>
      <c r="B143" s="2213"/>
      <c r="C143" s="2213"/>
      <c r="D143" s="2213"/>
      <c r="E143" s="2213"/>
      <c r="F143" s="2109"/>
      <c r="G143" s="2109"/>
      <c r="H143" s="2109"/>
      <c r="I143" s="2109"/>
      <c r="J143" s="2180"/>
      <c r="K143" s="2180"/>
      <c r="L143" s="2180"/>
      <c r="M143" s="2180"/>
      <c r="N143" s="2240"/>
      <c r="O143" s="2240"/>
      <c r="P143" s="2189"/>
      <c r="Q143" s="2189"/>
      <c r="R143" s="2109"/>
      <c r="S143" s="2109"/>
      <c r="T143" s="362">
        <f>'بند3-1مقاله علمي پژوهشيJCRو...'!H170</f>
        <v>0</v>
      </c>
      <c r="U143" s="362">
        <f>'بند3-1مقاله علمي پژوهشيJCRو...'!J170</f>
        <v>0</v>
      </c>
      <c r="V143" s="362">
        <f>'بند3-1مقاله علمي پژوهشيJCRو...'!F170</f>
        <v>0</v>
      </c>
      <c r="W143" s="362">
        <f>'بند3-1مقاله علمي پژوهشيJCRو...'!N170</f>
        <v>0</v>
      </c>
      <c r="X143" s="362">
        <f>'بند3-1مقاله علمي پژوهشيJCRو...'!L170</f>
        <v>0</v>
      </c>
      <c r="Y143" s="460">
        <f ca="1">'بند3-1مقاله علمي پژوهشيJCRو...'!S168</f>
        <v>0</v>
      </c>
    </row>
    <row r="144" spans="1:25" ht="34.5" customHeight="1">
      <c r="A144" s="2230">
        <f>'بند3-1مقاله علمي پژوهشيJCRو...'!A171</f>
        <v>0</v>
      </c>
      <c r="B144" s="2213">
        <f>'بند3-1مقاله علمي پژوهشيJCRو...'!B171</f>
        <v>0</v>
      </c>
      <c r="C144" s="2213"/>
      <c r="D144" s="2213"/>
      <c r="E144" s="2213"/>
      <c r="F144" s="2109">
        <f>'بند3-1مقاله علمي پژوهشيJCRو...'!F171</f>
        <v>0</v>
      </c>
      <c r="G144" s="2109"/>
      <c r="H144" s="2109"/>
      <c r="I144" s="2109"/>
      <c r="J144" s="2180">
        <f>'بند3-1مقاله علمي پژوهشيJCRو...'!P171</f>
        <v>0</v>
      </c>
      <c r="K144" s="2180"/>
      <c r="L144" s="2180"/>
      <c r="M144" s="2180"/>
      <c r="N144" s="2240">
        <f>'بند3-1مقاله علمي پژوهشيJCRو...'!I171</f>
        <v>0</v>
      </c>
      <c r="O144" s="2240">
        <f>'بند3-1مقاله علمي پژوهشيJCRو...'!O171</f>
        <v>0</v>
      </c>
      <c r="P144" s="2189">
        <f>'بند3-1مقاله علمي پژوهشيJCRو...'!J171</f>
        <v>0</v>
      </c>
      <c r="Q144" s="2189">
        <f>'بند3-1مقاله علمي پژوهشيJCRو...'!K171</f>
        <v>0</v>
      </c>
      <c r="R144" s="2109">
        <f>'بند3-1مقاله علمي پژوهشيJCRو...'!H171</f>
        <v>0</v>
      </c>
      <c r="S144" s="2109"/>
      <c r="T144" s="363" t="s">
        <v>762</v>
      </c>
      <c r="U144" s="363" t="s">
        <v>763</v>
      </c>
      <c r="V144" s="363" t="s">
        <v>764</v>
      </c>
      <c r="W144" s="359" t="s">
        <v>1315</v>
      </c>
      <c r="X144" s="359" t="s">
        <v>1316</v>
      </c>
      <c r="Y144" s="364" t="s">
        <v>765</v>
      </c>
    </row>
    <row r="145" spans="1:25" ht="34.5" customHeight="1" thickBot="1">
      <c r="A145" s="2230"/>
      <c r="B145" s="2213"/>
      <c r="C145" s="2213"/>
      <c r="D145" s="2213"/>
      <c r="E145" s="2213"/>
      <c r="F145" s="2109"/>
      <c r="G145" s="2109"/>
      <c r="H145" s="2109"/>
      <c r="I145" s="2109"/>
      <c r="J145" s="2180"/>
      <c r="K145" s="2180"/>
      <c r="L145" s="2180"/>
      <c r="M145" s="2180"/>
      <c r="N145" s="2240"/>
      <c r="O145" s="2240"/>
      <c r="P145" s="2189"/>
      <c r="Q145" s="2189"/>
      <c r="R145" s="2109"/>
      <c r="S145" s="2109"/>
      <c r="T145" s="362">
        <f>'بند3-1مقاله علمي پژوهشيJCRو...'!H173</f>
        <v>0</v>
      </c>
      <c r="U145" s="362">
        <f>'بند3-1مقاله علمي پژوهشيJCRو...'!J173</f>
        <v>0</v>
      </c>
      <c r="V145" s="362">
        <f>'بند3-1مقاله علمي پژوهشيJCRو...'!F173</f>
        <v>0</v>
      </c>
      <c r="W145" s="362">
        <f>'بند3-1مقاله علمي پژوهشيJCRو...'!N173</f>
        <v>0</v>
      </c>
      <c r="X145" s="362">
        <f>'بند3-1مقاله علمي پژوهشيJCRو...'!L173</f>
        <v>0</v>
      </c>
      <c r="Y145" s="460">
        <f ca="1">'بند3-1مقاله علمي پژوهشيJCRو...'!S171</f>
        <v>0</v>
      </c>
    </row>
    <row r="146" spans="1:25" ht="54.75" customHeight="1" thickBot="1">
      <c r="A146" s="367" t="s">
        <v>9</v>
      </c>
      <c r="B146" s="2242" t="s">
        <v>274</v>
      </c>
      <c r="C146" s="2243"/>
      <c r="D146" s="2243"/>
      <c r="E146" s="2244"/>
      <c r="F146" s="2242" t="s">
        <v>271</v>
      </c>
      <c r="G146" s="2243"/>
      <c r="H146" s="2243"/>
      <c r="I146" s="2244"/>
      <c r="J146" s="2102" t="s">
        <v>757</v>
      </c>
      <c r="K146" s="2103"/>
      <c r="L146" s="2103"/>
      <c r="M146" s="2104"/>
      <c r="N146" s="368" t="s">
        <v>275</v>
      </c>
      <c r="O146" s="369" t="s">
        <v>758</v>
      </c>
      <c r="P146" s="369" t="s">
        <v>759</v>
      </c>
      <c r="Q146" s="370" t="s">
        <v>784</v>
      </c>
      <c r="R146" s="2102" t="s">
        <v>760</v>
      </c>
      <c r="S146" s="2104"/>
      <c r="T146" s="2241" t="s">
        <v>761</v>
      </c>
      <c r="U146" s="2241"/>
      <c r="V146" s="2242" t="s">
        <v>13</v>
      </c>
      <c r="W146" s="2243"/>
      <c r="X146" s="2243"/>
      <c r="Y146" s="2193"/>
    </row>
    <row r="147" spans="1:25" ht="34.5" customHeight="1">
      <c r="A147" s="2230">
        <f>'بند3-1مقاله علمي پژوهشيJCRو...'!A174</f>
        <v>0</v>
      </c>
      <c r="B147" s="2213">
        <f>'بند3-1مقاله علمي پژوهشيJCRو...'!B174</f>
        <v>0</v>
      </c>
      <c r="C147" s="2213"/>
      <c r="D147" s="2213"/>
      <c r="E147" s="2213"/>
      <c r="F147" s="2109">
        <f>'بند3-1مقاله علمي پژوهشيJCRو...'!F174</f>
        <v>0</v>
      </c>
      <c r="G147" s="2109"/>
      <c r="H147" s="2109"/>
      <c r="I147" s="2109"/>
      <c r="J147" s="2180">
        <f>'بند3-1مقاله علمي پژوهشيJCRو...'!P174</f>
        <v>0</v>
      </c>
      <c r="K147" s="2180"/>
      <c r="L147" s="2180"/>
      <c r="M147" s="2180"/>
      <c r="N147" s="2240">
        <f>'بند3-1مقاله علمي پژوهشيJCRو...'!I174</f>
        <v>0</v>
      </c>
      <c r="O147" s="2240">
        <f>'بند3-1مقاله علمي پژوهشيJCRو...'!O174</f>
        <v>0</v>
      </c>
      <c r="P147" s="2189">
        <f>'بند3-1مقاله علمي پژوهشيJCRو...'!J174</f>
        <v>0</v>
      </c>
      <c r="Q147" s="2189">
        <f>'بند3-1مقاله علمي پژوهشيJCRو...'!K174</f>
        <v>0</v>
      </c>
      <c r="R147" s="2109">
        <f>'بند3-1مقاله علمي پژوهشيJCRو...'!H174</f>
        <v>0</v>
      </c>
      <c r="S147" s="2109"/>
      <c r="T147" s="363" t="s">
        <v>762</v>
      </c>
      <c r="U147" s="363" t="s">
        <v>763</v>
      </c>
      <c r="V147" s="363" t="s">
        <v>764</v>
      </c>
      <c r="W147" s="359" t="s">
        <v>1315</v>
      </c>
      <c r="X147" s="359" t="s">
        <v>1316</v>
      </c>
      <c r="Y147" s="364" t="s">
        <v>765</v>
      </c>
    </row>
    <row r="148" spans="1:25" ht="34.5" customHeight="1" thickBot="1">
      <c r="A148" s="2230"/>
      <c r="B148" s="2213"/>
      <c r="C148" s="2213"/>
      <c r="D148" s="2213"/>
      <c r="E148" s="2213"/>
      <c r="F148" s="2109"/>
      <c r="G148" s="2109"/>
      <c r="H148" s="2109"/>
      <c r="I148" s="2109"/>
      <c r="J148" s="2180"/>
      <c r="K148" s="2180"/>
      <c r="L148" s="2180"/>
      <c r="M148" s="2180"/>
      <c r="N148" s="2240"/>
      <c r="O148" s="2240"/>
      <c r="P148" s="2189"/>
      <c r="Q148" s="2189"/>
      <c r="R148" s="2109"/>
      <c r="S148" s="2109"/>
      <c r="T148" s="362">
        <f>'بند3-1مقاله علمي پژوهشيJCRو...'!H176</f>
        <v>0</v>
      </c>
      <c r="U148" s="362">
        <f>'بند3-1مقاله علمي پژوهشيJCRو...'!J176</f>
        <v>0</v>
      </c>
      <c r="V148" s="362">
        <f>'بند3-1مقاله علمي پژوهشيJCRو...'!F176</f>
        <v>0</v>
      </c>
      <c r="W148" s="362">
        <f>'بند3-1مقاله علمي پژوهشيJCRو...'!N176</f>
        <v>0</v>
      </c>
      <c r="X148" s="362">
        <f>'بند3-1مقاله علمي پژوهشيJCRو...'!L176</f>
        <v>0</v>
      </c>
      <c r="Y148" s="460">
        <f ca="1">'بند3-1مقاله علمي پژوهشيJCRو...'!S174</f>
        <v>0</v>
      </c>
    </row>
    <row r="149" spans="1:25" ht="34.5" customHeight="1">
      <c r="A149" s="2230">
        <f>'بند3-1مقاله علمي پژوهشيJCRو...'!A177</f>
        <v>0</v>
      </c>
      <c r="B149" s="2213">
        <f>'بند3-1مقاله علمي پژوهشيJCRو...'!B177</f>
        <v>0</v>
      </c>
      <c r="C149" s="2213"/>
      <c r="D149" s="2213"/>
      <c r="E149" s="2213"/>
      <c r="F149" s="2109">
        <f>'بند3-1مقاله علمي پژوهشيJCRو...'!F177</f>
        <v>0</v>
      </c>
      <c r="G149" s="2109"/>
      <c r="H149" s="2109"/>
      <c r="I149" s="2109"/>
      <c r="J149" s="2180">
        <f>'بند3-1مقاله علمي پژوهشيJCRو...'!P177</f>
        <v>0</v>
      </c>
      <c r="K149" s="2180"/>
      <c r="L149" s="2180"/>
      <c r="M149" s="2180"/>
      <c r="N149" s="2240">
        <f>'بند3-1مقاله علمي پژوهشيJCRو...'!I177</f>
        <v>0</v>
      </c>
      <c r="O149" s="2240">
        <f>'بند3-1مقاله علمي پژوهشيJCRو...'!O177</f>
        <v>0</v>
      </c>
      <c r="P149" s="2189">
        <f>'بند3-1مقاله علمي پژوهشيJCRو...'!J177</f>
        <v>0</v>
      </c>
      <c r="Q149" s="2189">
        <f>'بند3-1مقاله علمي پژوهشيJCRو...'!K177</f>
        <v>0</v>
      </c>
      <c r="R149" s="2109">
        <f>'بند3-1مقاله علمي پژوهشيJCRو...'!H177</f>
        <v>0</v>
      </c>
      <c r="S149" s="2109"/>
      <c r="T149" s="363" t="s">
        <v>762</v>
      </c>
      <c r="U149" s="363" t="s">
        <v>763</v>
      </c>
      <c r="V149" s="363" t="s">
        <v>764</v>
      </c>
      <c r="W149" s="359" t="s">
        <v>1315</v>
      </c>
      <c r="X149" s="359" t="s">
        <v>1316</v>
      </c>
      <c r="Y149" s="364" t="s">
        <v>765</v>
      </c>
    </row>
    <row r="150" spans="1:25" ht="34.5" customHeight="1" thickBot="1">
      <c r="A150" s="2230"/>
      <c r="B150" s="2213"/>
      <c r="C150" s="2213"/>
      <c r="D150" s="2213"/>
      <c r="E150" s="2213"/>
      <c r="F150" s="2109"/>
      <c r="G150" s="2109"/>
      <c r="H150" s="2109"/>
      <c r="I150" s="2109"/>
      <c r="J150" s="2180"/>
      <c r="K150" s="2180"/>
      <c r="L150" s="2180"/>
      <c r="M150" s="2180"/>
      <c r="N150" s="2240"/>
      <c r="O150" s="2240"/>
      <c r="P150" s="2189"/>
      <c r="Q150" s="2189"/>
      <c r="R150" s="2109"/>
      <c r="S150" s="2109"/>
      <c r="T150" s="362">
        <f>'بند3-1مقاله علمي پژوهشيJCRو...'!H179</f>
        <v>0</v>
      </c>
      <c r="U150" s="362">
        <f>'بند3-1مقاله علمي پژوهشيJCRو...'!J179</f>
        <v>0</v>
      </c>
      <c r="V150" s="362">
        <f>'بند3-1مقاله علمي پژوهشيJCRو...'!F179</f>
        <v>0</v>
      </c>
      <c r="W150" s="362">
        <f>'بند3-1مقاله علمي پژوهشيJCRو...'!N179</f>
        <v>0</v>
      </c>
      <c r="X150" s="362">
        <f>'بند3-1مقاله علمي پژوهشيJCRو...'!L179</f>
        <v>0</v>
      </c>
      <c r="Y150" s="460">
        <f ca="1">'بند3-1مقاله علمي پژوهشيJCRو...'!S177</f>
        <v>0</v>
      </c>
    </row>
    <row r="151" spans="1:25" ht="34.5" customHeight="1">
      <c r="A151" s="2230">
        <f>'بند3-1مقاله علمي پژوهشيJCRو...'!A180</f>
        <v>0</v>
      </c>
      <c r="B151" s="2213">
        <f>'بند3-1مقاله علمي پژوهشيJCRو...'!B180</f>
        <v>0</v>
      </c>
      <c r="C151" s="2213"/>
      <c r="D151" s="2213"/>
      <c r="E151" s="2213"/>
      <c r="F151" s="2109">
        <f>'بند3-1مقاله علمي پژوهشيJCRو...'!F180</f>
        <v>0</v>
      </c>
      <c r="G151" s="2109"/>
      <c r="H151" s="2109"/>
      <c r="I151" s="2109"/>
      <c r="J151" s="2180">
        <f>'بند3-1مقاله علمي پژوهشيJCRو...'!P180</f>
        <v>0</v>
      </c>
      <c r="K151" s="2180"/>
      <c r="L151" s="2180"/>
      <c r="M151" s="2180"/>
      <c r="N151" s="2240">
        <f>'بند3-1مقاله علمي پژوهشيJCRو...'!I180</f>
        <v>0</v>
      </c>
      <c r="O151" s="2240">
        <f>'بند3-1مقاله علمي پژوهشيJCRو...'!O180</f>
        <v>0</v>
      </c>
      <c r="P151" s="2189">
        <f>'بند3-1مقاله علمي پژوهشيJCRو...'!J180</f>
        <v>0</v>
      </c>
      <c r="Q151" s="2189">
        <f>'بند3-1مقاله علمي پژوهشيJCRو...'!K180</f>
        <v>0</v>
      </c>
      <c r="R151" s="2109">
        <f>'بند3-1مقاله علمي پژوهشيJCRو...'!H180</f>
        <v>0</v>
      </c>
      <c r="S151" s="2109"/>
      <c r="T151" s="363" t="s">
        <v>762</v>
      </c>
      <c r="U151" s="363" t="s">
        <v>763</v>
      </c>
      <c r="V151" s="363" t="s">
        <v>764</v>
      </c>
      <c r="W151" s="359" t="s">
        <v>1315</v>
      </c>
      <c r="X151" s="359" t="s">
        <v>1316</v>
      </c>
      <c r="Y151" s="364" t="s">
        <v>765</v>
      </c>
    </row>
    <row r="152" spans="1:25" ht="34.5" customHeight="1" thickBot="1">
      <c r="A152" s="2230"/>
      <c r="B152" s="2213"/>
      <c r="C152" s="2213"/>
      <c r="D152" s="2213"/>
      <c r="E152" s="2213"/>
      <c r="F152" s="2109"/>
      <c r="G152" s="2109"/>
      <c r="H152" s="2109"/>
      <c r="I152" s="2109"/>
      <c r="J152" s="2180"/>
      <c r="K152" s="2180"/>
      <c r="L152" s="2180"/>
      <c r="M152" s="2180"/>
      <c r="N152" s="2240"/>
      <c r="O152" s="2240"/>
      <c r="P152" s="2189"/>
      <c r="Q152" s="2189"/>
      <c r="R152" s="2109"/>
      <c r="S152" s="2109"/>
      <c r="T152" s="362">
        <f>'بند3-1مقاله علمي پژوهشيJCRو...'!H182</f>
        <v>0</v>
      </c>
      <c r="U152" s="362">
        <f>'بند3-1مقاله علمي پژوهشيJCRو...'!J182</f>
        <v>0</v>
      </c>
      <c r="V152" s="362">
        <f>'بند3-1مقاله علمي پژوهشيJCRو...'!F182</f>
        <v>0</v>
      </c>
      <c r="W152" s="362">
        <f>'بند3-1مقاله علمي پژوهشيJCRو...'!N182</f>
        <v>0</v>
      </c>
      <c r="X152" s="362">
        <f>'بند3-1مقاله علمي پژوهشيJCRو...'!L182</f>
        <v>0</v>
      </c>
      <c r="Y152" s="460">
        <f ca="1">'بند3-1مقاله علمي پژوهشيJCRو...'!S180</f>
        <v>0</v>
      </c>
    </row>
    <row r="153" spans="1:25" ht="34.5" customHeight="1">
      <c r="A153" s="2230">
        <f>'بند3-1مقاله علمي پژوهشيJCRو...'!A183</f>
        <v>0</v>
      </c>
      <c r="B153" s="2213">
        <f>'بند3-1مقاله علمي پژوهشيJCRو...'!B183</f>
        <v>0</v>
      </c>
      <c r="C153" s="2213"/>
      <c r="D153" s="2213"/>
      <c r="E153" s="2213"/>
      <c r="F153" s="2109">
        <f>'بند3-1مقاله علمي پژوهشيJCRو...'!F183</f>
        <v>0</v>
      </c>
      <c r="G153" s="2109"/>
      <c r="H153" s="2109"/>
      <c r="I153" s="2109"/>
      <c r="J153" s="2180">
        <f>'بند3-1مقاله علمي پژوهشيJCRو...'!P183</f>
        <v>0</v>
      </c>
      <c r="K153" s="2180"/>
      <c r="L153" s="2180"/>
      <c r="M153" s="2180"/>
      <c r="N153" s="2240">
        <f>'بند3-1مقاله علمي پژوهشيJCRو...'!I183</f>
        <v>0</v>
      </c>
      <c r="O153" s="2240">
        <f>'بند3-1مقاله علمي پژوهشيJCRو...'!O183</f>
        <v>0</v>
      </c>
      <c r="P153" s="2189">
        <f>'بند3-1مقاله علمي پژوهشيJCRو...'!J183</f>
        <v>0</v>
      </c>
      <c r="Q153" s="2189">
        <f>'بند3-1مقاله علمي پژوهشيJCRو...'!K183</f>
        <v>0</v>
      </c>
      <c r="R153" s="2109">
        <f>'بند3-1مقاله علمي پژوهشيJCRو...'!H183</f>
        <v>0</v>
      </c>
      <c r="S153" s="2109"/>
      <c r="T153" s="363" t="s">
        <v>762</v>
      </c>
      <c r="U153" s="363" t="s">
        <v>763</v>
      </c>
      <c r="V153" s="363" t="s">
        <v>764</v>
      </c>
      <c r="W153" s="359" t="s">
        <v>1315</v>
      </c>
      <c r="X153" s="359" t="s">
        <v>1316</v>
      </c>
      <c r="Y153" s="364" t="s">
        <v>765</v>
      </c>
    </row>
    <row r="154" spans="1:25" ht="34.5" customHeight="1" thickBot="1">
      <c r="A154" s="2230"/>
      <c r="B154" s="2213"/>
      <c r="C154" s="2213"/>
      <c r="D154" s="2213"/>
      <c r="E154" s="2213"/>
      <c r="F154" s="2109"/>
      <c r="G154" s="2109"/>
      <c r="H154" s="2109"/>
      <c r="I154" s="2109"/>
      <c r="J154" s="2180"/>
      <c r="K154" s="2180"/>
      <c r="L154" s="2180"/>
      <c r="M154" s="2180"/>
      <c r="N154" s="2240"/>
      <c r="O154" s="2240"/>
      <c r="P154" s="2189"/>
      <c r="Q154" s="2189"/>
      <c r="R154" s="2109"/>
      <c r="S154" s="2109"/>
      <c r="T154" s="362">
        <f>'بند3-1مقاله علمي پژوهشيJCRو...'!H185</f>
        <v>0</v>
      </c>
      <c r="U154" s="362">
        <f>'بند3-1مقاله علمي پژوهشيJCRو...'!J185</f>
        <v>0</v>
      </c>
      <c r="V154" s="362">
        <f>'بند3-1مقاله علمي پژوهشيJCRو...'!F185</f>
        <v>0</v>
      </c>
      <c r="W154" s="362">
        <f>'بند3-1مقاله علمي پژوهشيJCRو...'!N185</f>
        <v>0</v>
      </c>
      <c r="X154" s="362">
        <f>'بند3-1مقاله علمي پژوهشيJCRو...'!L185</f>
        <v>0</v>
      </c>
      <c r="Y154" s="460">
        <f ca="1">'بند3-1مقاله علمي پژوهشيJCRو...'!S183</f>
        <v>0</v>
      </c>
    </row>
    <row r="155" spans="1:25" ht="54.75" customHeight="1" thickBot="1">
      <c r="A155" s="367" t="s">
        <v>9</v>
      </c>
      <c r="B155" s="2242" t="s">
        <v>274</v>
      </c>
      <c r="C155" s="2243"/>
      <c r="D155" s="2243"/>
      <c r="E155" s="2244"/>
      <c r="F155" s="2242" t="s">
        <v>271</v>
      </c>
      <c r="G155" s="2243"/>
      <c r="H155" s="2243"/>
      <c r="I155" s="2244"/>
      <c r="J155" s="2102" t="s">
        <v>757</v>
      </c>
      <c r="K155" s="2103"/>
      <c r="L155" s="2103"/>
      <c r="M155" s="2104"/>
      <c r="N155" s="368" t="s">
        <v>275</v>
      </c>
      <c r="O155" s="369" t="s">
        <v>758</v>
      </c>
      <c r="P155" s="369" t="s">
        <v>759</v>
      </c>
      <c r="Q155" s="370" t="s">
        <v>784</v>
      </c>
      <c r="R155" s="2102" t="s">
        <v>760</v>
      </c>
      <c r="S155" s="2104"/>
      <c r="T155" s="2241" t="s">
        <v>761</v>
      </c>
      <c r="U155" s="2241"/>
      <c r="V155" s="2242" t="s">
        <v>13</v>
      </c>
      <c r="W155" s="2243"/>
      <c r="X155" s="2243"/>
      <c r="Y155" s="2193"/>
    </row>
    <row r="156" spans="1:25" ht="34.5" customHeight="1">
      <c r="A156" s="2230">
        <f>'بند3-1مقاله علمي پژوهشيJCRو...'!A186</f>
        <v>0</v>
      </c>
      <c r="B156" s="2213">
        <f>'بند3-1مقاله علمي پژوهشيJCRو...'!B186</f>
        <v>0</v>
      </c>
      <c r="C156" s="2213"/>
      <c r="D156" s="2213"/>
      <c r="E156" s="2213"/>
      <c r="F156" s="2109">
        <f>'بند3-1مقاله علمي پژوهشيJCRو...'!F186</f>
        <v>0</v>
      </c>
      <c r="G156" s="2109"/>
      <c r="H156" s="2109"/>
      <c r="I156" s="2109"/>
      <c r="J156" s="2180">
        <f>'بند3-1مقاله علمي پژوهشيJCRو...'!P186</f>
        <v>0</v>
      </c>
      <c r="K156" s="2180"/>
      <c r="L156" s="2180"/>
      <c r="M156" s="2180"/>
      <c r="N156" s="2240">
        <f>'بند3-1مقاله علمي پژوهشيJCRو...'!I186</f>
        <v>0</v>
      </c>
      <c r="O156" s="2240">
        <f>'بند3-1مقاله علمي پژوهشيJCRو...'!O186</f>
        <v>0</v>
      </c>
      <c r="P156" s="2189">
        <f>'بند3-1مقاله علمي پژوهشيJCRو...'!J186</f>
        <v>0</v>
      </c>
      <c r="Q156" s="2189">
        <f>'بند3-1مقاله علمي پژوهشيJCRو...'!K186</f>
        <v>0</v>
      </c>
      <c r="R156" s="2109">
        <f>'بند3-1مقاله علمي پژوهشيJCRو...'!H186</f>
        <v>0</v>
      </c>
      <c r="S156" s="2109"/>
      <c r="T156" s="363" t="s">
        <v>762</v>
      </c>
      <c r="U156" s="363" t="s">
        <v>763</v>
      </c>
      <c r="V156" s="363" t="s">
        <v>764</v>
      </c>
      <c r="W156" s="359" t="s">
        <v>1315</v>
      </c>
      <c r="X156" s="359" t="s">
        <v>1316</v>
      </c>
      <c r="Y156" s="364" t="s">
        <v>765</v>
      </c>
    </row>
    <row r="157" spans="1:25" ht="34.5" customHeight="1" thickBot="1">
      <c r="A157" s="2230"/>
      <c r="B157" s="2213"/>
      <c r="C157" s="2213"/>
      <c r="D157" s="2213"/>
      <c r="E157" s="2213"/>
      <c r="F157" s="2109"/>
      <c r="G157" s="2109"/>
      <c r="H157" s="2109"/>
      <c r="I157" s="2109"/>
      <c r="J157" s="2180"/>
      <c r="K157" s="2180"/>
      <c r="L157" s="2180"/>
      <c r="M157" s="2180"/>
      <c r="N157" s="2240"/>
      <c r="O157" s="2240"/>
      <c r="P157" s="2189"/>
      <c r="Q157" s="2189"/>
      <c r="R157" s="2109"/>
      <c r="S157" s="2109"/>
      <c r="T157" s="362">
        <f>'بند3-1مقاله علمي پژوهشيJCRو...'!H188</f>
        <v>0</v>
      </c>
      <c r="U157" s="362">
        <f>'بند3-1مقاله علمي پژوهشيJCRو...'!J188</f>
        <v>0</v>
      </c>
      <c r="V157" s="362">
        <f>'بند3-1مقاله علمي پژوهشيJCRو...'!F188</f>
        <v>0</v>
      </c>
      <c r="W157" s="362">
        <f>'بند3-1مقاله علمي پژوهشيJCRو...'!N188</f>
        <v>0</v>
      </c>
      <c r="X157" s="362">
        <f>'بند3-1مقاله علمي پژوهشيJCRو...'!L188</f>
        <v>0</v>
      </c>
      <c r="Y157" s="460">
        <f ca="1">'بند3-1مقاله علمي پژوهشيJCRو...'!S186</f>
        <v>0</v>
      </c>
    </row>
    <row r="158" spans="1:25" ht="34.5" customHeight="1">
      <c r="A158" s="2230">
        <f>'بند3-1مقاله علمي پژوهشيJCRو...'!A189</f>
        <v>0</v>
      </c>
      <c r="B158" s="2213">
        <f>'بند3-1مقاله علمي پژوهشيJCRو...'!B189</f>
        <v>0</v>
      </c>
      <c r="C158" s="2213"/>
      <c r="D158" s="2213"/>
      <c r="E158" s="2213"/>
      <c r="F158" s="2109">
        <f>'بند3-1مقاله علمي پژوهشيJCRو...'!F189</f>
        <v>0</v>
      </c>
      <c r="G158" s="2109"/>
      <c r="H158" s="2109"/>
      <c r="I158" s="2109"/>
      <c r="J158" s="2180">
        <f>'بند3-1مقاله علمي پژوهشيJCRو...'!P189</f>
        <v>0</v>
      </c>
      <c r="K158" s="2180"/>
      <c r="L158" s="2180"/>
      <c r="M158" s="2180"/>
      <c r="N158" s="2240">
        <f>'بند3-1مقاله علمي پژوهشيJCRو...'!I189</f>
        <v>0</v>
      </c>
      <c r="O158" s="2240">
        <f>'بند3-1مقاله علمي پژوهشيJCRو...'!O189</f>
        <v>0</v>
      </c>
      <c r="P158" s="2189">
        <f>'بند3-1مقاله علمي پژوهشيJCRو...'!J189</f>
        <v>0</v>
      </c>
      <c r="Q158" s="2189">
        <f>'بند3-1مقاله علمي پژوهشيJCRو...'!K189</f>
        <v>0</v>
      </c>
      <c r="R158" s="2109">
        <f>'بند3-1مقاله علمي پژوهشيJCRو...'!H189</f>
        <v>0</v>
      </c>
      <c r="S158" s="2109"/>
      <c r="T158" s="363" t="s">
        <v>762</v>
      </c>
      <c r="U158" s="363" t="s">
        <v>763</v>
      </c>
      <c r="V158" s="363" t="s">
        <v>764</v>
      </c>
      <c r="W158" s="359" t="s">
        <v>1315</v>
      </c>
      <c r="X158" s="359" t="s">
        <v>1316</v>
      </c>
      <c r="Y158" s="364" t="s">
        <v>765</v>
      </c>
    </row>
    <row r="159" spans="1:25" ht="34.5" customHeight="1" thickBot="1">
      <c r="A159" s="2230"/>
      <c r="B159" s="2213"/>
      <c r="C159" s="2213"/>
      <c r="D159" s="2213"/>
      <c r="E159" s="2213"/>
      <c r="F159" s="2109"/>
      <c r="G159" s="2109"/>
      <c r="H159" s="2109"/>
      <c r="I159" s="2109"/>
      <c r="J159" s="2180"/>
      <c r="K159" s="2180"/>
      <c r="L159" s="2180"/>
      <c r="M159" s="2180"/>
      <c r="N159" s="2240"/>
      <c r="O159" s="2240"/>
      <c r="P159" s="2189"/>
      <c r="Q159" s="2189"/>
      <c r="R159" s="2109"/>
      <c r="S159" s="2109"/>
      <c r="T159" s="362">
        <f>'بند3-1مقاله علمي پژوهشيJCRو...'!H191</f>
        <v>0</v>
      </c>
      <c r="U159" s="362">
        <f>'بند3-1مقاله علمي پژوهشيJCRو...'!J191</f>
        <v>0</v>
      </c>
      <c r="V159" s="362">
        <f>'بند3-1مقاله علمي پژوهشيJCRو...'!F191</f>
        <v>0</v>
      </c>
      <c r="W159" s="362">
        <f>'بند3-1مقاله علمي پژوهشيJCRو...'!N191</f>
        <v>0</v>
      </c>
      <c r="X159" s="362">
        <f>'بند3-1مقاله علمي پژوهشيJCRو...'!L191</f>
        <v>0</v>
      </c>
      <c r="Y159" s="460">
        <f ca="1">'بند3-1مقاله علمي پژوهشيJCRو...'!S189</f>
        <v>0</v>
      </c>
    </row>
    <row r="160" spans="1:25" ht="34.5" customHeight="1">
      <c r="A160" s="2230">
        <f>'بند3-1مقاله علمي پژوهشيJCRو...'!A192</f>
        <v>0</v>
      </c>
      <c r="B160" s="2213">
        <f>'بند3-1مقاله علمي پژوهشيJCRو...'!B192</f>
        <v>0</v>
      </c>
      <c r="C160" s="2213"/>
      <c r="D160" s="2213"/>
      <c r="E160" s="2213"/>
      <c r="F160" s="2109">
        <f>'بند3-1مقاله علمي پژوهشيJCRو...'!F192</f>
        <v>0</v>
      </c>
      <c r="G160" s="2109"/>
      <c r="H160" s="2109"/>
      <c r="I160" s="2109"/>
      <c r="J160" s="2180">
        <f>'بند3-1مقاله علمي پژوهشيJCRو...'!P192</f>
        <v>0</v>
      </c>
      <c r="K160" s="2180"/>
      <c r="L160" s="2180"/>
      <c r="M160" s="2180"/>
      <c r="N160" s="2240">
        <f>'بند3-1مقاله علمي پژوهشيJCRو...'!I192</f>
        <v>0</v>
      </c>
      <c r="O160" s="2240">
        <f>'بند3-1مقاله علمي پژوهشيJCRو...'!O192</f>
        <v>0</v>
      </c>
      <c r="P160" s="2189">
        <f>'بند3-1مقاله علمي پژوهشيJCRو...'!J192</f>
        <v>0</v>
      </c>
      <c r="Q160" s="2189">
        <f>'بند3-1مقاله علمي پژوهشيJCRو...'!K192</f>
        <v>0</v>
      </c>
      <c r="R160" s="2109">
        <f>'بند3-1مقاله علمي پژوهشيJCRو...'!H192</f>
        <v>0</v>
      </c>
      <c r="S160" s="2109"/>
      <c r="T160" s="363" t="s">
        <v>762</v>
      </c>
      <c r="U160" s="363" t="s">
        <v>763</v>
      </c>
      <c r="V160" s="363" t="s">
        <v>764</v>
      </c>
      <c r="W160" s="359" t="s">
        <v>1315</v>
      </c>
      <c r="X160" s="359" t="s">
        <v>1316</v>
      </c>
      <c r="Y160" s="364" t="s">
        <v>765</v>
      </c>
    </row>
    <row r="161" spans="1:25" ht="34.5" customHeight="1" thickBot="1">
      <c r="A161" s="2230"/>
      <c r="B161" s="2213"/>
      <c r="C161" s="2213"/>
      <c r="D161" s="2213"/>
      <c r="E161" s="2213"/>
      <c r="F161" s="2109"/>
      <c r="G161" s="2109"/>
      <c r="H161" s="2109"/>
      <c r="I161" s="2109"/>
      <c r="J161" s="2180"/>
      <c r="K161" s="2180"/>
      <c r="L161" s="2180"/>
      <c r="M161" s="2180"/>
      <c r="N161" s="2240"/>
      <c r="O161" s="2240"/>
      <c r="P161" s="2189"/>
      <c r="Q161" s="2189"/>
      <c r="R161" s="2109"/>
      <c r="S161" s="2109"/>
      <c r="T161" s="362">
        <f>'بند3-1مقاله علمي پژوهشيJCRو...'!H194</f>
        <v>0</v>
      </c>
      <c r="U161" s="362">
        <f>'بند3-1مقاله علمي پژوهشيJCRو...'!J194</f>
        <v>0</v>
      </c>
      <c r="V161" s="362">
        <f>'بند3-1مقاله علمي پژوهشيJCRو...'!F194</f>
        <v>0</v>
      </c>
      <c r="W161" s="362">
        <f>'بند3-1مقاله علمي پژوهشيJCRو...'!N194</f>
        <v>0</v>
      </c>
      <c r="X161" s="362">
        <f>'بند3-1مقاله علمي پژوهشيJCRو...'!L194</f>
        <v>0</v>
      </c>
      <c r="Y161" s="460">
        <f ca="1">'بند3-1مقاله علمي پژوهشيJCRو...'!S192</f>
        <v>0</v>
      </c>
    </row>
    <row r="162" spans="1:25" ht="34.5" customHeight="1">
      <c r="A162" s="2230">
        <f>'بند3-1مقاله علمي پژوهشيJCRو...'!A195</f>
        <v>0</v>
      </c>
      <c r="B162" s="2213">
        <f>'بند3-1مقاله علمي پژوهشيJCRو...'!B195</f>
        <v>0</v>
      </c>
      <c r="C162" s="2213"/>
      <c r="D162" s="2213"/>
      <c r="E162" s="2213"/>
      <c r="F162" s="2109">
        <f>'بند3-1مقاله علمي پژوهشيJCRو...'!F195</f>
        <v>0</v>
      </c>
      <c r="G162" s="2109"/>
      <c r="H162" s="2109"/>
      <c r="I162" s="2109"/>
      <c r="J162" s="2180">
        <f>'بند3-1مقاله علمي پژوهشيJCRو...'!P195</f>
        <v>0</v>
      </c>
      <c r="K162" s="2180"/>
      <c r="L162" s="2180"/>
      <c r="M162" s="2180"/>
      <c r="N162" s="2240">
        <f>'بند3-1مقاله علمي پژوهشيJCRو...'!I195</f>
        <v>0</v>
      </c>
      <c r="O162" s="2240">
        <f>'بند3-1مقاله علمي پژوهشيJCRو...'!O195</f>
        <v>0</v>
      </c>
      <c r="P162" s="2189">
        <f>'بند3-1مقاله علمي پژوهشيJCRو...'!J195</f>
        <v>0</v>
      </c>
      <c r="Q162" s="2189">
        <f>'بند3-1مقاله علمي پژوهشيJCRو...'!K195</f>
        <v>0</v>
      </c>
      <c r="R162" s="2109">
        <f>'بند3-1مقاله علمي پژوهشيJCRو...'!H195</f>
        <v>0</v>
      </c>
      <c r="S162" s="2109"/>
      <c r="T162" s="363" t="s">
        <v>762</v>
      </c>
      <c r="U162" s="363" t="s">
        <v>763</v>
      </c>
      <c r="V162" s="363" t="s">
        <v>764</v>
      </c>
      <c r="W162" s="359" t="s">
        <v>1315</v>
      </c>
      <c r="X162" s="359" t="s">
        <v>1316</v>
      </c>
      <c r="Y162" s="364" t="s">
        <v>765</v>
      </c>
    </row>
    <row r="163" spans="1:25" ht="34.5" customHeight="1" thickBot="1">
      <c r="A163" s="2230"/>
      <c r="B163" s="2213"/>
      <c r="C163" s="2213"/>
      <c r="D163" s="2213"/>
      <c r="E163" s="2213"/>
      <c r="F163" s="2109"/>
      <c r="G163" s="2109"/>
      <c r="H163" s="2109"/>
      <c r="I163" s="2109"/>
      <c r="J163" s="2180"/>
      <c r="K163" s="2180"/>
      <c r="L163" s="2180"/>
      <c r="M163" s="2180"/>
      <c r="N163" s="2240"/>
      <c r="O163" s="2240"/>
      <c r="P163" s="2189"/>
      <c r="Q163" s="2189"/>
      <c r="R163" s="2109"/>
      <c r="S163" s="2109"/>
      <c r="T163" s="362">
        <f>'بند3-1مقاله علمي پژوهشيJCRو...'!H197</f>
        <v>0</v>
      </c>
      <c r="U163" s="362">
        <f>'بند3-1مقاله علمي پژوهشيJCRو...'!J197</f>
        <v>0</v>
      </c>
      <c r="V163" s="362">
        <f>'بند3-1مقاله علمي پژوهشيJCRو...'!F197</f>
        <v>0</v>
      </c>
      <c r="W163" s="362">
        <f>'بند3-1مقاله علمي پژوهشيJCRو...'!N197</f>
        <v>0</v>
      </c>
      <c r="X163" s="362">
        <f>'بند3-1مقاله علمي پژوهشيJCRو...'!L197</f>
        <v>0</v>
      </c>
      <c r="Y163" s="460">
        <f ca="1">'بند3-1مقاله علمي پژوهشيJCRو...'!S195</f>
        <v>0</v>
      </c>
    </row>
    <row r="164" spans="1:25" ht="54.75" customHeight="1" thickBot="1">
      <c r="A164" s="367" t="s">
        <v>9</v>
      </c>
      <c r="B164" s="2242" t="s">
        <v>274</v>
      </c>
      <c r="C164" s="2243"/>
      <c r="D164" s="2243"/>
      <c r="E164" s="2244"/>
      <c r="F164" s="2242" t="s">
        <v>271</v>
      </c>
      <c r="G164" s="2243"/>
      <c r="H164" s="2243"/>
      <c r="I164" s="2244"/>
      <c r="J164" s="2102" t="s">
        <v>757</v>
      </c>
      <c r="K164" s="2103"/>
      <c r="L164" s="2103"/>
      <c r="M164" s="2104"/>
      <c r="N164" s="368" t="s">
        <v>275</v>
      </c>
      <c r="O164" s="369" t="s">
        <v>758</v>
      </c>
      <c r="P164" s="369" t="s">
        <v>759</v>
      </c>
      <c r="Q164" s="370" t="s">
        <v>784</v>
      </c>
      <c r="R164" s="2102" t="s">
        <v>760</v>
      </c>
      <c r="S164" s="2104"/>
      <c r="T164" s="2241" t="s">
        <v>761</v>
      </c>
      <c r="U164" s="2241"/>
      <c r="V164" s="2242" t="s">
        <v>13</v>
      </c>
      <c r="W164" s="2243"/>
      <c r="X164" s="2243"/>
      <c r="Y164" s="2193"/>
    </row>
    <row r="165" spans="1:25" ht="34.5" customHeight="1">
      <c r="A165" s="2230">
        <f>'بند3-1مقاله علمي پژوهشيJCRو...'!A198</f>
        <v>0</v>
      </c>
      <c r="B165" s="2213">
        <f>'بند3-1مقاله علمي پژوهشيJCRو...'!B198</f>
        <v>0</v>
      </c>
      <c r="C165" s="2213"/>
      <c r="D165" s="2213"/>
      <c r="E165" s="2213"/>
      <c r="F165" s="2109">
        <f>'بند3-1مقاله علمي پژوهشيJCRو...'!F198</f>
        <v>0</v>
      </c>
      <c r="G165" s="2109"/>
      <c r="H165" s="2109"/>
      <c r="I165" s="2109"/>
      <c r="J165" s="2180">
        <f>'بند3-1مقاله علمي پژوهشيJCRو...'!P198</f>
        <v>0</v>
      </c>
      <c r="K165" s="2180"/>
      <c r="L165" s="2180"/>
      <c r="M165" s="2180"/>
      <c r="N165" s="2240">
        <f>'بند3-1مقاله علمي پژوهشيJCRو...'!I198</f>
        <v>0</v>
      </c>
      <c r="O165" s="2240">
        <f>'بند3-1مقاله علمي پژوهشيJCRو...'!O198</f>
        <v>0</v>
      </c>
      <c r="P165" s="2189">
        <f>'بند3-1مقاله علمي پژوهشيJCRو...'!J198</f>
        <v>0</v>
      </c>
      <c r="Q165" s="2189">
        <f>'بند3-1مقاله علمي پژوهشيJCRو...'!K198</f>
        <v>0</v>
      </c>
      <c r="R165" s="2109">
        <f>'بند3-1مقاله علمي پژوهشيJCRو...'!H198</f>
        <v>0</v>
      </c>
      <c r="S165" s="2109"/>
      <c r="T165" s="363" t="s">
        <v>762</v>
      </c>
      <c r="U165" s="363" t="s">
        <v>763</v>
      </c>
      <c r="V165" s="363" t="s">
        <v>764</v>
      </c>
      <c r="W165" s="359" t="s">
        <v>1315</v>
      </c>
      <c r="X165" s="359" t="s">
        <v>1316</v>
      </c>
      <c r="Y165" s="364" t="s">
        <v>765</v>
      </c>
    </row>
    <row r="166" spans="1:25" ht="34.5" customHeight="1" thickBot="1">
      <c r="A166" s="2230"/>
      <c r="B166" s="2213"/>
      <c r="C166" s="2213"/>
      <c r="D166" s="2213"/>
      <c r="E166" s="2213"/>
      <c r="F166" s="2109"/>
      <c r="G166" s="2109"/>
      <c r="H166" s="2109"/>
      <c r="I166" s="2109"/>
      <c r="J166" s="2180"/>
      <c r="K166" s="2180"/>
      <c r="L166" s="2180"/>
      <c r="M166" s="2180"/>
      <c r="N166" s="2240"/>
      <c r="O166" s="2240"/>
      <c r="P166" s="2189"/>
      <c r="Q166" s="2189"/>
      <c r="R166" s="2109"/>
      <c r="S166" s="2109"/>
      <c r="T166" s="362">
        <f>'بند3-1مقاله علمي پژوهشيJCRو...'!H200</f>
        <v>0</v>
      </c>
      <c r="U166" s="362">
        <f>'بند3-1مقاله علمي پژوهشيJCRو...'!J200</f>
        <v>0</v>
      </c>
      <c r="V166" s="362">
        <f>'بند3-1مقاله علمي پژوهشيJCRو...'!F200</f>
        <v>0</v>
      </c>
      <c r="W166" s="362">
        <f>'بند3-1مقاله علمي پژوهشيJCRو...'!N200</f>
        <v>0</v>
      </c>
      <c r="X166" s="362">
        <f>'بند3-1مقاله علمي پژوهشيJCRو...'!L200</f>
        <v>0</v>
      </c>
      <c r="Y166" s="460">
        <f ca="1">'بند3-1مقاله علمي پژوهشيJCRو...'!S198</f>
        <v>0</v>
      </c>
    </row>
    <row r="167" spans="1:25" ht="34.5" customHeight="1">
      <c r="A167" s="2230">
        <f>'بند3-1مقاله علمي پژوهشيJCRو...'!A201</f>
        <v>0</v>
      </c>
      <c r="B167" s="2213">
        <f>'بند3-1مقاله علمي پژوهشيJCRو...'!B201</f>
        <v>0</v>
      </c>
      <c r="C167" s="2213"/>
      <c r="D167" s="2213"/>
      <c r="E167" s="2213"/>
      <c r="F167" s="2109">
        <f>'بند3-1مقاله علمي پژوهشيJCRو...'!F201</f>
        <v>0</v>
      </c>
      <c r="G167" s="2109"/>
      <c r="H167" s="2109"/>
      <c r="I167" s="2109"/>
      <c r="J167" s="2180">
        <f>'بند3-1مقاله علمي پژوهشيJCRو...'!P201</f>
        <v>0</v>
      </c>
      <c r="K167" s="2180"/>
      <c r="L167" s="2180"/>
      <c r="M167" s="2180"/>
      <c r="N167" s="2240">
        <f>'بند3-1مقاله علمي پژوهشيJCRو...'!I201</f>
        <v>0</v>
      </c>
      <c r="O167" s="2240">
        <f>'بند3-1مقاله علمي پژوهشيJCRو...'!O201</f>
        <v>0</v>
      </c>
      <c r="P167" s="2189">
        <f>'بند3-1مقاله علمي پژوهشيJCRو...'!J201</f>
        <v>0</v>
      </c>
      <c r="Q167" s="2189">
        <f>'بند3-1مقاله علمي پژوهشيJCRو...'!K201</f>
        <v>0</v>
      </c>
      <c r="R167" s="2109">
        <f>'بند3-1مقاله علمي پژوهشيJCRو...'!H201</f>
        <v>0</v>
      </c>
      <c r="S167" s="2109"/>
      <c r="T167" s="363" t="s">
        <v>762</v>
      </c>
      <c r="U167" s="363" t="s">
        <v>763</v>
      </c>
      <c r="V167" s="363" t="s">
        <v>764</v>
      </c>
      <c r="W167" s="359" t="s">
        <v>1315</v>
      </c>
      <c r="X167" s="359" t="s">
        <v>1316</v>
      </c>
      <c r="Y167" s="364" t="s">
        <v>765</v>
      </c>
    </row>
    <row r="168" spans="1:25" ht="34.5" customHeight="1" thickBot="1">
      <c r="A168" s="2230"/>
      <c r="B168" s="2213"/>
      <c r="C168" s="2213"/>
      <c r="D168" s="2213"/>
      <c r="E168" s="2213"/>
      <c r="F168" s="2109"/>
      <c r="G168" s="2109"/>
      <c r="H168" s="2109"/>
      <c r="I168" s="2109"/>
      <c r="J168" s="2180"/>
      <c r="K168" s="2180"/>
      <c r="L168" s="2180"/>
      <c r="M168" s="2180"/>
      <c r="N168" s="2240"/>
      <c r="O168" s="2240"/>
      <c r="P168" s="2189"/>
      <c r="Q168" s="2189"/>
      <c r="R168" s="2109"/>
      <c r="S168" s="2109"/>
      <c r="T168" s="362">
        <f>'بند3-1مقاله علمي پژوهشيJCRو...'!H203</f>
        <v>0</v>
      </c>
      <c r="U168" s="362">
        <f>'بند3-1مقاله علمي پژوهشيJCRو...'!J203</f>
        <v>0</v>
      </c>
      <c r="V168" s="362">
        <f>'بند3-1مقاله علمي پژوهشيJCRو...'!F203</f>
        <v>0</v>
      </c>
      <c r="W168" s="362">
        <f>'بند3-1مقاله علمي پژوهشيJCRو...'!N203</f>
        <v>0</v>
      </c>
      <c r="X168" s="362">
        <f>'بند3-1مقاله علمي پژوهشيJCRو...'!L203</f>
        <v>0</v>
      </c>
      <c r="Y168" s="460">
        <f ca="1">'بند3-1مقاله علمي پژوهشيJCRو...'!S201</f>
        <v>0</v>
      </c>
    </row>
    <row r="169" spans="1:25" ht="34.5" customHeight="1">
      <c r="A169" s="2230">
        <f>'بند3-1مقاله علمي پژوهشيJCRو...'!A204</f>
        <v>0</v>
      </c>
      <c r="B169" s="2213">
        <f>'بند3-1مقاله علمي پژوهشيJCRو...'!B204</f>
        <v>0</v>
      </c>
      <c r="C169" s="2213"/>
      <c r="D169" s="2213"/>
      <c r="E169" s="2213"/>
      <c r="F169" s="2109">
        <f>'بند3-1مقاله علمي پژوهشيJCRو...'!F204</f>
        <v>0</v>
      </c>
      <c r="G169" s="2109"/>
      <c r="H169" s="2109"/>
      <c r="I169" s="2109"/>
      <c r="J169" s="2180">
        <f>'بند3-1مقاله علمي پژوهشيJCRو...'!P204</f>
        <v>0</v>
      </c>
      <c r="K169" s="2180"/>
      <c r="L169" s="2180"/>
      <c r="M169" s="2180"/>
      <c r="N169" s="2240">
        <f>'بند3-1مقاله علمي پژوهشيJCRو...'!I204</f>
        <v>0</v>
      </c>
      <c r="O169" s="2240">
        <f>'بند3-1مقاله علمي پژوهشيJCRو...'!O204</f>
        <v>0</v>
      </c>
      <c r="P169" s="2189">
        <f>'بند3-1مقاله علمي پژوهشيJCRو...'!J204</f>
        <v>0</v>
      </c>
      <c r="Q169" s="2189">
        <f>'بند3-1مقاله علمي پژوهشيJCRو...'!K204</f>
        <v>0</v>
      </c>
      <c r="R169" s="2109">
        <f>'بند3-1مقاله علمي پژوهشيJCRو...'!H204</f>
        <v>0</v>
      </c>
      <c r="S169" s="2109"/>
      <c r="T169" s="363" t="s">
        <v>762</v>
      </c>
      <c r="U169" s="363" t="s">
        <v>763</v>
      </c>
      <c r="V169" s="363" t="s">
        <v>764</v>
      </c>
      <c r="W169" s="359" t="s">
        <v>1315</v>
      </c>
      <c r="X169" s="359" t="s">
        <v>1316</v>
      </c>
      <c r="Y169" s="364" t="s">
        <v>765</v>
      </c>
    </row>
    <row r="170" spans="1:25" ht="34.5" customHeight="1" thickBot="1">
      <c r="A170" s="2230"/>
      <c r="B170" s="2213"/>
      <c r="C170" s="2213"/>
      <c r="D170" s="2213"/>
      <c r="E170" s="2213"/>
      <c r="F170" s="2109"/>
      <c r="G170" s="2109"/>
      <c r="H170" s="2109"/>
      <c r="I170" s="2109"/>
      <c r="J170" s="2180"/>
      <c r="K170" s="2180"/>
      <c r="L170" s="2180"/>
      <c r="M170" s="2180"/>
      <c r="N170" s="2240"/>
      <c r="O170" s="2240"/>
      <c r="P170" s="2189"/>
      <c r="Q170" s="2189"/>
      <c r="R170" s="2109"/>
      <c r="S170" s="2109"/>
      <c r="T170" s="362">
        <f>'بند3-1مقاله علمي پژوهشيJCRو...'!H206</f>
        <v>0</v>
      </c>
      <c r="U170" s="362">
        <f>'بند3-1مقاله علمي پژوهشيJCRو...'!J206</f>
        <v>0</v>
      </c>
      <c r="V170" s="362">
        <f>'بند3-1مقاله علمي پژوهشيJCRو...'!F206</f>
        <v>0</v>
      </c>
      <c r="W170" s="362">
        <f>'بند3-1مقاله علمي پژوهشيJCRو...'!N206</f>
        <v>0</v>
      </c>
      <c r="X170" s="362">
        <f>'بند3-1مقاله علمي پژوهشيJCRو...'!L206</f>
        <v>0</v>
      </c>
      <c r="Y170" s="460">
        <f ca="1">'بند3-1مقاله علمي پژوهشيJCRو...'!S204</f>
        <v>0</v>
      </c>
    </row>
    <row r="171" spans="1:25" ht="34.5" customHeight="1">
      <c r="A171" s="2230">
        <f>'بند3-1مقاله علمي پژوهشيJCRو...'!A207</f>
        <v>0</v>
      </c>
      <c r="B171" s="2213">
        <f>'بند3-1مقاله علمي پژوهشيJCRو...'!B207</f>
        <v>0</v>
      </c>
      <c r="C171" s="2213"/>
      <c r="D171" s="2213"/>
      <c r="E171" s="2213"/>
      <c r="F171" s="2109">
        <f>'بند3-1مقاله علمي پژوهشيJCRو...'!F207</f>
        <v>0</v>
      </c>
      <c r="G171" s="2109"/>
      <c r="H171" s="2109"/>
      <c r="I171" s="2109"/>
      <c r="J171" s="2180">
        <f>'بند3-1مقاله علمي پژوهشيJCRو...'!P207</f>
        <v>0</v>
      </c>
      <c r="K171" s="2180"/>
      <c r="L171" s="2180"/>
      <c r="M171" s="2180"/>
      <c r="N171" s="2240">
        <f>'بند3-1مقاله علمي پژوهشيJCRو...'!I207</f>
        <v>0</v>
      </c>
      <c r="O171" s="2240">
        <f>'بند3-1مقاله علمي پژوهشيJCRو...'!O207</f>
        <v>0</v>
      </c>
      <c r="P171" s="2189">
        <f>'بند3-1مقاله علمي پژوهشيJCRو...'!J207</f>
        <v>0</v>
      </c>
      <c r="Q171" s="2189">
        <f>'بند3-1مقاله علمي پژوهشيJCRو...'!K207</f>
        <v>0</v>
      </c>
      <c r="R171" s="2109">
        <f>'بند3-1مقاله علمي پژوهشيJCRو...'!H207</f>
        <v>0</v>
      </c>
      <c r="S171" s="2109"/>
      <c r="T171" s="363" t="s">
        <v>762</v>
      </c>
      <c r="U171" s="363" t="s">
        <v>763</v>
      </c>
      <c r="V171" s="363" t="s">
        <v>764</v>
      </c>
      <c r="W171" s="359" t="s">
        <v>1315</v>
      </c>
      <c r="X171" s="359" t="s">
        <v>1316</v>
      </c>
      <c r="Y171" s="364" t="s">
        <v>765</v>
      </c>
    </row>
    <row r="172" spans="1:25" ht="34.5" customHeight="1" thickBot="1">
      <c r="A172" s="2230"/>
      <c r="B172" s="2213"/>
      <c r="C172" s="2213"/>
      <c r="D172" s="2213"/>
      <c r="E172" s="2213"/>
      <c r="F172" s="2109"/>
      <c r="G172" s="2109"/>
      <c r="H172" s="2109"/>
      <c r="I172" s="2109"/>
      <c r="J172" s="2180"/>
      <c r="K172" s="2180"/>
      <c r="L172" s="2180"/>
      <c r="M172" s="2180"/>
      <c r="N172" s="2240"/>
      <c r="O172" s="2240"/>
      <c r="P172" s="2189"/>
      <c r="Q172" s="2189"/>
      <c r="R172" s="2109"/>
      <c r="S172" s="2109"/>
      <c r="T172" s="362">
        <f>'بند3-1مقاله علمي پژوهشيJCRو...'!H209</f>
        <v>0</v>
      </c>
      <c r="U172" s="362">
        <f>'بند3-1مقاله علمي پژوهشيJCRو...'!J209</f>
        <v>0</v>
      </c>
      <c r="V172" s="362">
        <f>'بند3-1مقاله علمي پژوهشيJCRو...'!F209</f>
        <v>0</v>
      </c>
      <c r="W172" s="362">
        <f>'بند3-1مقاله علمي پژوهشيJCRو...'!N209</f>
        <v>0</v>
      </c>
      <c r="X172" s="362">
        <f>'بند3-1مقاله علمي پژوهشيJCRو...'!L209</f>
        <v>0</v>
      </c>
      <c r="Y172" s="460">
        <f ca="1">'بند3-1مقاله علمي پژوهشيJCRو...'!S207</f>
        <v>0</v>
      </c>
    </row>
    <row r="173" spans="1:25" ht="54.75" customHeight="1" thickBot="1">
      <c r="A173" s="367" t="s">
        <v>9</v>
      </c>
      <c r="B173" s="2242" t="s">
        <v>274</v>
      </c>
      <c r="C173" s="2243"/>
      <c r="D173" s="2243"/>
      <c r="E173" s="2244"/>
      <c r="F173" s="2242" t="s">
        <v>271</v>
      </c>
      <c r="G173" s="2243"/>
      <c r="H173" s="2243"/>
      <c r="I173" s="2244"/>
      <c r="J173" s="2102" t="s">
        <v>757</v>
      </c>
      <c r="K173" s="2103"/>
      <c r="L173" s="2103"/>
      <c r="M173" s="2104"/>
      <c r="N173" s="368" t="s">
        <v>275</v>
      </c>
      <c r="O173" s="369" t="s">
        <v>758</v>
      </c>
      <c r="P173" s="369" t="s">
        <v>759</v>
      </c>
      <c r="Q173" s="370" t="s">
        <v>784</v>
      </c>
      <c r="R173" s="2102" t="s">
        <v>760</v>
      </c>
      <c r="S173" s="2104"/>
      <c r="T173" s="2241" t="s">
        <v>761</v>
      </c>
      <c r="U173" s="2241"/>
      <c r="V173" s="2242" t="s">
        <v>13</v>
      </c>
      <c r="W173" s="2243"/>
      <c r="X173" s="2243"/>
      <c r="Y173" s="2193"/>
    </row>
    <row r="174" spans="1:25" ht="34.5" customHeight="1">
      <c r="A174" s="2230">
        <f>'بند3-1مقاله علمي پژوهشيJCRو...'!A210</f>
        <v>0</v>
      </c>
      <c r="B174" s="2213">
        <f>'بند3-1مقاله علمي پژوهشيJCRو...'!B210</f>
        <v>0</v>
      </c>
      <c r="C174" s="2213"/>
      <c r="D174" s="2213"/>
      <c r="E174" s="2213"/>
      <c r="F174" s="2109">
        <f>'بند3-1مقاله علمي پژوهشيJCRو...'!F210</f>
        <v>0</v>
      </c>
      <c r="G174" s="2109"/>
      <c r="H174" s="2109"/>
      <c r="I174" s="2109"/>
      <c r="J174" s="2180">
        <f>'بند3-1مقاله علمي پژوهشيJCRو...'!P210</f>
        <v>0</v>
      </c>
      <c r="K174" s="2180"/>
      <c r="L174" s="2180"/>
      <c r="M174" s="2180"/>
      <c r="N174" s="2240">
        <f>'بند3-1مقاله علمي پژوهشيJCRو...'!I210</f>
        <v>0</v>
      </c>
      <c r="O174" s="2240">
        <f>'بند3-1مقاله علمي پژوهشيJCRو...'!O210</f>
        <v>0</v>
      </c>
      <c r="P174" s="2189">
        <f>'بند3-1مقاله علمي پژوهشيJCRو...'!J210</f>
        <v>0</v>
      </c>
      <c r="Q174" s="2189">
        <f>'بند3-1مقاله علمي پژوهشيJCRو...'!K210</f>
        <v>0</v>
      </c>
      <c r="R174" s="2109">
        <f>'بند3-1مقاله علمي پژوهشيJCRو...'!H210</f>
        <v>0</v>
      </c>
      <c r="S174" s="2109"/>
      <c r="T174" s="363" t="s">
        <v>762</v>
      </c>
      <c r="U174" s="363" t="s">
        <v>763</v>
      </c>
      <c r="V174" s="363" t="s">
        <v>764</v>
      </c>
      <c r="W174" s="359" t="s">
        <v>1315</v>
      </c>
      <c r="X174" s="359" t="s">
        <v>1316</v>
      </c>
      <c r="Y174" s="364" t="s">
        <v>765</v>
      </c>
    </row>
    <row r="175" spans="1:25" ht="34.5" customHeight="1" thickBot="1">
      <c r="A175" s="2230"/>
      <c r="B175" s="2213"/>
      <c r="C175" s="2213"/>
      <c r="D175" s="2213"/>
      <c r="E175" s="2213"/>
      <c r="F175" s="2109"/>
      <c r="G175" s="2109"/>
      <c r="H175" s="2109"/>
      <c r="I175" s="2109"/>
      <c r="J175" s="2180"/>
      <c r="K175" s="2180"/>
      <c r="L175" s="2180"/>
      <c r="M175" s="2180"/>
      <c r="N175" s="2240"/>
      <c r="O175" s="2240"/>
      <c r="P175" s="2189"/>
      <c r="Q175" s="2189"/>
      <c r="R175" s="2109"/>
      <c r="S175" s="2109"/>
      <c r="T175" s="362">
        <f>'بند3-1مقاله علمي پژوهشيJCRو...'!H212</f>
        <v>0</v>
      </c>
      <c r="U175" s="362">
        <f>'بند3-1مقاله علمي پژوهشيJCRو...'!J212</f>
        <v>0</v>
      </c>
      <c r="V175" s="362">
        <f>'بند3-1مقاله علمي پژوهشيJCRو...'!F212</f>
        <v>0</v>
      </c>
      <c r="W175" s="362">
        <f>'بند3-1مقاله علمي پژوهشيJCRو...'!N212</f>
        <v>0</v>
      </c>
      <c r="X175" s="362">
        <f>'بند3-1مقاله علمي پژوهشيJCRو...'!L212</f>
        <v>0</v>
      </c>
      <c r="Y175" s="460">
        <f ca="1">'بند3-1مقاله علمي پژوهشيJCRو...'!S210</f>
        <v>0</v>
      </c>
    </row>
    <row r="176" spans="1:25" ht="34.5" customHeight="1">
      <c r="A176" s="2230">
        <f>'بند3-1مقاله علمي پژوهشيJCRو...'!A213</f>
        <v>0</v>
      </c>
      <c r="B176" s="2213">
        <f>'بند3-1مقاله علمي پژوهشيJCRو...'!B213</f>
        <v>0</v>
      </c>
      <c r="C176" s="2213"/>
      <c r="D176" s="2213"/>
      <c r="E176" s="2213"/>
      <c r="F176" s="2109">
        <f>'بند3-1مقاله علمي پژوهشيJCRو...'!F213</f>
        <v>0</v>
      </c>
      <c r="G176" s="2109"/>
      <c r="H176" s="2109"/>
      <c r="I176" s="2109"/>
      <c r="J176" s="2180">
        <f>'بند3-1مقاله علمي پژوهشيJCRو...'!P213</f>
        <v>0</v>
      </c>
      <c r="K176" s="2180"/>
      <c r="L176" s="2180"/>
      <c r="M176" s="2180"/>
      <c r="N176" s="2240">
        <f>'بند3-1مقاله علمي پژوهشيJCRو...'!I213</f>
        <v>0</v>
      </c>
      <c r="O176" s="2240">
        <f>'بند3-1مقاله علمي پژوهشيJCRو...'!O213</f>
        <v>0</v>
      </c>
      <c r="P176" s="2189">
        <f>'بند3-1مقاله علمي پژوهشيJCRو...'!J213</f>
        <v>0</v>
      </c>
      <c r="Q176" s="2189">
        <f>'بند3-1مقاله علمي پژوهشيJCRو...'!K213</f>
        <v>0</v>
      </c>
      <c r="R176" s="2109">
        <f>'بند3-1مقاله علمي پژوهشيJCRو...'!H213</f>
        <v>0</v>
      </c>
      <c r="S176" s="2109"/>
      <c r="T176" s="363" t="s">
        <v>762</v>
      </c>
      <c r="U176" s="363" t="s">
        <v>763</v>
      </c>
      <c r="V176" s="363" t="s">
        <v>764</v>
      </c>
      <c r="W176" s="359" t="s">
        <v>1315</v>
      </c>
      <c r="X176" s="359" t="s">
        <v>1316</v>
      </c>
      <c r="Y176" s="364" t="s">
        <v>765</v>
      </c>
    </row>
    <row r="177" spans="1:25" ht="34.5" customHeight="1" thickBot="1">
      <c r="A177" s="2230"/>
      <c r="B177" s="2213"/>
      <c r="C177" s="2213"/>
      <c r="D177" s="2213"/>
      <c r="E177" s="2213"/>
      <c r="F177" s="2109"/>
      <c r="G177" s="2109"/>
      <c r="H177" s="2109"/>
      <c r="I177" s="2109"/>
      <c r="J177" s="2180"/>
      <c r="K177" s="2180"/>
      <c r="L177" s="2180"/>
      <c r="M177" s="2180"/>
      <c r="N177" s="2240"/>
      <c r="O177" s="2240"/>
      <c r="P177" s="2189"/>
      <c r="Q177" s="2189"/>
      <c r="R177" s="2109"/>
      <c r="S177" s="2109"/>
      <c r="T177" s="362">
        <f>'بند3-1مقاله علمي پژوهشيJCRو...'!H215</f>
        <v>0</v>
      </c>
      <c r="U177" s="362">
        <f>'بند3-1مقاله علمي پژوهشيJCRو...'!J215</f>
        <v>0</v>
      </c>
      <c r="V177" s="362">
        <f>'بند3-1مقاله علمي پژوهشيJCRو...'!F215</f>
        <v>0</v>
      </c>
      <c r="W177" s="362">
        <f>'بند3-1مقاله علمي پژوهشيJCRو...'!N215</f>
        <v>0</v>
      </c>
      <c r="X177" s="362">
        <f>'بند3-1مقاله علمي پژوهشيJCRو...'!L215</f>
        <v>0</v>
      </c>
      <c r="Y177" s="460">
        <f ca="1">'بند3-1مقاله علمي پژوهشيJCRو...'!S213</f>
        <v>0</v>
      </c>
    </row>
    <row r="178" spans="1:25" ht="34.5" customHeight="1">
      <c r="A178" s="2230">
        <f>'بند3-1مقاله علمي پژوهشيJCRو...'!A216</f>
        <v>0</v>
      </c>
      <c r="B178" s="2213">
        <f>'بند3-1مقاله علمي پژوهشيJCRو...'!B216</f>
        <v>0</v>
      </c>
      <c r="C178" s="2213"/>
      <c r="D178" s="2213"/>
      <c r="E178" s="2213"/>
      <c r="F178" s="2109">
        <f>'بند3-1مقاله علمي پژوهشيJCRو...'!F216</f>
        <v>0</v>
      </c>
      <c r="G178" s="2109"/>
      <c r="H178" s="2109"/>
      <c r="I178" s="2109"/>
      <c r="J178" s="2180">
        <f>'بند3-1مقاله علمي پژوهشيJCRو...'!P216</f>
        <v>0</v>
      </c>
      <c r="K178" s="2180"/>
      <c r="L178" s="2180"/>
      <c r="M178" s="2180"/>
      <c r="N178" s="2240">
        <f>'بند3-1مقاله علمي پژوهشيJCRو...'!I216</f>
        <v>0</v>
      </c>
      <c r="O178" s="2240">
        <f>'بند3-1مقاله علمي پژوهشيJCRو...'!O216</f>
        <v>0</v>
      </c>
      <c r="P178" s="2189">
        <f>'بند3-1مقاله علمي پژوهشيJCRو...'!J216</f>
        <v>0</v>
      </c>
      <c r="Q178" s="2189">
        <f>'بند3-1مقاله علمي پژوهشيJCRو...'!K216</f>
        <v>0</v>
      </c>
      <c r="R178" s="2109">
        <f>'بند3-1مقاله علمي پژوهشيJCRو...'!H216</f>
        <v>0</v>
      </c>
      <c r="S178" s="2109"/>
      <c r="T178" s="363" t="s">
        <v>762</v>
      </c>
      <c r="U178" s="363" t="s">
        <v>763</v>
      </c>
      <c r="V178" s="363" t="s">
        <v>764</v>
      </c>
      <c r="W178" s="359" t="s">
        <v>1315</v>
      </c>
      <c r="X178" s="359" t="s">
        <v>1316</v>
      </c>
      <c r="Y178" s="364" t="s">
        <v>765</v>
      </c>
    </row>
    <row r="179" spans="1:25" ht="34.5" customHeight="1" thickBot="1">
      <c r="A179" s="2230"/>
      <c r="B179" s="2213"/>
      <c r="C179" s="2213"/>
      <c r="D179" s="2213"/>
      <c r="E179" s="2213"/>
      <c r="F179" s="2109"/>
      <c r="G179" s="2109"/>
      <c r="H179" s="2109"/>
      <c r="I179" s="2109"/>
      <c r="J179" s="2180"/>
      <c r="K179" s="2180"/>
      <c r="L179" s="2180"/>
      <c r="M179" s="2180"/>
      <c r="N179" s="2240"/>
      <c r="O179" s="2240"/>
      <c r="P179" s="2189"/>
      <c r="Q179" s="2189"/>
      <c r="R179" s="2109"/>
      <c r="S179" s="2109"/>
      <c r="T179" s="362">
        <f>'بند3-1مقاله علمي پژوهشيJCRو...'!H218</f>
        <v>0</v>
      </c>
      <c r="U179" s="362">
        <f>'بند3-1مقاله علمي پژوهشيJCRو...'!J218</f>
        <v>0</v>
      </c>
      <c r="V179" s="362">
        <f>'بند3-1مقاله علمي پژوهشيJCRو...'!F218</f>
        <v>0</v>
      </c>
      <c r="W179" s="362">
        <f>'بند3-1مقاله علمي پژوهشيJCRو...'!N218</f>
        <v>0</v>
      </c>
      <c r="X179" s="362">
        <f>'بند3-1مقاله علمي پژوهشيJCRو...'!L218</f>
        <v>0</v>
      </c>
      <c r="Y179" s="460">
        <f ca="1">'بند3-1مقاله علمي پژوهشيJCRو...'!S216</f>
        <v>0</v>
      </c>
    </row>
    <row r="180" spans="1:25" ht="34.5" customHeight="1">
      <c r="A180" s="2230">
        <f>'بند3-1مقاله علمي پژوهشيJCRو...'!A219</f>
        <v>0</v>
      </c>
      <c r="B180" s="2213">
        <f>'بند3-1مقاله علمي پژوهشيJCRو...'!B219</f>
        <v>0</v>
      </c>
      <c r="C180" s="2213"/>
      <c r="D180" s="2213"/>
      <c r="E180" s="2213"/>
      <c r="F180" s="2109">
        <f>'بند3-1مقاله علمي پژوهشيJCRو...'!F219</f>
        <v>0</v>
      </c>
      <c r="G180" s="2109"/>
      <c r="H180" s="2109"/>
      <c r="I180" s="2109"/>
      <c r="J180" s="2180">
        <f>'بند3-1مقاله علمي پژوهشيJCRو...'!P219</f>
        <v>0</v>
      </c>
      <c r="K180" s="2180"/>
      <c r="L180" s="2180"/>
      <c r="M180" s="2180"/>
      <c r="N180" s="2240">
        <f>'بند3-1مقاله علمي پژوهشيJCRو...'!I219</f>
        <v>0</v>
      </c>
      <c r="O180" s="2240">
        <f>'بند3-1مقاله علمي پژوهشيJCRو...'!O219</f>
        <v>0</v>
      </c>
      <c r="P180" s="2189">
        <f>'بند3-1مقاله علمي پژوهشيJCRو...'!J219</f>
        <v>0</v>
      </c>
      <c r="Q180" s="2189">
        <f>'بند3-1مقاله علمي پژوهشيJCRو...'!K219</f>
        <v>0</v>
      </c>
      <c r="R180" s="2109">
        <f>'بند3-1مقاله علمي پژوهشيJCRو...'!H219</f>
        <v>0</v>
      </c>
      <c r="S180" s="2109"/>
      <c r="T180" s="363" t="s">
        <v>762</v>
      </c>
      <c r="U180" s="363" t="s">
        <v>763</v>
      </c>
      <c r="V180" s="363" t="s">
        <v>764</v>
      </c>
      <c r="W180" s="359" t="s">
        <v>1315</v>
      </c>
      <c r="X180" s="359" t="s">
        <v>1316</v>
      </c>
      <c r="Y180" s="364" t="s">
        <v>765</v>
      </c>
    </row>
    <row r="181" spans="1:25" ht="34.5" customHeight="1" thickBot="1">
      <c r="A181" s="2230"/>
      <c r="B181" s="2213"/>
      <c r="C181" s="2213"/>
      <c r="D181" s="2213"/>
      <c r="E181" s="2213"/>
      <c r="F181" s="2109"/>
      <c r="G181" s="2109"/>
      <c r="H181" s="2109"/>
      <c r="I181" s="2109"/>
      <c r="J181" s="2180"/>
      <c r="K181" s="2180"/>
      <c r="L181" s="2180"/>
      <c r="M181" s="2180"/>
      <c r="N181" s="2240"/>
      <c r="O181" s="2240"/>
      <c r="P181" s="2189"/>
      <c r="Q181" s="2189"/>
      <c r="R181" s="2109"/>
      <c r="S181" s="2109"/>
      <c r="T181" s="362">
        <f>'بند3-1مقاله علمي پژوهشيJCRو...'!H221</f>
        <v>0</v>
      </c>
      <c r="U181" s="362">
        <f>'بند3-1مقاله علمي پژوهشيJCRو...'!J221</f>
        <v>0</v>
      </c>
      <c r="V181" s="362">
        <f>'بند3-1مقاله علمي پژوهشيJCRو...'!F221</f>
        <v>0</v>
      </c>
      <c r="W181" s="362">
        <f>'بند3-1مقاله علمي پژوهشيJCRو...'!N221</f>
        <v>0</v>
      </c>
      <c r="X181" s="362">
        <f>'بند3-1مقاله علمي پژوهشيJCRو...'!L221</f>
        <v>0</v>
      </c>
      <c r="Y181" s="460">
        <f ca="1">'بند3-1مقاله علمي پژوهشيJCRو...'!S219</f>
        <v>0</v>
      </c>
    </row>
    <row r="182" spans="1:25" ht="54.75" customHeight="1" thickBot="1">
      <c r="A182" s="367" t="s">
        <v>9</v>
      </c>
      <c r="B182" s="2242" t="s">
        <v>274</v>
      </c>
      <c r="C182" s="2243"/>
      <c r="D182" s="2243"/>
      <c r="E182" s="2244"/>
      <c r="F182" s="2242" t="s">
        <v>271</v>
      </c>
      <c r="G182" s="2243"/>
      <c r="H182" s="2243"/>
      <c r="I182" s="2244"/>
      <c r="J182" s="2102" t="s">
        <v>757</v>
      </c>
      <c r="K182" s="2103"/>
      <c r="L182" s="2103"/>
      <c r="M182" s="2104"/>
      <c r="N182" s="368" t="s">
        <v>275</v>
      </c>
      <c r="O182" s="369" t="s">
        <v>758</v>
      </c>
      <c r="P182" s="369" t="s">
        <v>759</v>
      </c>
      <c r="Q182" s="370" t="s">
        <v>784</v>
      </c>
      <c r="R182" s="2102" t="s">
        <v>760</v>
      </c>
      <c r="S182" s="2104"/>
      <c r="T182" s="2241" t="s">
        <v>761</v>
      </c>
      <c r="U182" s="2241"/>
      <c r="V182" s="2242" t="s">
        <v>13</v>
      </c>
      <c r="W182" s="2243"/>
      <c r="X182" s="2243"/>
      <c r="Y182" s="2193"/>
    </row>
    <row r="183" spans="1:25" ht="34.5" customHeight="1">
      <c r="A183" s="2230">
        <f>'بند3-1مقاله علمي پژوهشيJCRو...'!A222</f>
        <v>0</v>
      </c>
      <c r="B183" s="2213">
        <f>'بند3-1مقاله علمي پژوهشيJCRو...'!B222</f>
        <v>0</v>
      </c>
      <c r="C183" s="2213"/>
      <c r="D183" s="2213"/>
      <c r="E183" s="2213"/>
      <c r="F183" s="2109">
        <f>'بند3-1مقاله علمي پژوهشيJCRو...'!F222</f>
        <v>0</v>
      </c>
      <c r="G183" s="2109"/>
      <c r="H183" s="2109"/>
      <c r="I183" s="2109"/>
      <c r="J183" s="2180">
        <f>'بند3-1مقاله علمي پژوهشيJCRو...'!P222</f>
        <v>0</v>
      </c>
      <c r="K183" s="2180"/>
      <c r="L183" s="2180"/>
      <c r="M183" s="2180"/>
      <c r="N183" s="2240">
        <f>'بند3-1مقاله علمي پژوهشيJCRو...'!I222</f>
        <v>0</v>
      </c>
      <c r="O183" s="2240">
        <f>'بند3-1مقاله علمي پژوهشيJCRو...'!O222</f>
        <v>0</v>
      </c>
      <c r="P183" s="2189">
        <f>'بند3-1مقاله علمي پژوهشيJCRو...'!J222</f>
        <v>0</v>
      </c>
      <c r="Q183" s="2189">
        <f>'بند3-1مقاله علمي پژوهشيJCRو...'!K222</f>
        <v>0</v>
      </c>
      <c r="R183" s="2109">
        <f>'بند3-1مقاله علمي پژوهشيJCRو...'!H222</f>
        <v>0</v>
      </c>
      <c r="S183" s="2109"/>
      <c r="T183" s="363" t="s">
        <v>762</v>
      </c>
      <c r="U183" s="363" t="s">
        <v>763</v>
      </c>
      <c r="V183" s="363" t="s">
        <v>764</v>
      </c>
      <c r="W183" s="359" t="s">
        <v>1315</v>
      </c>
      <c r="X183" s="359" t="s">
        <v>1316</v>
      </c>
      <c r="Y183" s="364" t="s">
        <v>765</v>
      </c>
    </row>
    <row r="184" spans="1:25" ht="34.5" customHeight="1" thickBot="1">
      <c r="A184" s="2230"/>
      <c r="B184" s="2213"/>
      <c r="C184" s="2213"/>
      <c r="D184" s="2213"/>
      <c r="E184" s="2213"/>
      <c r="F184" s="2109"/>
      <c r="G184" s="2109"/>
      <c r="H184" s="2109"/>
      <c r="I184" s="2109"/>
      <c r="J184" s="2180"/>
      <c r="K184" s="2180"/>
      <c r="L184" s="2180"/>
      <c r="M184" s="2180"/>
      <c r="N184" s="2240"/>
      <c r="O184" s="2240"/>
      <c r="P184" s="2189"/>
      <c r="Q184" s="2189"/>
      <c r="R184" s="2109"/>
      <c r="S184" s="2109"/>
      <c r="T184" s="362">
        <f>'بند3-1مقاله علمي پژوهشيJCRو...'!H224</f>
        <v>0</v>
      </c>
      <c r="U184" s="362">
        <f>'بند3-1مقاله علمي پژوهشيJCRو...'!J224</f>
        <v>0</v>
      </c>
      <c r="V184" s="362">
        <f>'بند3-1مقاله علمي پژوهشيJCRو...'!F224</f>
        <v>0</v>
      </c>
      <c r="W184" s="362">
        <f>'بند3-1مقاله علمي پژوهشيJCRو...'!N224</f>
        <v>0</v>
      </c>
      <c r="X184" s="362">
        <f>'بند3-1مقاله علمي پژوهشيJCRو...'!L224</f>
        <v>0</v>
      </c>
      <c r="Y184" s="460">
        <f ca="1">'بند3-1مقاله علمي پژوهشيJCRو...'!S222</f>
        <v>0</v>
      </c>
    </row>
    <row r="185" spans="1:25" ht="34.5" customHeight="1">
      <c r="A185" s="2230">
        <f>'بند3-1مقاله علمي پژوهشيJCRو...'!A225</f>
        <v>0</v>
      </c>
      <c r="B185" s="2213">
        <f>'بند3-1مقاله علمي پژوهشيJCRو...'!B225</f>
        <v>0</v>
      </c>
      <c r="C185" s="2213"/>
      <c r="D185" s="2213"/>
      <c r="E185" s="2213"/>
      <c r="F185" s="2109">
        <f>'بند3-1مقاله علمي پژوهشيJCRو...'!F225</f>
        <v>0</v>
      </c>
      <c r="G185" s="2109"/>
      <c r="H185" s="2109"/>
      <c r="I185" s="2109"/>
      <c r="J185" s="2180">
        <f>'بند3-1مقاله علمي پژوهشيJCRو...'!P225</f>
        <v>0</v>
      </c>
      <c r="K185" s="2180"/>
      <c r="L185" s="2180"/>
      <c r="M185" s="2180"/>
      <c r="N185" s="2240">
        <f>'بند3-1مقاله علمي پژوهشيJCRو...'!I225</f>
        <v>0</v>
      </c>
      <c r="O185" s="2240">
        <f>'بند3-1مقاله علمي پژوهشيJCRو...'!O225</f>
        <v>0</v>
      </c>
      <c r="P185" s="2189">
        <f>'بند3-1مقاله علمي پژوهشيJCRو...'!J225</f>
        <v>0</v>
      </c>
      <c r="Q185" s="2189">
        <f>'بند3-1مقاله علمي پژوهشيJCRو...'!K225</f>
        <v>0</v>
      </c>
      <c r="R185" s="2109">
        <f>'بند3-1مقاله علمي پژوهشيJCRو...'!H225</f>
        <v>0</v>
      </c>
      <c r="S185" s="2109"/>
      <c r="T185" s="363" t="s">
        <v>762</v>
      </c>
      <c r="U185" s="363" t="s">
        <v>763</v>
      </c>
      <c r="V185" s="363" t="s">
        <v>764</v>
      </c>
      <c r="W185" s="359" t="s">
        <v>1315</v>
      </c>
      <c r="X185" s="359" t="s">
        <v>1316</v>
      </c>
      <c r="Y185" s="364" t="s">
        <v>765</v>
      </c>
    </row>
    <row r="186" spans="1:25" ht="34.5" customHeight="1" thickBot="1">
      <c r="A186" s="2230"/>
      <c r="B186" s="2213"/>
      <c r="C186" s="2213"/>
      <c r="D186" s="2213"/>
      <c r="E186" s="2213"/>
      <c r="F186" s="2109"/>
      <c r="G186" s="2109"/>
      <c r="H186" s="2109"/>
      <c r="I186" s="2109"/>
      <c r="J186" s="2180"/>
      <c r="K186" s="2180"/>
      <c r="L186" s="2180"/>
      <c r="M186" s="2180"/>
      <c r="N186" s="2240"/>
      <c r="O186" s="2240"/>
      <c r="P186" s="2189"/>
      <c r="Q186" s="2189"/>
      <c r="R186" s="2109"/>
      <c r="S186" s="2109"/>
      <c r="T186" s="362">
        <f>'بند3-1مقاله علمي پژوهشيJCRو...'!H227</f>
        <v>0</v>
      </c>
      <c r="U186" s="362">
        <f>'بند3-1مقاله علمي پژوهشيJCRو...'!J227</f>
        <v>0</v>
      </c>
      <c r="V186" s="362">
        <f>'بند3-1مقاله علمي پژوهشيJCRو...'!F227</f>
        <v>0</v>
      </c>
      <c r="W186" s="362">
        <f>'بند3-1مقاله علمي پژوهشيJCRو...'!N227</f>
        <v>0</v>
      </c>
      <c r="X186" s="362">
        <f>'بند3-1مقاله علمي پژوهشيJCRو...'!L227</f>
        <v>0</v>
      </c>
      <c r="Y186" s="460">
        <f ca="1">'بند3-1مقاله علمي پژوهشيJCRو...'!S225</f>
        <v>0</v>
      </c>
    </row>
    <row r="187" spans="1:25" ht="34.5" customHeight="1">
      <c r="A187" s="2230">
        <f>'بند3-1مقاله علمي پژوهشيJCRو...'!A228</f>
        <v>0</v>
      </c>
      <c r="B187" s="2213">
        <f>'بند3-1مقاله علمي پژوهشيJCRو...'!B228</f>
        <v>0</v>
      </c>
      <c r="C187" s="2213"/>
      <c r="D187" s="2213"/>
      <c r="E187" s="2213"/>
      <c r="F187" s="2109">
        <f>'بند3-1مقاله علمي پژوهشيJCRو...'!F228</f>
        <v>0</v>
      </c>
      <c r="G187" s="2109"/>
      <c r="H187" s="2109"/>
      <c r="I187" s="2109"/>
      <c r="J187" s="2180">
        <f>'بند3-1مقاله علمي پژوهشيJCRو...'!P228</f>
        <v>0</v>
      </c>
      <c r="K187" s="2180"/>
      <c r="L187" s="2180"/>
      <c r="M187" s="2180"/>
      <c r="N187" s="2240">
        <f>'بند3-1مقاله علمي پژوهشيJCRو...'!I228</f>
        <v>0</v>
      </c>
      <c r="O187" s="2240">
        <f>'بند3-1مقاله علمي پژوهشيJCRو...'!O228</f>
        <v>0</v>
      </c>
      <c r="P187" s="2189">
        <f>'بند3-1مقاله علمي پژوهشيJCRو...'!J228</f>
        <v>0</v>
      </c>
      <c r="Q187" s="2189">
        <f>'بند3-1مقاله علمي پژوهشيJCRو...'!K228</f>
        <v>0</v>
      </c>
      <c r="R187" s="2109">
        <f>'بند3-1مقاله علمي پژوهشيJCRو...'!H228</f>
        <v>0</v>
      </c>
      <c r="S187" s="2109"/>
      <c r="T187" s="363" t="s">
        <v>762</v>
      </c>
      <c r="U187" s="363" t="s">
        <v>763</v>
      </c>
      <c r="V187" s="363" t="s">
        <v>764</v>
      </c>
      <c r="W187" s="359" t="s">
        <v>1315</v>
      </c>
      <c r="X187" s="359" t="s">
        <v>1316</v>
      </c>
      <c r="Y187" s="364" t="s">
        <v>765</v>
      </c>
    </row>
    <row r="188" spans="1:25" ht="34.5" customHeight="1" thickBot="1">
      <c r="A188" s="2230"/>
      <c r="B188" s="2213"/>
      <c r="C188" s="2213"/>
      <c r="D188" s="2213"/>
      <c r="E188" s="2213"/>
      <c r="F188" s="2109"/>
      <c r="G188" s="2109"/>
      <c r="H188" s="2109"/>
      <c r="I188" s="2109"/>
      <c r="J188" s="2180"/>
      <c r="K188" s="2180"/>
      <c r="L188" s="2180"/>
      <c r="M188" s="2180"/>
      <c r="N188" s="2240"/>
      <c r="O188" s="2240"/>
      <c r="P188" s="2189"/>
      <c r="Q188" s="2189"/>
      <c r="R188" s="2109"/>
      <c r="S188" s="2109"/>
      <c r="T188" s="362">
        <f>'بند3-1مقاله علمي پژوهشيJCRو...'!H230</f>
        <v>0</v>
      </c>
      <c r="U188" s="362">
        <f>'بند3-1مقاله علمي پژوهشيJCRو...'!J230</f>
        <v>0</v>
      </c>
      <c r="V188" s="362">
        <f>'بند3-1مقاله علمي پژوهشيJCRو...'!F230</f>
        <v>0</v>
      </c>
      <c r="W188" s="362">
        <f>'بند3-1مقاله علمي پژوهشيJCRو...'!N230</f>
        <v>0</v>
      </c>
      <c r="X188" s="362">
        <f>'بند3-1مقاله علمي پژوهشيJCRو...'!L230</f>
        <v>0</v>
      </c>
      <c r="Y188" s="460">
        <f ca="1">'بند3-1مقاله علمي پژوهشيJCRو...'!S228</f>
        <v>0</v>
      </c>
    </row>
    <row r="189" spans="1:25" ht="34.5" customHeight="1">
      <c r="A189" s="2230">
        <f>'بند3-1مقاله علمي پژوهشيJCRو...'!A231</f>
        <v>0</v>
      </c>
      <c r="B189" s="2213">
        <f>'بند3-1مقاله علمي پژوهشيJCRو...'!B231</f>
        <v>0</v>
      </c>
      <c r="C189" s="2213"/>
      <c r="D189" s="2213"/>
      <c r="E189" s="2213"/>
      <c r="F189" s="2109">
        <f>'بند3-1مقاله علمي پژوهشيJCRو...'!F231</f>
        <v>0</v>
      </c>
      <c r="G189" s="2109"/>
      <c r="H189" s="2109"/>
      <c r="I189" s="2109"/>
      <c r="J189" s="2180">
        <f>'بند3-1مقاله علمي پژوهشيJCRو...'!P231</f>
        <v>0</v>
      </c>
      <c r="K189" s="2180"/>
      <c r="L189" s="2180"/>
      <c r="M189" s="2180"/>
      <c r="N189" s="2240">
        <f>'بند3-1مقاله علمي پژوهشيJCRو...'!I231</f>
        <v>0</v>
      </c>
      <c r="O189" s="2240">
        <f>'بند3-1مقاله علمي پژوهشيJCRو...'!O231</f>
        <v>0</v>
      </c>
      <c r="P189" s="2189">
        <f>'بند3-1مقاله علمي پژوهشيJCRو...'!J231</f>
        <v>0</v>
      </c>
      <c r="Q189" s="2189">
        <f>'بند3-1مقاله علمي پژوهشيJCRو...'!K231</f>
        <v>0</v>
      </c>
      <c r="R189" s="2109">
        <f>'بند3-1مقاله علمي پژوهشيJCRو...'!H231</f>
        <v>0</v>
      </c>
      <c r="S189" s="2109"/>
      <c r="T189" s="363" t="s">
        <v>762</v>
      </c>
      <c r="U189" s="363" t="s">
        <v>763</v>
      </c>
      <c r="V189" s="363" t="s">
        <v>764</v>
      </c>
      <c r="W189" s="359" t="s">
        <v>1315</v>
      </c>
      <c r="X189" s="359" t="s">
        <v>1316</v>
      </c>
      <c r="Y189" s="364" t="s">
        <v>765</v>
      </c>
    </row>
    <row r="190" spans="1:25" ht="34.5" customHeight="1" thickBot="1">
      <c r="A190" s="2230"/>
      <c r="B190" s="2213"/>
      <c r="C190" s="2213"/>
      <c r="D190" s="2213"/>
      <c r="E190" s="2213"/>
      <c r="F190" s="2109"/>
      <c r="G190" s="2109"/>
      <c r="H190" s="2109"/>
      <c r="I190" s="2109"/>
      <c r="J190" s="2180"/>
      <c r="K190" s="2180"/>
      <c r="L190" s="2180"/>
      <c r="M190" s="2180"/>
      <c r="N190" s="2240"/>
      <c r="O190" s="2240"/>
      <c r="P190" s="2189"/>
      <c r="Q190" s="2189"/>
      <c r="R190" s="2109"/>
      <c r="S190" s="2109"/>
      <c r="T190" s="362">
        <f>'بند3-1مقاله علمي پژوهشيJCRو...'!H233</f>
        <v>0</v>
      </c>
      <c r="U190" s="362">
        <f>'بند3-1مقاله علمي پژوهشيJCRو...'!J233</f>
        <v>0</v>
      </c>
      <c r="V190" s="362">
        <f>'بند3-1مقاله علمي پژوهشيJCRو...'!F233</f>
        <v>0</v>
      </c>
      <c r="W190" s="362">
        <f>'بند3-1مقاله علمي پژوهشيJCRو...'!N233</f>
        <v>0</v>
      </c>
      <c r="X190" s="362">
        <f>'بند3-1مقاله علمي پژوهشيJCRو...'!L233</f>
        <v>0</v>
      </c>
      <c r="Y190" s="460">
        <f ca="1">'بند3-1مقاله علمي پژوهشيJCRو...'!S231</f>
        <v>0</v>
      </c>
    </row>
    <row r="191" spans="1:25" ht="54.75" customHeight="1" thickBot="1">
      <c r="A191" s="367" t="s">
        <v>9</v>
      </c>
      <c r="B191" s="2242" t="s">
        <v>274</v>
      </c>
      <c r="C191" s="2243"/>
      <c r="D191" s="2243"/>
      <c r="E191" s="2244"/>
      <c r="F191" s="2242" t="s">
        <v>271</v>
      </c>
      <c r="G191" s="2243"/>
      <c r="H191" s="2243"/>
      <c r="I191" s="2244"/>
      <c r="J191" s="2102" t="s">
        <v>757</v>
      </c>
      <c r="K191" s="2103"/>
      <c r="L191" s="2103"/>
      <c r="M191" s="2104"/>
      <c r="N191" s="368" t="s">
        <v>275</v>
      </c>
      <c r="O191" s="369" t="s">
        <v>758</v>
      </c>
      <c r="P191" s="369" t="s">
        <v>759</v>
      </c>
      <c r="Q191" s="370" t="s">
        <v>784</v>
      </c>
      <c r="R191" s="2102" t="s">
        <v>760</v>
      </c>
      <c r="S191" s="2104"/>
      <c r="T191" s="2241" t="s">
        <v>761</v>
      </c>
      <c r="U191" s="2241"/>
      <c r="V191" s="2242" t="s">
        <v>13</v>
      </c>
      <c r="W191" s="2243"/>
      <c r="X191" s="2243"/>
      <c r="Y191" s="2193"/>
    </row>
    <row r="192" spans="1:25" ht="34.5" customHeight="1">
      <c r="A192" s="2230">
        <f>'بند3-1مقاله علمي پژوهشيJCRو...'!A234</f>
        <v>0</v>
      </c>
      <c r="B192" s="2213">
        <f>'بند3-1مقاله علمي پژوهشيJCRو...'!B234</f>
        <v>0</v>
      </c>
      <c r="C192" s="2213"/>
      <c r="D192" s="2213"/>
      <c r="E192" s="2213"/>
      <c r="F192" s="2109">
        <f>'بند3-1مقاله علمي پژوهشيJCRو...'!F234</f>
        <v>0</v>
      </c>
      <c r="G192" s="2109"/>
      <c r="H192" s="2109"/>
      <c r="I192" s="2109"/>
      <c r="J192" s="2180">
        <f>'بند3-1مقاله علمي پژوهشيJCRو...'!P234</f>
        <v>0</v>
      </c>
      <c r="K192" s="2180"/>
      <c r="L192" s="2180"/>
      <c r="M192" s="2180"/>
      <c r="N192" s="2240">
        <f>'بند3-1مقاله علمي پژوهشيJCRو...'!I234</f>
        <v>0</v>
      </c>
      <c r="O192" s="2240">
        <f>'بند3-1مقاله علمي پژوهشيJCRو...'!O234</f>
        <v>0</v>
      </c>
      <c r="P192" s="2189">
        <f>'بند3-1مقاله علمي پژوهشيJCRو...'!J234</f>
        <v>0</v>
      </c>
      <c r="Q192" s="2189">
        <f>'بند3-1مقاله علمي پژوهشيJCRو...'!K234</f>
        <v>0</v>
      </c>
      <c r="R192" s="2109">
        <f>'بند3-1مقاله علمي پژوهشيJCRو...'!H234</f>
        <v>0</v>
      </c>
      <c r="S192" s="2109"/>
      <c r="T192" s="363" t="s">
        <v>762</v>
      </c>
      <c r="U192" s="363" t="s">
        <v>763</v>
      </c>
      <c r="V192" s="363" t="s">
        <v>764</v>
      </c>
      <c r="W192" s="359" t="s">
        <v>1315</v>
      </c>
      <c r="X192" s="359" t="s">
        <v>1316</v>
      </c>
      <c r="Y192" s="364" t="s">
        <v>765</v>
      </c>
    </row>
    <row r="193" spans="1:25" ht="34.5" customHeight="1" thickBot="1">
      <c r="A193" s="2230"/>
      <c r="B193" s="2213"/>
      <c r="C193" s="2213"/>
      <c r="D193" s="2213"/>
      <c r="E193" s="2213"/>
      <c r="F193" s="2109"/>
      <c r="G193" s="2109"/>
      <c r="H193" s="2109"/>
      <c r="I193" s="2109"/>
      <c r="J193" s="2180"/>
      <c r="K193" s="2180"/>
      <c r="L193" s="2180"/>
      <c r="M193" s="2180"/>
      <c r="N193" s="2240"/>
      <c r="O193" s="2240"/>
      <c r="P193" s="2189"/>
      <c r="Q193" s="2189"/>
      <c r="R193" s="2109"/>
      <c r="S193" s="2109"/>
      <c r="T193" s="362">
        <f>'بند3-1مقاله علمي پژوهشيJCRو...'!H236</f>
        <v>0</v>
      </c>
      <c r="U193" s="362">
        <f>'بند3-1مقاله علمي پژوهشيJCRو...'!J236</f>
        <v>0</v>
      </c>
      <c r="V193" s="362">
        <f>'بند3-1مقاله علمي پژوهشيJCRو...'!F236</f>
        <v>0</v>
      </c>
      <c r="W193" s="362">
        <f>'بند3-1مقاله علمي پژوهشيJCRو...'!N236</f>
        <v>0</v>
      </c>
      <c r="X193" s="362">
        <f>'بند3-1مقاله علمي پژوهشيJCRو...'!L236</f>
        <v>0</v>
      </c>
      <c r="Y193" s="460">
        <f ca="1">'بند3-1مقاله علمي پژوهشيJCRو...'!S234</f>
        <v>0</v>
      </c>
    </row>
    <row r="194" spans="1:25" ht="34.5" customHeight="1">
      <c r="A194" s="2230">
        <f>'بند3-1مقاله علمي پژوهشيJCRو...'!A237</f>
        <v>0</v>
      </c>
      <c r="B194" s="2213">
        <f>'بند3-1مقاله علمي پژوهشيJCRو...'!B237</f>
        <v>0</v>
      </c>
      <c r="C194" s="2213"/>
      <c r="D194" s="2213"/>
      <c r="E194" s="2213"/>
      <c r="F194" s="2109">
        <f>'بند3-1مقاله علمي پژوهشيJCRو...'!F237</f>
        <v>0</v>
      </c>
      <c r="G194" s="2109"/>
      <c r="H194" s="2109"/>
      <c r="I194" s="2109"/>
      <c r="J194" s="2180">
        <f>'بند3-1مقاله علمي پژوهشيJCRو...'!P237</f>
        <v>0</v>
      </c>
      <c r="K194" s="2180"/>
      <c r="L194" s="2180"/>
      <c r="M194" s="2180"/>
      <c r="N194" s="2240">
        <f>'بند3-1مقاله علمي پژوهشيJCRو...'!I237</f>
        <v>0</v>
      </c>
      <c r="O194" s="2240">
        <f>'بند3-1مقاله علمي پژوهشيJCRو...'!O237</f>
        <v>0</v>
      </c>
      <c r="P194" s="2189">
        <f>'بند3-1مقاله علمي پژوهشيJCRو...'!J237</f>
        <v>0</v>
      </c>
      <c r="Q194" s="2189">
        <f>'بند3-1مقاله علمي پژوهشيJCRو...'!K237</f>
        <v>0</v>
      </c>
      <c r="R194" s="2109">
        <f>'بند3-1مقاله علمي پژوهشيJCRو...'!H237</f>
        <v>0</v>
      </c>
      <c r="S194" s="2109"/>
      <c r="T194" s="363" t="s">
        <v>762</v>
      </c>
      <c r="U194" s="363" t="s">
        <v>763</v>
      </c>
      <c r="V194" s="363" t="s">
        <v>764</v>
      </c>
      <c r="W194" s="359" t="s">
        <v>1315</v>
      </c>
      <c r="X194" s="359" t="s">
        <v>1316</v>
      </c>
      <c r="Y194" s="364" t="s">
        <v>765</v>
      </c>
    </row>
    <row r="195" spans="1:25" ht="34.5" customHeight="1" thickBot="1">
      <c r="A195" s="2230"/>
      <c r="B195" s="2213"/>
      <c r="C195" s="2213"/>
      <c r="D195" s="2213"/>
      <c r="E195" s="2213"/>
      <c r="F195" s="2109"/>
      <c r="G195" s="2109"/>
      <c r="H195" s="2109"/>
      <c r="I195" s="2109"/>
      <c r="J195" s="2180"/>
      <c r="K195" s="2180"/>
      <c r="L195" s="2180"/>
      <c r="M195" s="2180"/>
      <c r="N195" s="2240"/>
      <c r="O195" s="2240"/>
      <c r="P195" s="2189"/>
      <c r="Q195" s="2189"/>
      <c r="R195" s="2109"/>
      <c r="S195" s="2109"/>
      <c r="T195" s="362">
        <f>'بند3-1مقاله علمي پژوهشيJCRو...'!H239</f>
        <v>0</v>
      </c>
      <c r="U195" s="362">
        <f>'بند3-1مقاله علمي پژوهشيJCRو...'!J239</f>
        <v>0</v>
      </c>
      <c r="V195" s="362">
        <f>'بند3-1مقاله علمي پژوهشيJCRو...'!F239</f>
        <v>0</v>
      </c>
      <c r="W195" s="362">
        <f>'بند3-1مقاله علمي پژوهشيJCRو...'!N239</f>
        <v>0</v>
      </c>
      <c r="X195" s="362">
        <f>'بند3-1مقاله علمي پژوهشيJCRو...'!L239</f>
        <v>0</v>
      </c>
      <c r="Y195" s="460">
        <f ca="1">'بند3-1مقاله علمي پژوهشيJCRو...'!S237</f>
        <v>0</v>
      </c>
    </row>
    <row r="196" spans="1:25" ht="34.5" customHeight="1">
      <c r="A196" s="2230">
        <f>'بند3-1مقاله علمي پژوهشيJCRو...'!A240</f>
        <v>0</v>
      </c>
      <c r="B196" s="2213">
        <f>'بند3-1مقاله علمي پژوهشيJCRو...'!B240</f>
        <v>0</v>
      </c>
      <c r="C196" s="2213"/>
      <c r="D196" s="2213"/>
      <c r="E196" s="2213"/>
      <c r="F196" s="2109">
        <f>'بند3-1مقاله علمي پژوهشيJCRو...'!F240</f>
        <v>0</v>
      </c>
      <c r="G196" s="2109"/>
      <c r="H196" s="2109"/>
      <c r="I196" s="2109"/>
      <c r="J196" s="2180">
        <f>'بند3-1مقاله علمي پژوهشيJCRو...'!P240</f>
        <v>0</v>
      </c>
      <c r="K196" s="2180"/>
      <c r="L196" s="2180"/>
      <c r="M196" s="2180"/>
      <c r="N196" s="2240">
        <f>'بند3-1مقاله علمي پژوهشيJCRو...'!I240</f>
        <v>0</v>
      </c>
      <c r="O196" s="2240">
        <f>'بند3-1مقاله علمي پژوهشيJCRو...'!O240</f>
        <v>0</v>
      </c>
      <c r="P196" s="2189">
        <f>'بند3-1مقاله علمي پژوهشيJCRو...'!J240</f>
        <v>0</v>
      </c>
      <c r="Q196" s="2189">
        <f>'بند3-1مقاله علمي پژوهشيJCRو...'!K240</f>
        <v>0</v>
      </c>
      <c r="R196" s="2109">
        <f>'بند3-1مقاله علمي پژوهشيJCRو...'!H240</f>
        <v>0</v>
      </c>
      <c r="S196" s="2109"/>
      <c r="T196" s="363" t="s">
        <v>762</v>
      </c>
      <c r="U196" s="363" t="s">
        <v>763</v>
      </c>
      <c r="V196" s="363" t="s">
        <v>764</v>
      </c>
      <c r="W196" s="359" t="s">
        <v>1315</v>
      </c>
      <c r="X196" s="359" t="s">
        <v>1316</v>
      </c>
      <c r="Y196" s="364" t="s">
        <v>765</v>
      </c>
    </row>
    <row r="197" spans="1:25" ht="34.5" customHeight="1" thickBot="1">
      <c r="A197" s="2230"/>
      <c r="B197" s="2213"/>
      <c r="C197" s="2213"/>
      <c r="D197" s="2213"/>
      <c r="E197" s="2213"/>
      <c r="F197" s="2109"/>
      <c r="G197" s="2109"/>
      <c r="H197" s="2109"/>
      <c r="I197" s="2109"/>
      <c r="J197" s="2180"/>
      <c r="K197" s="2180"/>
      <c r="L197" s="2180"/>
      <c r="M197" s="2180"/>
      <c r="N197" s="2240"/>
      <c r="O197" s="2240"/>
      <c r="P197" s="2189"/>
      <c r="Q197" s="2189"/>
      <c r="R197" s="2109"/>
      <c r="S197" s="2109"/>
      <c r="T197" s="362">
        <f>'بند3-1مقاله علمي پژوهشيJCRو...'!H242</f>
        <v>0</v>
      </c>
      <c r="U197" s="362">
        <f>'بند3-1مقاله علمي پژوهشيJCRو...'!J242</f>
        <v>0</v>
      </c>
      <c r="V197" s="362">
        <f>'بند3-1مقاله علمي پژوهشيJCRو...'!F242</f>
        <v>0</v>
      </c>
      <c r="W197" s="362">
        <f>'بند3-1مقاله علمي پژوهشيJCRو...'!N242</f>
        <v>0</v>
      </c>
      <c r="X197" s="362">
        <f>'بند3-1مقاله علمي پژوهشيJCRو...'!L242</f>
        <v>0</v>
      </c>
      <c r="Y197" s="460">
        <f ca="1">'بند3-1مقاله علمي پژوهشيJCRو...'!S240</f>
        <v>0</v>
      </c>
    </row>
    <row r="198" spans="1:25" ht="34.5" customHeight="1">
      <c r="A198" s="2230">
        <f>'بند3-1مقاله علمي پژوهشيJCRو...'!A243</f>
        <v>0</v>
      </c>
      <c r="B198" s="2213">
        <f>'بند3-1مقاله علمي پژوهشيJCRو...'!B243</f>
        <v>0</v>
      </c>
      <c r="C198" s="2213"/>
      <c r="D198" s="2213"/>
      <c r="E198" s="2213"/>
      <c r="F198" s="2109">
        <f>'بند3-1مقاله علمي پژوهشيJCRو...'!F243</f>
        <v>0</v>
      </c>
      <c r="G198" s="2109"/>
      <c r="H198" s="2109"/>
      <c r="I198" s="2109"/>
      <c r="J198" s="2180">
        <f>'بند3-1مقاله علمي پژوهشيJCRو...'!P243</f>
        <v>0</v>
      </c>
      <c r="K198" s="2180"/>
      <c r="L198" s="2180"/>
      <c r="M198" s="2180"/>
      <c r="N198" s="2240">
        <f>'بند3-1مقاله علمي پژوهشيJCRو...'!I243</f>
        <v>0</v>
      </c>
      <c r="O198" s="2240">
        <f>'بند3-1مقاله علمي پژوهشيJCRو...'!O243</f>
        <v>0</v>
      </c>
      <c r="P198" s="2189">
        <f>'بند3-1مقاله علمي پژوهشيJCRو...'!J243</f>
        <v>0</v>
      </c>
      <c r="Q198" s="2189">
        <f>'بند3-1مقاله علمي پژوهشيJCRو...'!K243</f>
        <v>0</v>
      </c>
      <c r="R198" s="2109">
        <f>'بند3-1مقاله علمي پژوهشيJCRو...'!H243</f>
        <v>0</v>
      </c>
      <c r="S198" s="2109"/>
      <c r="T198" s="363" t="s">
        <v>762</v>
      </c>
      <c r="U198" s="363" t="s">
        <v>763</v>
      </c>
      <c r="V198" s="363" t="s">
        <v>764</v>
      </c>
      <c r="W198" s="359" t="s">
        <v>1315</v>
      </c>
      <c r="X198" s="359" t="s">
        <v>1316</v>
      </c>
      <c r="Y198" s="364" t="s">
        <v>765</v>
      </c>
    </row>
    <row r="199" spans="1:25" ht="34.5" customHeight="1" thickBot="1">
      <c r="A199" s="2230"/>
      <c r="B199" s="2213"/>
      <c r="C199" s="2213"/>
      <c r="D199" s="2213"/>
      <c r="E199" s="2213"/>
      <c r="F199" s="2109"/>
      <c r="G199" s="2109"/>
      <c r="H199" s="2109"/>
      <c r="I199" s="2109"/>
      <c r="J199" s="2180"/>
      <c r="K199" s="2180"/>
      <c r="L199" s="2180"/>
      <c r="M199" s="2180"/>
      <c r="N199" s="2240"/>
      <c r="O199" s="2240"/>
      <c r="P199" s="2189"/>
      <c r="Q199" s="2189"/>
      <c r="R199" s="2109"/>
      <c r="S199" s="2109"/>
      <c r="T199" s="362">
        <f>'بند3-1مقاله علمي پژوهشيJCRو...'!H245</f>
        <v>0</v>
      </c>
      <c r="U199" s="362">
        <f>'بند3-1مقاله علمي پژوهشيJCRو...'!J245</f>
        <v>0</v>
      </c>
      <c r="V199" s="362">
        <f>'بند3-1مقاله علمي پژوهشيJCRو...'!F245</f>
        <v>0</v>
      </c>
      <c r="W199" s="362">
        <f>'بند3-1مقاله علمي پژوهشيJCRو...'!N245</f>
        <v>0</v>
      </c>
      <c r="X199" s="362">
        <f>'بند3-1مقاله علمي پژوهشيJCRو...'!L245</f>
        <v>0</v>
      </c>
      <c r="Y199" s="460">
        <f ca="1">'بند3-1مقاله علمي پژوهشيJCRو...'!S243</f>
        <v>0</v>
      </c>
    </row>
    <row r="200" spans="1:25" ht="54.75" customHeight="1" thickBot="1">
      <c r="A200" s="367" t="s">
        <v>9</v>
      </c>
      <c r="B200" s="2242" t="s">
        <v>274</v>
      </c>
      <c r="C200" s="2243"/>
      <c r="D200" s="2243"/>
      <c r="E200" s="2244"/>
      <c r="F200" s="2242" t="s">
        <v>271</v>
      </c>
      <c r="G200" s="2243"/>
      <c r="H200" s="2243"/>
      <c r="I200" s="2244"/>
      <c r="J200" s="2102" t="s">
        <v>757</v>
      </c>
      <c r="K200" s="2103"/>
      <c r="L200" s="2103"/>
      <c r="M200" s="2104"/>
      <c r="N200" s="368" t="s">
        <v>275</v>
      </c>
      <c r="O200" s="369" t="s">
        <v>758</v>
      </c>
      <c r="P200" s="369" t="s">
        <v>759</v>
      </c>
      <c r="Q200" s="370" t="s">
        <v>784</v>
      </c>
      <c r="R200" s="2102" t="s">
        <v>760</v>
      </c>
      <c r="S200" s="2104"/>
      <c r="T200" s="2241" t="s">
        <v>761</v>
      </c>
      <c r="U200" s="2241"/>
      <c r="V200" s="2242" t="s">
        <v>13</v>
      </c>
      <c r="W200" s="2243"/>
      <c r="X200" s="2243"/>
      <c r="Y200" s="2193"/>
    </row>
    <row r="201" spans="1:25" ht="30" customHeight="1">
      <c r="A201" s="2230">
        <f>'بند3-1مقاله علمي پژوهشيJCRو...'!A246</f>
        <v>0</v>
      </c>
      <c r="B201" s="2213">
        <f>'بند3-1مقاله علمي پژوهشيJCRو...'!B246</f>
        <v>0</v>
      </c>
      <c r="C201" s="2213"/>
      <c r="D201" s="2213"/>
      <c r="E201" s="2213"/>
      <c r="F201" s="2109">
        <f>'بند3-1مقاله علمي پژوهشيJCRو...'!F246</f>
        <v>0</v>
      </c>
      <c r="G201" s="2109"/>
      <c r="H201" s="2109"/>
      <c r="I201" s="2109"/>
      <c r="J201" s="2180">
        <f>'بند3-1مقاله علمي پژوهشيJCRو...'!P246</f>
        <v>0</v>
      </c>
      <c r="K201" s="2180"/>
      <c r="L201" s="2180"/>
      <c r="M201" s="2180"/>
      <c r="N201" s="2240">
        <f>'بند3-1مقاله علمي پژوهشيJCRو...'!I246</f>
        <v>0</v>
      </c>
      <c r="O201" s="2240">
        <f>'بند3-1مقاله علمي پژوهشيJCRو...'!O246</f>
        <v>0</v>
      </c>
      <c r="P201" s="2189">
        <f>'بند3-1مقاله علمي پژوهشيJCRو...'!J246</f>
        <v>0</v>
      </c>
      <c r="Q201" s="2189">
        <f>'بند3-1مقاله علمي پژوهشيJCRو...'!K246</f>
        <v>0</v>
      </c>
      <c r="R201" s="2109">
        <f>'بند3-1مقاله علمي پژوهشيJCRو...'!H246</f>
        <v>0</v>
      </c>
      <c r="S201" s="2109"/>
      <c r="T201" s="363" t="s">
        <v>762</v>
      </c>
      <c r="U201" s="363" t="s">
        <v>763</v>
      </c>
      <c r="V201" s="363" t="s">
        <v>764</v>
      </c>
      <c r="W201" s="359" t="s">
        <v>1315</v>
      </c>
      <c r="X201" s="359" t="s">
        <v>1316</v>
      </c>
      <c r="Y201" s="364" t="s">
        <v>765</v>
      </c>
    </row>
    <row r="202" spans="1:25" ht="51" customHeight="1" thickBot="1">
      <c r="A202" s="2230"/>
      <c r="B202" s="2213"/>
      <c r="C202" s="2213"/>
      <c r="D202" s="2213"/>
      <c r="E202" s="2213"/>
      <c r="F202" s="2109"/>
      <c r="G202" s="2109"/>
      <c r="H202" s="2109"/>
      <c r="I202" s="2109"/>
      <c r="J202" s="2180"/>
      <c r="K202" s="2180"/>
      <c r="L202" s="2180"/>
      <c r="M202" s="2180"/>
      <c r="N202" s="2240"/>
      <c r="O202" s="2240"/>
      <c r="P202" s="2189"/>
      <c r="Q202" s="2189"/>
      <c r="R202" s="2109"/>
      <c r="S202" s="2109"/>
      <c r="T202" s="362">
        <f>'بند3-1مقاله علمي پژوهشيJCRو...'!H248</f>
        <v>0</v>
      </c>
      <c r="U202" s="362">
        <f>'بند3-1مقاله علمي پژوهشيJCRو...'!J248</f>
        <v>0</v>
      </c>
      <c r="V202" s="362">
        <f>'بند3-1مقاله علمي پژوهشيJCRو...'!F248</f>
        <v>0</v>
      </c>
      <c r="W202" s="362">
        <f>'بند3-1مقاله علمي پژوهشيJCRو...'!N248</f>
        <v>0</v>
      </c>
      <c r="X202" s="362">
        <f>'بند3-1مقاله علمي پژوهشيJCRو...'!L248</f>
        <v>0</v>
      </c>
      <c r="Y202" s="460">
        <f ca="1">'بند3-1مقاله علمي پژوهشيJCRو...'!S246</f>
        <v>0</v>
      </c>
    </row>
    <row r="203" spans="1:25" ht="43.5" customHeight="1">
      <c r="A203" s="2230">
        <f>'بند3-1مقاله علمي پژوهشيJCRو...'!A249</f>
        <v>0</v>
      </c>
      <c r="B203" s="2213">
        <f>'بند3-1مقاله علمي پژوهشيJCRو...'!B249</f>
        <v>0</v>
      </c>
      <c r="C203" s="2213"/>
      <c r="D203" s="2213"/>
      <c r="E203" s="2213"/>
      <c r="F203" s="2109">
        <f>'بند3-1مقاله علمي پژوهشيJCRو...'!F249</f>
        <v>0</v>
      </c>
      <c r="G203" s="2109"/>
      <c r="H203" s="2109"/>
      <c r="I203" s="2109"/>
      <c r="J203" s="2180">
        <f>'بند3-1مقاله علمي پژوهشيJCRو...'!P249</f>
        <v>0</v>
      </c>
      <c r="K203" s="2180"/>
      <c r="L203" s="2180"/>
      <c r="M203" s="2180"/>
      <c r="N203" s="2240">
        <f>'بند3-1مقاله علمي پژوهشيJCRو...'!I249</f>
        <v>0</v>
      </c>
      <c r="O203" s="2240">
        <f>'بند3-1مقاله علمي پژوهشيJCRو...'!O249</f>
        <v>0</v>
      </c>
      <c r="P203" s="2189">
        <f>'بند3-1مقاله علمي پژوهشيJCRو...'!J249</f>
        <v>0</v>
      </c>
      <c r="Q203" s="2189">
        <f>'بند3-1مقاله علمي پژوهشيJCRو...'!K249</f>
        <v>0</v>
      </c>
      <c r="R203" s="2109">
        <f>'بند3-1مقاله علمي پژوهشيJCRو...'!H249</f>
        <v>0</v>
      </c>
      <c r="S203" s="2109"/>
      <c r="T203" s="363" t="s">
        <v>762</v>
      </c>
      <c r="U203" s="363" t="s">
        <v>763</v>
      </c>
      <c r="V203" s="363" t="s">
        <v>764</v>
      </c>
      <c r="W203" s="359" t="s">
        <v>1315</v>
      </c>
      <c r="X203" s="359" t="s">
        <v>1316</v>
      </c>
      <c r="Y203" s="364" t="s">
        <v>765</v>
      </c>
    </row>
    <row r="204" spans="1:25" ht="34.5" customHeight="1" thickBot="1">
      <c r="A204" s="2230"/>
      <c r="B204" s="2213"/>
      <c r="C204" s="2213"/>
      <c r="D204" s="2213"/>
      <c r="E204" s="2213"/>
      <c r="F204" s="2109"/>
      <c r="G204" s="2109"/>
      <c r="H204" s="2109"/>
      <c r="I204" s="2109"/>
      <c r="J204" s="2180"/>
      <c r="K204" s="2180"/>
      <c r="L204" s="2180"/>
      <c r="M204" s="2180"/>
      <c r="N204" s="2240"/>
      <c r="O204" s="2240"/>
      <c r="P204" s="2189"/>
      <c r="Q204" s="2189"/>
      <c r="R204" s="2109"/>
      <c r="S204" s="2109"/>
      <c r="T204" s="362">
        <f>'بند3-1مقاله علمي پژوهشيJCRو...'!H251</f>
        <v>0</v>
      </c>
      <c r="U204" s="362">
        <f>'بند3-1مقاله علمي پژوهشيJCRو...'!J251</f>
        <v>0</v>
      </c>
      <c r="V204" s="362">
        <f>'بند3-1مقاله علمي پژوهشيJCRو...'!F251</f>
        <v>0</v>
      </c>
      <c r="W204" s="362">
        <f>'بند3-1مقاله علمي پژوهشيJCRو...'!N251</f>
        <v>0</v>
      </c>
      <c r="X204" s="362">
        <f>'بند3-1مقاله علمي پژوهشيJCRو...'!L251</f>
        <v>0</v>
      </c>
      <c r="Y204" s="460">
        <f ca="1">'بند3-1مقاله علمي پژوهشيJCRو...'!S249</f>
        <v>0</v>
      </c>
    </row>
    <row r="205" spans="1:25" ht="34.5" customHeight="1">
      <c r="A205" s="2230">
        <f>'بند3-1مقاله علمي پژوهشيJCRو...'!A252</f>
        <v>0</v>
      </c>
      <c r="B205" s="2213">
        <f>'بند3-1مقاله علمي پژوهشيJCRو...'!B252</f>
        <v>0</v>
      </c>
      <c r="C205" s="2213"/>
      <c r="D205" s="2213"/>
      <c r="E205" s="2213"/>
      <c r="F205" s="2109">
        <f>'بند3-1مقاله علمي پژوهشيJCRو...'!F252</f>
        <v>0</v>
      </c>
      <c r="G205" s="2109"/>
      <c r="H205" s="2109"/>
      <c r="I205" s="2109"/>
      <c r="J205" s="2180">
        <f>'بند3-1مقاله علمي پژوهشيJCRو...'!P252</f>
        <v>0</v>
      </c>
      <c r="K205" s="2180"/>
      <c r="L205" s="2180"/>
      <c r="M205" s="2180"/>
      <c r="N205" s="2240">
        <f>'بند3-1مقاله علمي پژوهشيJCRو...'!I252</f>
        <v>0</v>
      </c>
      <c r="O205" s="2240">
        <f>'بند3-1مقاله علمي پژوهشيJCRو...'!O252</f>
        <v>0</v>
      </c>
      <c r="P205" s="2189">
        <f>'بند3-1مقاله علمي پژوهشيJCRو...'!J252</f>
        <v>0</v>
      </c>
      <c r="Q205" s="2189">
        <f>'بند3-1مقاله علمي پژوهشيJCRو...'!K252</f>
        <v>0</v>
      </c>
      <c r="R205" s="2109">
        <f>'بند3-1مقاله علمي پژوهشيJCRو...'!H252</f>
        <v>0</v>
      </c>
      <c r="S205" s="2109"/>
      <c r="T205" s="363" t="s">
        <v>762</v>
      </c>
      <c r="U205" s="363" t="s">
        <v>763</v>
      </c>
      <c r="V205" s="363" t="s">
        <v>764</v>
      </c>
      <c r="W205" s="359" t="s">
        <v>1315</v>
      </c>
      <c r="X205" s="359" t="s">
        <v>1316</v>
      </c>
      <c r="Y205" s="364" t="s">
        <v>765</v>
      </c>
    </row>
    <row r="206" spans="1:25" ht="34.5" customHeight="1" thickBot="1">
      <c r="A206" s="2230"/>
      <c r="B206" s="2213"/>
      <c r="C206" s="2213"/>
      <c r="D206" s="2213"/>
      <c r="E206" s="2213"/>
      <c r="F206" s="2109"/>
      <c r="G206" s="2109"/>
      <c r="H206" s="2109"/>
      <c r="I206" s="2109"/>
      <c r="J206" s="2180"/>
      <c r="K206" s="2180"/>
      <c r="L206" s="2180"/>
      <c r="M206" s="2180"/>
      <c r="N206" s="2240"/>
      <c r="O206" s="2240"/>
      <c r="P206" s="2189"/>
      <c r="Q206" s="2189"/>
      <c r="R206" s="2109"/>
      <c r="S206" s="2109"/>
      <c r="T206" s="362">
        <f>'بند3-1مقاله علمي پژوهشيJCRو...'!H254</f>
        <v>0</v>
      </c>
      <c r="U206" s="362">
        <f>'بند3-1مقاله علمي پژوهشيJCRو...'!J254</f>
        <v>0</v>
      </c>
      <c r="V206" s="362">
        <f>'بند3-1مقاله علمي پژوهشيJCRو...'!F254</f>
        <v>0</v>
      </c>
      <c r="W206" s="362">
        <f>'بند3-1مقاله علمي پژوهشيJCRو...'!N254</f>
        <v>0</v>
      </c>
      <c r="X206" s="362">
        <f>'بند3-1مقاله علمي پژوهشيJCRو...'!L254</f>
        <v>0</v>
      </c>
      <c r="Y206" s="460">
        <f ca="1">'بند3-1مقاله علمي پژوهشيJCRو...'!S252</f>
        <v>0</v>
      </c>
    </row>
    <row r="207" spans="1:25" ht="34.5" customHeight="1">
      <c r="A207" s="2230">
        <f>'بند3-1مقاله علمي پژوهشيJCRو...'!A255</f>
        <v>0</v>
      </c>
      <c r="B207" s="2213">
        <f>'بند3-1مقاله علمي پژوهشيJCRو...'!B255</f>
        <v>0</v>
      </c>
      <c r="C207" s="2213"/>
      <c r="D207" s="2213"/>
      <c r="E207" s="2213"/>
      <c r="F207" s="2109">
        <f>'بند3-1مقاله علمي پژوهشيJCRو...'!F255</f>
        <v>0</v>
      </c>
      <c r="G207" s="2109"/>
      <c r="H207" s="2109"/>
      <c r="I207" s="2109"/>
      <c r="J207" s="2180">
        <f>'بند3-1مقاله علمي پژوهشيJCRو...'!P255</f>
        <v>0</v>
      </c>
      <c r="K207" s="2180"/>
      <c r="L207" s="2180"/>
      <c r="M207" s="2180"/>
      <c r="N207" s="2240">
        <f>'بند3-1مقاله علمي پژوهشيJCRو...'!I255</f>
        <v>0</v>
      </c>
      <c r="O207" s="2240">
        <f>'بند3-1مقاله علمي پژوهشيJCRو...'!O255</f>
        <v>0</v>
      </c>
      <c r="P207" s="2189">
        <f>'بند3-1مقاله علمي پژوهشيJCRو...'!J255</f>
        <v>0</v>
      </c>
      <c r="Q207" s="2189">
        <f>'بند3-1مقاله علمي پژوهشيJCRو...'!K255</f>
        <v>0</v>
      </c>
      <c r="R207" s="2109">
        <f>'بند3-1مقاله علمي پژوهشيJCRو...'!H255</f>
        <v>0</v>
      </c>
      <c r="S207" s="2109"/>
      <c r="T207" s="363" t="s">
        <v>762</v>
      </c>
      <c r="U207" s="363" t="s">
        <v>763</v>
      </c>
      <c r="V207" s="363" t="s">
        <v>764</v>
      </c>
      <c r="W207" s="359" t="s">
        <v>1315</v>
      </c>
      <c r="X207" s="359" t="s">
        <v>1316</v>
      </c>
      <c r="Y207" s="364" t="s">
        <v>765</v>
      </c>
    </row>
    <row r="208" spans="1:25" ht="34.5" customHeight="1" thickBot="1">
      <c r="A208" s="2230"/>
      <c r="B208" s="2213"/>
      <c r="C208" s="2213"/>
      <c r="D208" s="2213"/>
      <c r="E208" s="2213"/>
      <c r="F208" s="2109"/>
      <c r="G208" s="2109"/>
      <c r="H208" s="2109"/>
      <c r="I208" s="2109"/>
      <c r="J208" s="2180"/>
      <c r="K208" s="2180"/>
      <c r="L208" s="2180"/>
      <c r="M208" s="2180"/>
      <c r="N208" s="2240"/>
      <c r="O208" s="2240"/>
      <c r="P208" s="2189"/>
      <c r="Q208" s="2189"/>
      <c r="R208" s="2109"/>
      <c r="S208" s="2109"/>
      <c r="T208" s="362">
        <f>'بند3-1مقاله علمي پژوهشيJCRو...'!H257</f>
        <v>0</v>
      </c>
      <c r="U208" s="362">
        <f>'بند3-1مقاله علمي پژوهشيJCRو...'!J257</f>
        <v>0</v>
      </c>
      <c r="V208" s="362">
        <f>'بند3-1مقاله علمي پژوهشيJCRو...'!F257</f>
        <v>0</v>
      </c>
      <c r="W208" s="362">
        <f>'بند3-1مقاله علمي پژوهشيJCRو...'!N257</f>
        <v>0</v>
      </c>
      <c r="X208" s="362">
        <f>'بند3-1مقاله علمي پژوهشيJCRو...'!L257</f>
        <v>0</v>
      </c>
      <c r="Y208" s="460">
        <f ca="1">'بند3-1مقاله علمي پژوهشيJCRو...'!S255</f>
        <v>0</v>
      </c>
    </row>
    <row r="209" spans="1:25" ht="54.75" customHeight="1" thickBot="1">
      <c r="A209" s="367" t="s">
        <v>9</v>
      </c>
      <c r="B209" s="2242" t="s">
        <v>274</v>
      </c>
      <c r="C209" s="2243"/>
      <c r="D209" s="2243"/>
      <c r="E209" s="2244"/>
      <c r="F209" s="2242" t="s">
        <v>271</v>
      </c>
      <c r="G209" s="2243"/>
      <c r="H209" s="2243"/>
      <c r="I209" s="2244"/>
      <c r="J209" s="2102" t="s">
        <v>757</v>
      </c>
      <c r="K209" s="2103"/>
      <c r="L209" s="2103"/>
      <c r="M209" s="2104"/>
      <c r="N209" s="368" t="s">
        <v>275</v>
      </c>
      <c r="O209" s="369" t="s">
        <v>758</v>
      </c>
      <c r="P209" s="369" t="s">
        <v>759</v>
      </c>
      <c r="Q209" s="370" t="s">
        <v>784</v>
      </c>
      <c r="R209" s="2102" t="s">
        <v>760</v>
      </c>
      <c r="S209" s="2104"/>
      <c r="T209" s="2241" t="s">
        <v>761</v>
      </c>
      <c r="U209" s="2241"/>
      <c r="V209" s="2242" t="s">
        <v>13</v>
      </c>
      <c r="W209" s="2243"/>
      <c r="X209" s="2243"/>
      <c r="Y209" s="2193"/>
    </row>
    <row r="210" spans="1:25" ht="34.5" customHeight="1">
      <c r="A210" s="2230">
        <f>'بند3-1مقاله علمي پژوهشيJCRو...'!A258</f>
        <v>0</v>
      </c>
      <c r="B210" s="2213">
        <f>'بند3-1مقاله علمي پژوهشيJCRو...'!B258</f>
        <v>0</v>
      </c>
      <c r="C210" s="2213"/>
      <c r="D210" s="2213"/>
      <c r="E210" s="2213"/>
      <c r="F210" s="2109">
        <f>'بند3-1مقاله علمي پژوهشيJCRو...'!F258</f>
        <v>0</v>
      </c>
      <c r="G210" s="2109"/>
      <c r="H210" s="2109"/>
      <c r="I210" s="2109"/>
      <c r="J210" s="2180">
        <f>'بند3-1مقاله علمي پژوهشيJCRو...'!P258</f>
        <v>0</v>
      </c>
      <c r="K210" s="2180"/>
      <c r="L210" s="2180"/>
      <c r="M210" s="2180"/>
      <c r="N210" s="2240">
        <f>'بند3-1مقاله علمي پژوهشيJCRو...'!I258</f>
        <v>0</v>
      </c>
      <c r="O210" s="2240">
        <f>'بند3-1مقاله علمي پژوهشيJCRو...'!O258</f>
        <v>0</v>
      </c>
      <c r="P210" s="2189">
        <f>'بند3-1مقاله علمي پژوهشيJCRو...'!J258</f>
        <v>0</v>
      </c>
      <c r="Q210" s="2189">
        <f>'بند3-1مقاله علمي پژوهشيJCRو...'!K258</f>
        <v>0</v>
      </c>
      <c r="R210" s="2109">
        <f>'بند3-1مقاله علمي پژوهشيJCRو...'!H258</f>
        <v>0</v>
      </c>
      <c r="S210" s="2109"/>
      <c r="T210" s="363" t="s">
        <v>762</v>
      </c>
      <c r="U210" s="363" t="s">
        <v>763</v>
      </c>
      <c r="V210" s="363" t="s">
        <v>764</v>
      </c>
      <c r="W210" s="359" t="s">
        <v>1315</v>
      </c>
      <c r="X210" s="359" t="s">
        <v>1316</v>
      </c>
      <c r="Y210" s="364" t="s">
        <v>765</v>
      </c>
    </row>
    <row r="211" spans="1:25" ht="34.5" customHeight="1" thickBot="1">
      <c r="A211" s="2230"/>
      <c r="B211" s="2213"/>
      <c r="C211" s="2213"/>
      <c r="D211" s="2213"/>
      <c r="E211" s="2213"/>
      <c r="F211" s="2109"/>
      <c r="G211" s="2109"/>
      <c r="H211" s="2109"/>
      <c r="I211" s="2109"/>
      <c r="J211" s="2180"/>
      <c r="K211" s="2180"/>
      <c r="L211" s="2180"/>
      <c r="M211" s="2180"/>
      <c r="N211" s="2240"/>
      <c r="O211" s="2240"/>
      <c r="P211" s="2189"/>
      <c r="Q211" s="2189"/>
      <c r="R211" s="2109"/>
      <c r="S211" s="2109"/>
      <c r="T211" s="362">
        <f>'بند3-1مقاله علمي پژوهشيJCRو...'!H260</f>
        <v>0</v>
      </c>
      <c r="U211" s="362">
        <f>'بند3-1مقاله علمي پژوهشيJCRو...'!J260</f>
        <v>0</v>
      </c>
      <c r="V211" s="362">
        <f>'بند3-1مقاله علمي پژوهشيJCRو...'!F260</f>
        <v>0</v>
      </c>
      <c r="W211" s="362">
        <f>'بند3-1مقاله علمي پژوهشيJCRو...'!N260</f>
        <v>0</v>
      </c>
      <c r="X211" s="362">
        <f>'بند3-1مقاله علمي پژوهشيJCRو...'!L260</f>
        <v>0</v>
      </c>
      <c r="Y211" s="460">
        <f ca="1">'بند3-1مقاله علمي پژوهشيJCRو...'!S258</f>
        <v>0</v>
      </c>
    </row>
    <row r="212" spans="1:25" ht="34.5" customHeight="1">
      <c r="A212" s="2230">
        <f>'بند3-1مقاله علمي پژوهشيJCRو...'!A261</f>
        <v>0</v>
      </c>
      <c r="B212" s="2213">
        <f>'بند3-1مقاله علمي پژوهشيJCRو...'!B261</f>
        <v>0</v>
      </c>
      <c r="C212" s="2213"/>
      <c r="D212" s="2213"/>
      <c r="E212" s="2213"/>
      <c r="F212" s="2109">
        <f>'بند3-1مقاله علمي پژوهشيJCRو...'!F261</f>
        <v>0</v>
      </c>
      <c r="G212" s="2109"/>
      <c r="H212" s="2109"/>
      <c r="I212" s="2109"/>
      <c r="J212" s="2180">
        <f>'بند3-1مقاله علمي پژوهشيJCRو...'!P261</f>
        <v>0</v>
      </c>
      <c r="K212" s="2180"/>
      <c r="L212" s="2180"/>
      <c r="M212" s="2180"/>
      <c r="N212" s="2240">
        <f>'بند3-1مقاله علمي پژوهشيJCRو...'!I261</f>
        <v>0</v>
      </c>
      <c r="O212" s="2240">
        <f>'بند3-1مقاله علمي پژوهشيJCRو...'!O261</f>
        <v>0</v>
      </c>
      <c r="P212" s="2189">
        <f>'بند3-1مقاله علمي پژوهشيJCRو...'!J261</f>
        <v>0</v>
      </c>
      <c r="Q212" s="2189">
        <f>'بند3-1مقاله علمي پژوهشيJCRو...'!K261</f>
        <v>0</v>
      </c>
      <c r="R212" s="2109">
        <f>'بند3-1مقاله علمي پژوهشيJCRو...'!H261</f>
        <v>0</v>
      </c>
      <c r="S212" s="2109"/>
      <c r="T212" s="363" t="s">
        <v>762</v>
      </c>
      <c r="U212" s="363" t="s">
        <v>763</v>
      </c>
      <c r="V212" s="363" t="s">
        <v>764</v>
      </c>
      <c r="W212" s="359" t="s">
        <v>1315</v>
      </c>
      <c r="X212" s="359" t="s">
        <v>1316</v>
      </c>
      <c r="Y212" s="364" t="s">
        <v>765</v>
      </c>
    </row>
    <row r="213" spans="1:25" ht="34.5" customHeight="1" thickBot="1">
      <c r="A213" s="2230"/>
      <c r="B213" s="2213"/>
      <c r="C213" s="2213"/>
      <c r="D213" s="2213"/>
      <c r="E213" s="2213"/>
      <c r="F213" s="2109"/>
      <c r="G213" s="2109"/>
      <c r="H213" s="2109"/>
      <c r="I213" s="2109"/>
      <c r="J213" s="2180"/>
      <c r="K213" s="2180"/>
      <c r="L213" s="2180"/>
      <c r="M213" s="2180"/>
      <c r="N213" s="2240"/>
      <c r="O213" s="2240"/>
      <c r="P213" s="2189"/>
      <c r="Q213" s="2189"/>
      <c r="R213" s="2109"/>
      <c r="S213" s="2109"/>
      <c r="T213" s="362">
        <f>'بند3-1مقاله علمي پژوهشيJCRو...'!H263</f>
        <v>0</v>
      </c>
      <c r="U213" s="362">
        <f>'بند3-1مقاله علمي پژوهشيJCRو...'!J263</f>
        <v>0</v>
      </c>
      <c r="V213" s="362">
        <f>'بند3-1مقاله علمي پژوهشيJCRو...'!F263</f>
        <v>0</v>
      </c>
      <c r="W213" s="362">
        <f>'بند3-1مقاله علمي پژوهشيJCRو...'!N263</f>
        <v>0</v>
      </c>
      <c r="X213" s="362">
        <f>'بند3-1مقاله علمي پژوهشيJCRو...'!L263</f>
        <v>0</v>
      </c>
      <c r="Y213" s="460">
        <f ca="1">'بند3-1مقاله علمي پژوهشيJCRو...'!S261</f>
        <v>0</v>
      </c>
    </row>
    <row r="214" spans="1:25" ht="34.5" customHeight="1">
      <c r="A214" s="2230">
        <f>'بند3-1مقاله علمي پژوهشيJCRو...'!A264</f>
        <v>0</v>
      </c>
      <c r="B214" s="2213">
        <f>'بند3-1مقاله علمي پژوهشيJCRو...'!B264</f>
        <v>0</v>
      </c>
      <c r="C214" s="2213"/>
      <c r="D214" s="2213"/>
      <c r="E214" s="2213"/>
      <c r="F214" s="2109">
        <f>'بند3-1مقاله علمي پژوهشيJCRو...'!F264</f>
        <v>0</v>
      </c>
      <c r="G214" s="2109"/>
      <c r="H214" s="2109"/>
      <c r="I214" s="2109"/>
      <c r="J214" s="2180">
        <f>'بند3-1مقاله علمي پژوهشيJCRو...'!P264</f>
        <v>0</v>
      </c>
      <c r="K214" s="2180"/>
      <c r="L214" s="2180"/>
      <c r="M214" s="2180"/>
      <c r="N214" s="2240">
        <f>'بند3-1مقاله علمي پژوهشيJCRو...'!I264</f>
        <v>0</v>
      </c>
      <c r="O214" s="2240">
        <f>'بند3-1مقاله علمي پژوهشيJCRو...'!O264</f>
        <v>0</v>
      </c>
      <c r="P214" s="2189">
        <f>'بند3-1مقاله علمي پژوهشيJCRو...'!J264</f>
        <v>0</v>
      </c>
      <c r="Q214" s="2189">
        <f>'بند3-1مقاله علمي پژوهشيJCRو...'!K264</f>
        <v>0</v>
      </c>
      <c r="R214" s="2109">
        <f>'بند3-1مقاله علمي پژوهشيJCRو...'!H264</f>
        <v>0</v>
      </c>
      <c r="S214" s="2109"/>
      <c r="T214" s="363" t="s">
        <v>762</v>
      </c>
      <c r="U214" s="363" t="s">
        <v>763</v>
      </c>
      <c r="V214" s="363" t="s">
        <v>764</v>
      </c>
      <c r="W214" s="359" t="s">
        <v>1315</v>
      </c>
      <c r="X214" s="359" t="s">
        <v>1316</v>
      </c>
      <c r="Y214" s="364" t="s">
        <v>765</v>
      </c>
    </row>
    <row r="215" spans="1:25" ht="34.5" customHeight="1" thickBot="1">
      <c r="A215" s="2230"/>
      <c r="B215" s="2213"/>
      <c r="C215" s="2213"/>
      <c r="D215" s="2213"/>
      <c r="E215" s="2213"/>
      <c r="F215" s="2109"/>
      <c r="G215" s="2109"/>
      <c r="H215" s="2109"/>
      <c r="I215" s="2109"/>
      <c r="J215" s="2180"/>
      <c r="K215" s="2180"/>
      <c r="L215" s="2180"/>
      <c r="M215" s="2180"/>
      <c r="N215" s="2240"/>
      <c r="O215" s="2240"/>
      <c r="P215" s="2189"/>
      <c r="Q215" s="2189"/>
      <c r="R215" s="2109"/>
      <c r="S215" s="2109"/>
      <c r="T215" s="362">
        <f>'بند3-1مقاله علمي پژوهشيJCRو...'!H266</f>
        <v>0</v>
      </c>
      <c r="U215" s="362">
        <f>'بند3-1مقاله علمي پژوهشيJCRو...'!J266</f>
        <v>0</v>
      </c>
      <c r="V215" s="362">
        <f>'بند3-1مقاله علمي پژوهشيJCRو...'!F266</f>
        <v>0</v>
      </c>
      <c r="W215" s="362">
        <f>'بند3-1مقاله علمي پژوهشيJCRو...'!N266</f>
        <v>0</v>
      </c>
      <c r="X215" s="362">
        <f>'بند3-1مقاله علمي پژوهشيJCRو...'!L266</f>
        <v>0</v>
      </c>
      <c r="Y215" s="460">
        <f ca="1">'بند3-1مقاله علمي پژوهشيJCRو...'!S264</f>
        <v>0</v>
      </c>
    </row>
    <row r="216" spans="1:25" ht="34.5" customHeight="1">
      <c r="A216" s="2230">
        <f>'بند3-1مقاله علمي پژوهشيJCRو...'!A267</f>
        <v>0</v>
      </c>
      <c r="B216" s="2213">
        <f>'بند3-1مقاله علمي پژوهشيJCRو...'!B267</f>
        <v>0</v>
      </c>
      <c r="C216" s="2213"/>
      <c r="D216" s="2213"/>
      <c r="E216" s="2213"/>
      <c r="F216" s="2109">
        <f>'بند3-1مقاله علمي پژوهشيJCRو...'!F267</f>
        <v>0</v>
      </c>
      <c r="G216" s="2109"/>
      <c r="H216" s="2109"/>
      <c r="I216" s="2109"/>
      <c r="J216" s="2180">
        <f>'بند3-1مقاله علمي پژوهشيJCRو...'!P267</f>
        <v>0</v>
      </c>
      <c r="K216" s="2180"/>
      <c r="L216" s="2180"/>
      <c r="M216" s="2180"/>
      <c r="N216" s="2240">
        <f>'بند3-1مقاله علمي پژوهشيJCRو...'!I267</f>
        <v>0</v>
      </c>
      <c r="O216" s="2240">
        <f>'بند3-1مقاله علمي پژوهشيJCRو...'!O267</f>
        <v>0</v>
      </c>
      <c r="P216" s="2189">
        <f>'بند3-1مقاله علمي پژوهشيJCRو...'!J267</f>
        <v>0</v>
      </c>
      <c r="Q216" s="2189">
        <f>'بند3-1مقاله علمي پژوهشيJCRو...'!K267</f>
        <v>0</v>
      </c>
      <c r="R216" s="2109">
        <f>'بند3-1مقاله علمي پژوهشيJCRو...'!H267</f>
        <v>0</v>
      </c>
      <c r="S216" s="2109"/>
      <c r="T216" s="363" t="s">
        <v>762</v>
      </c>
      <c r="U216" s="363" t="s">
        <v>763</v>
      </c>
      <c r="V216" s="363" t="s">
        <v>764</v>
      </c>
      <c r="W216" s="359" t="s">
        <v>1315</v>
      </c>
      <c r="X216" s="359" t="s">
        <v>1316</v>
      </c>
      <c r="Y216" s="364" t="s">
        <v>765</v>
      </c>
    </row>
    <row r="217" spans="1:25" ht="34.5" customHeight="1" thickBot="1">
      <c r="A217" s="2230"/>
      <c r="B217" s="2213"/>
      <c r="C217" s="2213"/>
      <c r="D217" s="2213"/>
      <c r="E217" s="2213"/>
      <c r="F217" s="2109"/>
      <c r="G217" s="2109"/>
      <c r="H217" s="2109"/>
      <c r="I217" s="2109"/>
      <c r="J217" s="2180"/>
      <c r="K217" s="2180"/>
      <c r="L217" s="2180"/>
      <c r="M217" s="2180"/>
      <c r="N217" s="2240"/>
      <c r="O217" s="2240"/>
      <c r="P217" s="2189"/>
      <c r="Q217" s="2189"/>
      <c r="R217" s="2109"/>
      <c r="S217" s="2109"/>
      <c r="T217" s="362">
        <f>'بند3-1مقاله علمي پژوهشيJCRو...'!H269</f>
        <v>0</v>
      </c>
      <c r="U217" s="362">
        <f>'بند3-1مقاله علمي پژوهشيJCRو...'!J269</f>
        <v>0</v>
      </c>
      <c r="V217" s="362">
        <f>'بند3-1مقاله علمي پژوهشيJCRو...'!F269</f>
        <v>0</v>
      </c>
      <c r="W217" s="362">
        <f>'بند3-1مقاله علمي پژوهشيJCRو...'!N269</f>
        <v>0</v>
      </c>
      <c r="X217" s="362">
        <f>'بند3-1مقاله علمي پژوهشيJCRو...'!L269</f>
        <v>0</v>
      </c>
      <c r="Y217" s="460">
        <f ca="1">'بند3-1مقاله علمي پژوهشيJCRو...'!S267</f>
        <v>0</v>
      </c>
    </row>
    <row r="218" spans="1:25" ht="54.75" customHeight="1" thickBot="1">
      <c r="A218" s="367" t="s">
        <v>9</v>
      </c>
      <c r="B218" s="2242" t="s">
        <v>274</v>
      </c>
      <c r="C218" s="2243"/>
      <c r="D218" s="2243"/>
      <c r="E218" s="2244"/>
      <c r="F218" s="2242" t="s">
        <v>271</v>
      </c>
      <c r="G218" s="2243"/>
      <c r="H218" s="2243"/>
      <c r="I218" s="2244"/>
      <c r="J218" s="2102" t="s">
        <v>757</v>
      </c>
      <c r="K218" s="2103"/>
      <c r="L218" s="2103"/>
      <c r="M218" s="2104"/>
      <c r="N218" s="368" t="s">
        <v>275</v>
      </c>
      <c r="O218" s="369" t="s">
        <v>758</v>
      </c>
      <c r="P218" s="369" t="s">
        <v>759</v>
      </c>
      <c r="Q218" s="370" t="s">
        <v>784</v>
      </c>
      <c r="R218" s="2102" t="s">
        <v>760</v>
      </c>
      <c r="S218" s="2104"/>
      <c r="T218" s="2241" t="s">
        <v>761</v>
      </c>
      <c r="U218" s="2241"/>
      <c r="V218" s="2242" t="s">
        <v>13</v>
      </c>
      <c r="W218" s="2243"/>
      <c r="X218" s="2243"/>
      <c r="Y218" s="2193"/>
    </row>
    <row r="219" spans="1:25" ht="34.5" customHeight="1">
      <c r="A219" s="2230">
        <f>'بند3-1مقاله علمي پژوهشيJCRو...'!A270</f>
        <v>0</v>
      </c>
      <c r="B219" s="2213">
        <f>'بند3-1مقاله علمي پژوهشيJCRو...'!B270</f>
        <v>0</v>
      </c>
      <c r="C219" s="2213"/>
      <c r="D219" s="2213"/>
      <c r="E219" s="2213"/>
      <c r="F219" s="2109">
        <f>'بند3-1مقاله علمي پژوهشيJCRو...'!F270</f>
        <v>0</v>
      </c>
      <c r="G219" s="2109"/>
      <c r="H219" s="2109"/>
      <c r="I219" s="2109"/>
      <c r="J219" s="2180">
        <f>'بند3-1مقاله علمي پژوهشيJCRو...'!P270</f>
        <v>0</v>
      </c>
      <c r="K219" s="2180"/>
      <c r="L219" s="2180"/>
      <c r="M219" s="2180"/>
      <c r="N219" s="2240">
        <f>'بند3-1مقاله علمي پژوهشيJCRو...'!I270</f>
        <v>0</v>
      </c>
      <c r="O219" s="2240">
        <f>'بند3-1مقاله علمي پژوهشيJCRو...'!O270</f>
        <v>0</v>
      </c>
      <c r="P219" s="2189">
        <f>'بند3-1مقاله علمي پژوهشيJCRو...'!J270</f>
        <v>0</v>
      </c>
      <c r="Q219" s="2189">
        <f>'بند3-1مقاله علمي پژوهشيJCRو...'!K270</f>
        <v>0</v>
      </c>
      <c r="R219" s="2109">
        <f>'بند3-1مقاله علمي پژوهشيJCRو...'!H270</f>
        <v>0</v>
      </c>
      <c r="S219" s="2109"/>
      <c r="T219" s="363" t="s">
        <v>762</v>
      </c>
      <c r="U219" s="363" t="s">
        <v>763</v>
      </c>
      <c r="V219" s="363" t="s">
        <v>764</v>
      </c>
      <c r="W219" s="359" t="s">
        <v>1315</v>
      </c>
      <c r="X219" s="359" t="s">
        <v>1316</v>
      </c>
      <c r="Y219" s="364" t="s">
        <v>765</v>
      </c>
    </row>
    <row r="220" spans="1:25" ht="34.5" customHeight="1" thickBot="1">
      <c r="A220" s="2230"/>
      <c r="B220" s="2213"/>
      <c r="C220" s="2213"/>
      <c r="D220" s="2213"/>
      <c r="E220" s="2213"/>
      <c r="F220" s="2109"/>
      <c r="G220" s="2109"/>
      <c r="H220" s="2109"/>
      <c r="I220" s="2109"/>
      <c r="J220" s="2180"/>
      <c r="K220" s="2180"/>
      <c r="L220" s="2180"/>
      <c r="M220" s="2180"/>
      <c r="N220" s="2240"/>
      <c r="O220" s="2240"/>
      <c r="P220" s="2189"/>
      <c r="Q220" s="2189"/>
      <c r="R220" s="2109"/>
      <c r="S220" s="2109"/>
      <c r="T220" s="362">
        <f>'بند3-1مقاله علمي پژوهشيJCRو...'!H272</f>
        <v>0</v>
      </c>
      <c r="U220" s="362">
        <f>'بند3-1مقاله علمي پژوهشيJCRو...'!J272</f>
        <v>0</v>
      </c>
      <c r="V220" s="362">
        <f>'بند3-1مقاله علمي پژوهشيJCRو...'!F272</f>
        <v>0</v>
      </c>
      <c r="W220" s="362">
        <f>'بند3-1مقاله علمي پژوهشيJCRو...'!N272</f>
        <v>0</v>
      </c>
      <c r="X220" s="362">
        <f>'بند3-1مقاله علمي پژوهشيJCRو...'!L272</f>
        <v>0</v>
      </c>
      <c r="Y220" s="460">
        <f ca="1">'بند3-1مقاله علمي پژوهشيJCRو...'!S270</f>
        <v>0</v>
      </c>
    </row>
    <row r="221" spans="1:25" ht="34.5" customHeight="1">
      <c r="A221" s="2230">
        <f>'بند3-1مقاله علمي پژوهشيJCRو...'!A273</f>
        <v>0</v>
      </c>
      <c r="B221" s="2213">
        <f>'بند3-1مقاله علمي پژوهشيJCRو...'!B273</f>
        <v>0</v>
      </c>
      <c r="C221" s="2213"/>
      <c r="D221" s="2213"/>
      <c r="E221" s="2213"/>
      <c r="F221" s="2109">
        <f>'بند3-1مقاله علمي پژوهشيJCRو...'!F273</f>
        <v>0</v>
      </c>
      <c r="G221" s="2109"/>
      <c r="H221" s="2109"/>
      <c r="I221" s="2109"/>
      <c r="J221" s="2180">
        <f>'بند3-1مقاله علمي پژوهشيJCRو...'!P273</f>
        <v>0</v>
      </c>
      <c r="K221" s="2180"/>
      <c r="L221" s="2180"/>
      <c r="M221" s="2180"/>
      <c r="N221" s="2240">
        <f>'بند3-1مقاله علمي پژوهشيJCRو...'!I273</f>
        <v>0</v>
      </c>
      <c r="O221" s="2240">
        <f>'بند3-1مقاله علمي پژوهشيJCRو...'!O273</f>
        <v>0</v>
      </c>
      <c r="P221" s="2189">
        <f>'بند3-1مقاله علمي پژوهشيJCRو...'!J273</f>
        <v>0</v>
      </c>
      <c r="Q221" s="2189">
        <f>'بند3-1مقاله علمي پژوهشيJCRو...'!K273</f>
        <v>0</v>
      </c>
      <c r="R221" s="2109">
        <f>'بند3-1مقاله علمي پژوهشيJCRو...'!H273</f>
        <v>0</v>
      </c>
      <c r="S221" s="2109"/>
      <c r="T221" s="363" t="s">
        <v>762</v>
      </c>
      <c r="U221" s="363" t="s">
        <v>763</v>
      </c>
      <c r="V221" s="363" t="s">
        <v>764</v>
      </c>
      <c r="W221" s="359" t="s">
        <v>1315</v>
      </c>
      <c r="X221" s="359" t="s">
        <v>1316</v>
      </c>
      <c r="Y221" s="364" t="s">
        <v>765</v>
      </c>
    </row>
    <row r="222" spans="1:25" ht="34.5" customHeight="1" thickBot="1">
      <c r="A222" s="2230"/>
      <c r="B222" s="2213"/>
      <c r="C222" s="2213"/>
      <c r="D222" s="2213"/>
      <c r="E222" s="2213"/>
      <c r="F222" s="2109"/>
      <c r="G222" s="2109"/>
      <c r="H222" s="2109"/>
      <c r="I222" s="2109"/>
      <c r="J222" s="2180"/>
      <c r="K222" s="2180"/>
      <c r="L222" s="2180"/>
      <c r="M222" s="2180"/>
      <c r="N222" s="2240"/>
      <c r="O222" s="2240"/>
      <c r="P222" s="2189"/>
      <c r="Q222" s="2189"/>
      <c r="R222" s="2109"/>
      <c r="S222" s="2109"/>
      <c r="T222" s="362">
        <f>'بند3-1مقاله علمي پژوهشيJCRو...'!H275</f>
        <v>0</v>
      </c>
      <c r="U222" s="362">
        <f>'بند3-1مقاله علمي پژوهشيJCRو...'!J275</f>
        <v>0</v>
      </c>
      <c r="V222" s="362">
        <f>'بند3-1مقاله علمي پژوهشيJCRو...'!F275</f>
        <v>0</v>
      </c>
      <c r="W222" s="362">
        <f>'بند3-1مقاله علمي پژوهشيJCRو...'!N275</f>
        <v>0</v>
      </c>
      <c r="X222" s="362">
        <f>'بند3-1مقاله علمي پژوهشيJCRو...'!L275</f>
        <v>0</v>
      </c>
      <c r="Y222" s="460">
        <f ca="1">'بند3-1مقاله علمي پژوهشيJCRو...'!S273</f>
        <v>0</v>
      </c>
    </row>
    <row r="223" spans="1:25" ht="34.5" customHeight="1">
      <c r="A223" s="2230">
        <f>'بند3-1مقاله علمي پژوهشيJCRو...'!A276</f>
        <v>0</v>
      </c>
      <c r="B223" s="2213">
        <f>'بند3-1مقاله علمي پژوهشيJCRو...'!B276</f>
        <v>0</v>
      </c>
      <c r="C223" s="2213"/>
      <c r="D223" s="2213"/>
      <c r="E223" s="2213"/>
      <c r="F223" s="2109">
        <f>'بند3-1مقاله علمي پژوهشيJCRو...'!F276</f>
        <v>0</v>
      </c>
      <c r="G223" s="2109"/>
      <c r="H223" s="2109"/>
      <c r="I223" s="2109"/>
      <c r="J223" s="2180">
        <f>'بند3-1مقاله علمي پژوهشيJCRو...'!P276</f>
        <v>0</v>
      </c>
      <c r="K223" s="2180"/>
      <c r="L223" s="2180"/>
      <c r="M223" s="2180"/>
      <c r="N223" s="2240">
        <f>'بند3-1مقاله علمي پژوهشيJCRو...'!I276</f>
        <v>0</v>
      </c>
      <c r="O223" s="2240">
        <f>'بند3-1مقاله علمي پژوهشيJCRو...'!O276</f>
        <v>0</v>
      </c>
      <c r="P223" s="2189">
        <f>'بند3-1مقاله علمي پژوهشيJCRو...'!J276</f>
        <v>0</v>
      </c>
      <c r="Q223" s="2189">
        <f>'بند3-1مقاله علمي پژوهشيJCRو...'!K276</f>
        <v>0</v>
      </c>
      <c r="R223" s="2109">
        <f>'بند3-1مقاله علمي پژوهشيJCRو...'!H276</f>
        <v>0</v>
      </c>
      <c r="S223" s="2109"/>
      <c r="T223" s="363" t="s">
        <v>762</v>
      </c>
      <c r="U223" s="363" t="s">
        <v>763</v>
      </c>
      <c r="V223" s="363" t="s">
        <v>764</v>
      </c>
      <c r="W223" s="359" t="s">
        <v>1315</v>
      </c>
      <c r="X223" s="359" t="s">
        <v>1316</v>
      </c>
      <c r="Y223" s="364" t="s">
        <v>765</v>
      </c>
    </row>
    <row r="224" spans="1:25" ht="34.5" customHeight="1" thickBot="1">
      <c r="A224" s="2230"/>
      <c r="B224" s="2213"/>
      <c r="C224" s="2213"/>
      <c r="D224" s="2213"/>
      <c r="E224" s="2213"/>
      <c r="F224" s="2109"/>
      <c r="G224" s="2109"/>
      <c r="H224" s="2109"/>
      <c r="I224" s="2109"/>
      <c r="J224" s="2180"/>
      <c r="K224" s="2180"/>
      <c r="L224" s="2180"/>
      <c r="M224" s="2180"/>
      <c r="N224" s="2240"/>
      <c r="O224" s="2240"/>
      <c r="P224" s="2189"/>
      <c r="Q224" s="2189"/>
      <c r="R224" s="2109"/>
      <c r="S224" s="2109"/>
      <c r="T224" s="362">
        <f>'بند3-1مقاله علمي پژوهشيJCRو...'!H278</f>
        <v>0</v>
      </c>
      <c r="U224" s="362">
        <f>'بند3-1مقاله علمي پژوهشيJCRو...'!J278</f>
        <v>0</v>
      </c>
      <c r="V224" s="362">
        <f>'بند3-1مقاله علمي پژوهشيJCRو...'!F278</f>
        <v>0</v>
      </c>
      <c r="W224" s="362">
        <f>'بند3-1مقاله علمي پژوهشيJCRو...'!N278</f>
        <v>0</v>
      </c>
      <c r="X224" s="362">
        <f>'بند3-1مقاله علمي پژوهشيJCRو...'!L278</f>
        <v>0</v>
      </c>
      <c r="Y224" s="460">
        <f ca="1">'بند3-1مقاله علمي پژوهشيJCRو...'!S276</f>
        <v>0</v>
      </c>
    </row>
    <row r="225" spans="1:25" ht="34.5" customHeight="1">
      <c r="A225" s="2230">
        <f>'بند3-1مقاله علمي پژوهشيJCRو...'!A279</f>
        <v>0</v>
      </c>
      <c r="B225" s="2213">
        <f>'بند3-1مقاله علمي پژوهشيJCRو...'!B279</f>
        <v>0</v>
      </c>
      <c r="C225" s="2213"/>
      <c r="D225" s="2213"/>
      <c r="E225" s="2213"/>
      <c r="F225" s="2109">
        <f>'بند3-1مقاله علمي پژوهشيJCRو...'!F279</f>
        <v>0</v>
      </c>
      <c r="G225" s="2109"/>
      <c r="H225" s="2109"/>
      <c r="I225" s="2109"/>
      <c r="J225" s="2180">
        <f>'بند3-1مقاله علمي پژوهشيJCRو...'!P279</f>
        <v>0</v>
      </c>
      <c r="K225" s="2180"/>
      <c r="L225" s="2180"/>
      <c r="M225" s="2180"/>
      <c r="N225" s="2240">
        <f>'بند3-1مقاله علمي پژوهشيJCRو...'!I279</f>
        <v>0</v>
      </c>
      <c r="O225" s="2240">
        <f>'بند3-1مقاله علمي پژوهشيJCRو...'!O279</f>
        <v>0</v>
      </c>
      <c r="P225" s="2189">
        <f>'بند3-1مقاله علمي پژوهشيJCRو...'!J279</f>
        <v>0</v>
      </c>
      <c r="Q225" s="2189">
        <f>'بند3-1مقاله علمي پژوهشيJCRو...'!K279</f>
        <v>0</v>
      </c>
      <c r="R225" s="2109">
        <f>'بند3-1مقاله علمي پژوهشيJCRو...'!H279</f>
        <v>0</v>
      </c>
      <c r="S225" s="2109"/>
      <c r="T225" s="363" t="s">
        <v>762</v>
      </c>
      <c r="U225" s="363" t="s">
        <v>763</v>
      </c>
      <c r="V225" s="363" t="s">
        <v>764</v>
      </c>
      <c r="W225" s="359" t="s">
        <v>1315</v>
      </c>
      <c r="X225" s="359" t="s">
        <v>1316</v>
      </c>
      <c r="Y225" s="364" t="s">
        <v>765</v>
      </c>
    </row>
    <row r="226" spans="1:25" ht="34.5" customHeight="1" thickBot="1">
      <c r="A226" s="2230"/>
      <c r="B226" s="2213"/>
      <c r="C226" s="2213"/>
      <c r="D226" s="2213"/>
      <c r="E226" s="2213"/>
      <c r="F226" s="2109"/>
      <c r="G226" s="2109"/>
      <c r="H226" s="2109"/>
      <c r="I226" s="2109"/>
      <c r="J226" s="2180"/>
      <c r="K226" s="2180"/>
      <c r="L226" s="2180"/>
      <c r="M226" s="2180"/>
      <c r="N226" s="2240"/>
      <c r="O226" s="2240"/>
      <c r="P226" s="2189"/>
      <c r="Q226" s="2189"/>
      <c r="R226" s="2109"/>
      <c r="S226" s="2109"/>
      <c r="T226" s="362">
        <f>'بند3-1مقاله علمي پژوهشيJCRو...'!H281</f>
        <v>0</v>
      </c>
      <c r="U226" s="362">
        <f>'بند3-1مقاله علمي پژوهشيJCRو...'!J281</f>
        <v>0</v>
      </c>
      <c r="V226" s="362">
        <f>'بند3-1مقاله علمي پژوهشيJCRو...'!F281</f>
        <v>0</v>
      </c>
      <c r="W226" s="362">
        <f>'بند3-1مقاله علمي پژوهشيJCRو...'!N281</f>
        <v>0</v>
      </c>
      <c r="X226" s="362">
        <f>'بند3-1مقاله علمي پژوهشيJCRو...'!L281</f>
        <v>0</v>
      </c>
      <c r="Y226" s="460">
        <f ca="1">'بند3-1مقاله علمي پژوهشيJCRو...'!S279</f>
        <v>0</v>
      </c>
    </row>
    <row r="227" spans="1:25" ht="54.75" customHeight="1" thickBot="1">
      <c r="A227" s="367" t="s">
        <v>9</v>
      </c>
      <c r="B227" s="2242" t="s">
        <v>274</v>
      </c>
      <c r="C227" s="2243"/>
      <c r="D227" s="2243"/>
      <c r="E227" s="2244"/>
      <c r="F227" s="2242" t="s">
        <v>271</v>
      </c>
      <c r="G227" s="2243"/>
      <c r="H227" s="2243"/>
      <c r="I227" s="2244"/>
      <c r="J227" s="2102" t="s">
        <v>757</v>
      </c>
      <c r="K227" s="2103"/>
      <c r="L227" s="2103"/>
      <c r="M227" s="2104"/>
      <c r="N227" s="368" t="s">
        <v>275</v>
      </c>
      <c r="O227" s="369" t="s">
        <v>758</v>
      </c>
      <c r="P227" s="369" t="s">
        <v>759</v>
      </c>
      <c r="Q227" s="370" t="s">
        <v>784</v>
      </c>
      <c r="R227" s="2102" t="s">
        <v>760</v>
      </c>
      <c r="S227" s="2104"/>
      <c r="T227" s="2241" t="s">
        <v>761</v>
      </c>
      <c r="U227" s="2241"/>
      <c r="V227" s="2242" t="s">
        <v>13</v>
      </c>
      <c r="W227" s="2243"/>
      <c r="X227" s="2243"/>
      <c r="Y227" s="2193"/>
    </row>
    <row r="228" spans="1:25" ht="34.5" customHeight="1">
      <c r="A228" s="2230">
        <f>'بند3-1مقاله علمي پژوهشيJCRو...'!A282</f>
        <v>0</v>
      </c>
      <c r="B228" s="2213">
        <f>'بند3-1مقاله علمي پژوهشيJCRو...'!B282</f>
        <v>0</v>
      </c>
      <c r="C228" s="2213"/>
      <c r="D228" s="2213"/>
      <c r="E228" s="2213"/>
      <c r="F228" s="2109">
        <f>'بند3-1مقاله علمي پژوهشيJCRو...'!F282</f>
        <v>0</v>
      </c>
      <c r="G228" s="2109"/>
      <c r="H228" s="2109"/>
      <c r="I228" s="2109"/>
      <c r="J228" s="2180">
        <f>'بند3-1مقاله علمي پژوهشيJCRو...'!P282</f>
        <v>0</v>
      </c>
      <c r="K228" s="2180"/>
      <c r="L228" s="2180"/>
      <c r="M228" s="2180"/>
      <c r="N228" s="2240">
        <f>'بند3-1مقاله علمي پژوهشيJCRو...'!I282</f>
        <v>0</v>
      </c>
      <c r="O228" s="2240">
        <f>'بند3-1مقاله علمي پژوهشيJCRو...'!O282</f>
        <v>0</v>
      </c>
      <c r="P228" s="2189">
        <f>'بند3-1مقاله علمي پژوهشيJCRو...'!J282</f>
        <v>0</v>
      </c>
      <c r="Q228" s="2189">
        <f>'بند3-1مقاله علمي پژوهشيJCRو...'!K282</f>
        <v>0</v>
      </c>
      <c r="R228" s="2109">
        <f>'بند3-1مقاله علمي پژوهشيJCRو...'!H282</f>
        <v>0</v>
      </c>
      <c r="S228" s="2109"/>
      <c r="T228" s="363" t="s">
        <v>762</v>
      </c>
      <c r="U228" s="363" t="s">
        <v>763</v>
      </c>
      <c r="V228" s="363" t="s">
        <v>764</v>
      </c>
      <c r="W228" s="359" t="s">
        <v>1315</v>
      </c>
      <c r="X228" s="359" t="s">
        <v>1316</v>
      </c>
      <c r="Y228" s="364" t="s">
        <v>765</v>
      </c>
    </row>
    <row r="229" spans="1:25" ht="34.5" customHeight="1" thickBot="1">
      <c r="A229" s="2230"/>
      <c r="B229" s="2213"/>
      <c r="C229" s="2213"/>
      <c r="D229" s="2213"/>
      <c r="E229" s="2213"/>
      <c r="F229" s="2109"/>
      <c r="G229" s="2109"/>
      <c r="H229" s="2109"/>
      <c r="I229" s="2109"/>
      <c r="J229" s="2180"/>
      <c r="K229" s="2180"/>
      <c r="L229" s="2180"/>
      <c r="M229" s="2180"/>
      <c r="N229" s="2240"/>
      <c r="O229" s="2240"/>
      <c r="P229" s="2189"/>
      <c r="Q229" s="2189"/>
      <c r="R229" s="2109"/>
      <c r="S229" s="2109"/>
      <c r="T229" s="362">
        <f>'بند3-1مقاله علمي پژوهشيJCRو...'!H284</f>
        <v>0</v>
      </c>
      <c r="U229" s="362">
        <f>'بند3-1مقاله علمي پژوهشيJCRو...'!J284</f>
        <v>0</v>
      </c>
      <c r="V229" s="362">
        <f>'بند3-1مقاله علمي پژوهشيJCRو...'!F284</f>
        <v>0</v>
      </c>
      <c r="W229" s="362">
        <f>'بند3-1مقاله علمي پژوهشيJCRو...'!N284</f>
        <v>0</v>
      </c>
      <c r="X229" s="362">
        <f>'بند3-1مقاله علمي پژوهشيJCRو...'!L284</f>
        <v>0</v>
      </c>
      <c r="Y229" s="460">
        <f ca="1">'بند3-1مقاله علمي پژوهشيJCRو...'!S282</f>
        <v>0</v>
      </c>
    </row>
    <row r="230" spans="1:25" ht="34.5" customHeight="1">
      <c r="A230" s="2230">
        <f>'بند3-1مقاله علمي پژوهشيJCRو...'!A285</f>
        <v>0</v>
      </c>
      <c r="B230" s="2213">
        <f>'بند3-1مقاله علمي پژوهشيJCRو...'!B285</f>
        <v>0</v>
      </c>
      <c r="C230" s="2213"/>
      <c r="D230" s="2213"/>
      <c r="E230" s="2213"/>
      <c r="F230" s="2109">
        <f>'بند3-1مقاله علمي پژوهشيJCRو...'!F285</f>
        <v>0</v>
      </c>
      <c r="G230" s="2109"/>
      <c r="H230" s="2109"/>
      <c r="I230" s="2109"/>
      <c r="J230" s="2180">
        <f>'بند3-1مقاله علمي پژوهشيJCRو...'!P285</f>
        <v>0</v>
      </c>
      <c r="K230" s="2180"/>
      <c r="L230" s="2180"/>
      <c r="M230" s="2180"/>
      <c r="N230" s="2240">
        <f>'بند3-1مقاله علمي پژوهشيJCRو...'!I285</f>
        <v>0</v>
      </c>
      <c r="O230" s="2240">
        <f>'بند3-1مقاله علمي پژوهشيJCRو...'!O285</f>
        <v>0</v>
      </c>
      <c r="P230" s="2189">
        <f>'بند3-1مقاله علمي پژوهشيJCRو...'!J285</f>
        <v>0</v>
      </c>
      <c r="Q230" s="2189">
        <f>'بند3-1مقاله علمي پژوهشيJCRو...'!K285</f>
        <v>0</v>
      </c>
      <c r="R230" s="2109">
        <f>'بند3-1مقاله علمي پژوهشيJCRو...'!H285</f>
        <v>0</v>
      </c>
      <c r="S230" s="2109"/>
      <c r="T230" s="363" t="s">
        <v>762</v>
      </c>
      <c r="U230" s="363" t="s">
        <v>763</v>
      </c>
      <c r="V230" s="363" t="s">
        <v>764</v>
      </c>
      <c r="W230" s="359" t="s">
        <v>1315</v>
      </c>
      <c r="X230" s="359" t="s">
        <v>1316</v>
      </c>
      <c r="Y230" s="364" t="s">
        <v>765</v>
      </c>
    </row>
    <row r="231" spans="1:25" ht="34.5" customHeight="1" thickBot="1">
      <c r="A231" s="2230"/>
      <c r="B231" s="2213"/>
      <c r="C231" s="2213"/>
      <c r="D231" s="2213"/>
      <c r="E231" s="2213"/>
      <c r="F231" s="2109"/>
      <c r="G231" s="2109"/>
      <c r="H231" s="2109"/>
      <c r="I231" s="2109"/>
      <c r="J231" s="2180"/>
      <c r="K231" s="2180"/>
      <c r="L231" s="2180"/>
      <c r="M231" s="2180"/>
      <c r="N231" s="2240"/>
      <c r="O231" s="2240"/>
      <c r="P231" s="2189"/>
      <c r="Q231" s="2189"/>
      <c r="R231" s="2109"/>
      <c r="S231" s="2109"/>
      <c r="T231" s="362">
        <f>'بند3-1مقاله علمي پژوهشيJCRو...'!H287</f>
        <v>0</v>
      </c>
      <c r="U231" s="362">
        <f>'بند3-1مقاله علمي پژوهشيJCRو...'!J287</f>
        <v>0</v>
      </c>
      <c r="V231" s="362">
        <f>'بند3-1مقاله علمي پژوهشيJCRو...'!F287</f>
        <v>0</v>
      </c>
      <c r="W231" s="362">
        <f>'بند3-1مقاله علمي پژوهشيJCRو...'!N287</f>
        <v>0</v>
      </c>
      <c r="X231" s="362">
        <f>'بند3-1مقاله علمي پژوهشيJCRو...'!L287</f>
        <v>0</v>
      </c>
      <c r="Y231" s="460">
        <f ca="1">'بند3-1مقاله علمي پژوهشيJCRو...'!S285</f>
        <v>0</v>
      </c>
    </row>
    <row r="232" spans="1:25" ht="34.5" customHeight="1">
      <c r="A232" s="2230">
        <f>'بند3-1مقاله علمي پژوهشيJCRو...'!A288</f>
        <v>0</v>
      </c>
      <c r="B232" s="2213">
        <f>'بند3-1مقاله علمي پژوهشيJCRو...'!B288</f>
        <v>0</v>
      </c>
      <c r="C232" s="2213"/>
      <c r="D232" s="2213"/>
      <c r="E232" s="2213"/>
      <c r="F232" s="2109">
        <f>'بند3-1مقاله علمي پژوهشيJCRو...'!F288</f>
        <v>0</v>
      </c>
      <c r="G232" s="2109"/>
      <c r="H232" s="2109"/>
      <c r="I232" s="2109"/>
      <c r="J232" s="2180">
        <f>'بند3-1مقاله علمي پژوهشيJCRو...'!P288</f>
        <v>0</v>
      </c>
      <c r="K232" s="2180"/>
      <c r="L232" s="2180"/>
      <c r="M232" s="2180"/>
      <c r="N232" s="2240">
        <f>'بند3-1مقاله علمي پژوهشيJCRو...'!I288</f>
        <v>0</v>
      </c>
      <c r="O232" s="2240">
        <f>'بند3-1مقاله علمي پژوهشيJCRو...'!O288</f>
        <v>0</v>
      </c>
      <c r="P232" s="2189">
        <f>'بند3-1مقاله علمي پژوهشيJCRو...'!J288</f>
        <v>0</v>
      </c>
      <c r="Q232" s="2189">
        <f>'بند3-1مقاله علمي پژوهشيJCRو...'!K288</f>
        <v>0</v>
      </c>
      <c r="R232" s="2109">
        <f>'بند3-1مقاله علمي پژوهشيJCRو...'!H288</f>
        <v>0</v>
      </c>
      <c r="S232" s="2109"/>
      <c r="T232" s="363" t="s">
        <v>762</v>
      </c>
      <c r="U232" s="363" t="s">
        <v>763</v>
      </c>
      <c r="V232" s="363" t="s">
        <v>764</v>
      </c>
      <c r="W232" s="359" t="s">
        <v>1315</v>
      </c>
      <c r="X232" s="359" t="s">
        <v>1316</v>
      </c>
      <c r="Y232" s="364" t="s">
        <v>765</v>
      </c>
    </row>
    <row r="233" spans="1:25" ht="34.5" customHeight="1" thickBot="1">
      <c r="A233" s="2230"/>
      <c r="B233" s="2213"/>
      <c r="C233" s="2213"/>
      <c r="D233" s="2213"/>
      <c r="E233" s="2213"/>
      <c r="F233" s="2109"/>
      <c r="G233" s="2109"/>
      <c r="H233" s="2109"/>
      <c r="I233" s="2109"/>
      <c r="J233" s="2180"/>
      <c r="K233" s="2180"/>
      <c r="L233" s="2180"/>
      <c r="M233" s="2180"/>
      <c r="N233" s="2240"/>
      <c r="O233" s="2240"/>
      <c r="P233" s="2189"/>
      <c r="Q233" s="2189"/>
      <c r="R233" s="2109"/>
      <c r="S233" s="2109"/>
      <c r="T233" s="362">
        <f>'بند3-1مقاله علمي پژوهشيJCRو...'!H290</f>
        <v>0</v>
      </c>
      <c r="U233" s="362">
        <f>'بند3-1مقاله علمي پژوهشيJCRو...'!J290</f>
        <v>0</v>
      </c>
      <c r="V233" s="362">
        <f>'بند3-1مقاله علمي پژوهشيJCRو...'!F290</f>
        <v>0</v>
      </c>
      <c r="W233" s="362">
        <f>'بند3-1مقاله علمي پژوهشيJCRو...'!N290</f>
        <v>0</v>
      </c>
      <c r="X233" s="362">
        <f>'بند3-1مقاله علمي پژوهشيJCRو...'!L290</f>
        <v>0</v>
      </c>
      <c r="Y233" s="460">
        <f ca="1">'بند3-1مقاله علمي پژوهشيJCRو...'!S288</f>
        <v>0</v>
      </c>
    </row>
    <row r="234" spans="1:25" ht="34.5" customHeight="1">
      <c r="A234" s="2230">
        <f>'بند3-1مقاله علمي پژوهشيJCRو...'!A291</f>
        <v>0</v>
      </c>
      <c r="B234" s="2213">
        <f>'بند3-1مقاله علمي پژوهشيJCRو...'!B291</f>
        <v>0</v>
      </c>
      <c r="C234" s="2213"/>
      <c r="D234" s="2213"/>
      <c r="E234" s="2213"/>
      <c r="F234" s="2109">
        <f>'بند3-1مقاله علمي پژوهشيJCRو...'!F291</f>
        <v>0</v>
      </c>
      <c r="G234" s="2109"/>
      <c r="H234" s="2109"/>
      <c r="I234" s="2109"/>
      <c r="J234" s="2180">
        <f>'بند3-1مقاله علمي پژوهشيJCRو...'!P291</f>
        <v>0</v>
      </c>
      <c r="K234" s="2180"/>
      <c r="L234" s="2180"/>
      <c r="M234" s="2180"/>
      <c r="N234" s="2240">
        <f>'بند3-1مقاله علمي پژوهشيJCRو...'!I291</f>
        <v>0</v>
      </c>
      <c r="O234" s="2240">
        <f>'بند3-1مقاله علمي پژوهشيJCRو...'!O291</f>
        <v>0</v>
      </c>
      <c r="P234" s="2189">
        <f>'بند3-1مقاله علمي پژوهشيJCRو...'!J291</f>
        <v>0</v>
      </c>
      <c r="Q234" s="2189">
        <f>'بند3-1مقاله علمي پژوهشيJCRو...'!K291</f>
        <v>0</v>
      </c>
      <c r="R234" s="2109">
        <f>'بند3-1مقاله علمي پژوهشيJCRو...'!H291</f>
        <v>0</v>
      </c>
      <c r="S234" s="2109"/>
      <c r="T234" s="363" t="s">
        <v>762</v>
      </c>
      <c r="U234" s="363" t="s">
        <v>763</v>
      </c>
      <c r="V234" s="363" t="s">
        <v>764</v>
      </c>
      <c r="W234" s="359" t="s">
        <v>1315</v>
      </c>
      <c r="X234" s="359" t="s">
        <v>1316</v>
      </c>
      <c r="Y234" s="364" t="s">
        <v>765</v>
      </c>
    </row>
    <row r="235" spans="1:25" ht="34.5" customHeight="1" thickBot="1">
      <c r="A235" s="2230"/>
      <c r="B235" s="2213"/>
      <c r="C235" s="2213"/>
      <c r="D235" s="2213"/>
      <c r="E235" s="2213"/>
      <c r="F235" s="2109"/>
      <c r="G235" s="2109"/>
      <c r="H235" s="2109"/>
      <c r="I235" s="2109"/>
      <c r="J235" s="2180"/>
      <c r="K235" s="2180"/>
      <c r="L235" s="2180"/>
      <c r="M235" s="2180"/>
      <c r="N235" s="2240"/>
      <c r="O235" s="2240"/>
      <c r="P235" s="2189"/>
      <c r="Q235" s="2189"/>
      <c r="R235" s="2109"/>
      <c r="S235" s="2109"/>
      <c r="T235" s="362">
        <f>'بند3-1مقاله علمي پژوهشيJCRو...'!H293</f>
        <v>0</v>
      </c>
      <c r="U235" s="362">
        <f>'بند3-1مقاله علمي پژوهشيJCRو...'!J293</f>
        <v>0</v>
      </c>
      <c r="V235" s="362">
        <f>'بند3-1مقاله علمي پژوهشيJCRو...'!F293</f>
        <v>0</v>
      </c>
      <c r="W235" s="362">
        <f>'بند3-1مقاله علمي پژوهشيJCRو...'!N293</f>
        <v>0</v>
      </c>
      <c r="X235" s="362">
        <f>'بند3-1مقاله علمي پژوهشيJCRو...'!L293</f>
        <v>0</v>
      </c>
      <c r="Y235" s="460">
        <f ca="1">'بند3-1مقاله علمي پژوهشيJCRو...'!S291</f>
        <v>0</v>
      </c>
    </row>
    <row r="236" spans="1:25" ht="54.75" customHeight="1" thickBot="1">
      <c r="A236" s="355" t="s">
        <v>9</v>
      </c>
      <c r="B236" s="2127" t="s">
        <v>274</v>
      </c>
      <c r="C236" s="2128"/>
      <c r="D236" s="2128"/>
      <c r="E236" s="2129"/>
      <c r="F236" s="2127" t="s">
        <v>271</v>
      </c>
      <c r="G236" s="2128"/>
      <c r="H236" s="2128"/>
      <c r="I236" s="2129"/>
      <c r="J236" s="2246" t="s">
        <v>757</v>
      </c>
      <c r="K236" s="2247"/>
      <c r="L236" s="2247"/>
      <c r="M236" s="2248"/>
      <c r="N236" s="356" t="s">
        <v>275</v>
      </c>
      <c r="O236" s="357" t="s">
        <v>758</v>
      </c>
      <c r="P236" s="357" t="s">
        <v>759</v>
      </c>
      <c r="Q236" s="358" t="s">
        <v>784</v>
      </c>
      <c r="R236" s="2246" t="s">
        <v>760</v>
      </c>
      <c r="S236" s="2248"/>
      <c r="T236" s="2245" t="s">
        <v>761</v>
      </c>
      <c r="U236" s="2245"/>
      <c r="V236" s="2127" t="s">
        <v>13</v>
      </c>
      <c r="W236" s="2128"/>
      <c r="X236" s="2128"/>
      <c r="Y236" s="2188"/>
    </row>
    <row r="237" spans="1:25" ht="29.25" customHeight="1">
      <c r="A237" s="2196">
        <f>'بند3-1مقاله علمي پژوهشيJCRو...'!A294</f>
        <v>0</v>
      </c>
      <c r="B237" s="2212">
        <f>'بند3-1مقاله علمي پژوهشيJCRو...'!B294</f>
        <v>0</v>
      </c>
      <c r="C237" s="2212"/>
      <c r="D237" s="2212"/>
      <c r="E237" s="2212"/>
      <c r="F237" s="2229">
        <f>'بند3-1مقاله علمي پژوهشيJCRو...'!F294</f>
        <v>0</v>
      </c>
      <c r="G237" s="2229"/>
      <c r="H237" s="2229"/>
      <c r="I237" s="2229"/>
      <c r="J237" s="2178">
        <f>'بند3-1مقاله علمي پژوهشيJCRو...'!P294</f>
        <v>0</v>
      </c>
      <c r="K237" s="2178"/>
      <c r="L237" s="2178"/>
      <c r="M237" s="2178"/>
      <c r="N237" s="2239">
        <f>'بند3-1مقاله علمي پژوهشيJCRو...'!I294</f>
        <v>0</v>
      </c>
      <c r="O237" s="2239">
        <f>'بند3-1مقاله علمي پژوهشيJCRو...'!O294</f>
        <v>0</v>
      </c>
      <c r="P237" s="2228">
        <f>'بند3-1مقاله علمي پژوهشيJCRو...'!J294</f>
        <v>0</v>
      </c>
      <c r="Q237" s="2228">
        <f>'بند3-1مقاله علمي پژوهشيJCRو...'!K294</f>
        <v>0</v>
      </c>
      <c r="R237" s="2229">
        <f>'بند3-1مقاله علمي پژوهشيJCRو...'!H294</f>
        <v>0</v>
      </c>
      <c r="S237" s="2229"/>
      <c r="T237" s="365" t="s">
        <v>762</v>
      </c>
      <c r="U237" s="365" t="s">
        <v>763</v>
      </c>
      <c r="V237" s="365" t="s">
        <v>764</v>
      </c>
      <c r="W237" s="359" t="s">
        <v>1315</v>
      </c>
      <c r="X237" s="359" t="s">
        <v>1316</v>
      </c>
      <c r="Y237" s="366" t="s">
        <v>765</v>
      </c>
    </row>
    <row r="238" spans="1:25" ht="29.25" customHeight="1" thickBot="1">
      <c r="A238" s="2230"/>
      <c r="B238" s="2213"/>
      <c r="C238" s="2213"/>
      <c r="D238" s="2213"/>
      <c r="E238" s="2213"/>
      <c r="F238" s="2109"/>
      <c r="G238" s="2109"/>
      <c r="H238" s="2109"/>
      <c r="I238" s="2109"/>
      <c r="J238" s="2180"/>
      <c r="K238" s="2180"/>
      <c r="L238" s="2180"/>
      <c r="M238" s="2180"/>
      <c r="N238" s="2240"/>
      <c r="O238" s="2240"/>
      <c r="P238" s="2189"/>
      <c r="Q238" s="2189"/>
      <c r="R238" s="2109"/>
      <c r="S238" s="2109"/>
      <c r="T238" s="362">
        <f>'بند3-1مقاله علمي پژوهشيJCRو...'!H296</f>
        <v>0</v>
      </c>
      <c r="U238" s="362">
        <f>'بند3-1مقاله علمي پژوهشيJCRو...'!J296</f>
        <v>0</v>
      </c>
      <c r="V238" s="362">
        <f>'بند3-1مقاله علمي پژوهشيJCRو...'!F296</f>
        <v>0</v>
      </c>
      <c r="W238" s="362">
        <f>'بند3-1مقاله علمي پژوهشيJCRو...'!N296</f>
        <v>0</v>
      </c>
      <c r="X238" s="362">
        <f>'بند3-1مقاله علمي پژوهشيJCRو...'!L296</f>
        <v>0</v>
      </c>
      <c r="Y238" s="460">
        <f ca="1">'بند3-1مقاله علمي پژوهشيJCRو...'!S294</f>
        <v>0</v>
      </c>
    </row>
    <row r="239" spans="1:25" ht="29.25" customHeight="1">
      <c r="A239" s="2230">
        <f>'بند3-1مقاله علمي پژوهشيJCRو...'!A297</f>
        <v>0</v>
      </c>
      <c r="B239" s="2213">
        <f>'بند3-1مقاله علمي پژوهشيJCRو...'!B297</f>
        <v>0</v>
      </c>
      <c r="C239" s="2213"/>
      <c r="D239" s="2213"/>
      <c r="E239" s="2213"/>
      <c r="F239" s="2109">
        <f>'بند3-1مقاله علمي پژوهشيJCRو...'!F297</f>
        <v>0</v>
      </c>
      <c r="G239" s="2109"/>
      <c r="H239" s="2109"/>
      <c r="I239" s="2109"/>
      <c r="J239" s="2180">
        <f>'بند3-1مقاله علمي پژوهشيJCRو...'!P297</f>
        <v>0</v>
      </c>
      <c r="K239" s="2180"/>
      <c r="L239" s="2180"/>
      <c r="M239" s="2180"/>
      <c r="N239" s="2240">
        <f>'بند3-1مقاله علمي پژوهشيJCRو...'!I297</f>
        <v>0</v>
      </c>
      <c r="O239" s="2240">
        <f>'بند3-1مقاله علمي پژوهشيJCRو...'!O297</f>
        <v>0</v>
      </c>
      <c r="P239" s="2189">
        <f>'بند3-1مقاله علمي پژوهشيJCRو...'!J297</f>
        <v>0</v>
      </c>
      <c r="Q239" s="2189">
        <f>'بند3-1مقاله علمي پژوهشيJCRو...'!K297</f>
        <v>0</v>
      </c>
      <c r="R239" s="2109">
        <f>'بند3-1مقاله علمي پژوهشيJCRو...'!H297</f>
        <v>0</v>
      </c>
      <c r="S239" s="2109"/>
      <c r="T239" s="363" t="s">
        <v>762</v>
      </c>
      <c r="U239" s="363" t="s">
        <v>763</v>
      </c>
      <c r="V239" s="363" t="s">
        <v>764</v>
      </c>
      <c r="W239" s="359" t="s">
        <v>1315</v>
      </c>
      <c r="X239" s="359" t="s">
        <v>1316</v>
      </c>
      <c r="Y239" s="364" t="s">
        <v>765</v>
      </c>
    </row>
    <row r="240" spans="1:25" ht="29.25" customHeight="1" thickBot="1">
      <c r="A240" s="2230"/>
      <c r="B240" s="2213"/>
      <c r="C240" s="2213"/>
      <c r="D240" s="2213"/>
      <c r="E240" s="2213"/>
      <c r="F240" s="2109"/>
      <c r="G240" s="2109"/>
      <c r="H240" s="2109"/>
      <c r="I240" s="2109"/>
      <c r="J240" s="2180"/>
      <c r="K240" s="2180"/>
      <c r="L240" s="2180"/>
      <c r="M240" s="2180"/>
      <c r="N240" s="2240"/>
      <c r="O240" s="2240"/>
      <c r="P240" s="2189"/>
      <c r="Q240" s="2189"/>
      <c r="R240" s="2109"/>
      <c r="S240" s="2109"/>
      <c r="T240" s="362">
        <f>'بند3-1مقاله علمي پژوهشيJCRو...'!H299</f>
        <v>0</v>
      </c>
      <c r="U240" s="362">
        <f>'بند3-1مقاله علمي پژوهشيJCRو...'!J299</f>
        <v>0</v>
      </c>
      <c r="V240" s="362">
        <f>'بند3-1مقاله علمي پژوهشيJCRو...'!F299</f>
        <v>0</v>
      </c>
      <c r="W240" s="362">
        <f>'بند3-1مقاله علمي پژوهشيJCRو...'!N299</f>
        <v>0</v>
      </c>
      <c r="X240" s="362">
        <f>'بند3-1مقاله علمي پژوهشيJCRو...'!L299</f>
        <v>0</v>
      </c>
      <c r="Y240" s="460">
        <f ca="1">'بند3-1مقاله علمي پژوهشيJCRو...'!S297</f>
        <v>0</v>
      </c>
    </row>
    <row r="241" spans="1:25" ht="29.25" customHeight="1">
      <c r="A241" s="2230">
        <f>'بند3-1مقاله علمي پژوهشيJCRو...'!A300</f>
        <v>0</v>
      </c>
      <c r="B241" s="2213">
        <f>'بند3-1مقاله علمي پژوهشيJCRو...'!B300</f>
        <v>0</v>
      </c>
      <c r="C241" s="2213"/>
      <c r="D241" s="2213"/>
      <c r="E241" s="2213"/>
      <c r="F241" s="2109">
        <f>'بند3-1مقاله علمي پژوهشيJCRو...'!F300</f>
        <v>0</v>
      </c>
      <c r="G241" s="2109"/>
      <c r="H241" s="2109"/>
      <c r="I241" s="2109"/>
      <c r="J241" s="2180">
        <f>'بند3-1مقاله علمي پژوهشيJCRو...'!P300</f>
        <v>0</v>
      </c>
      <c r="K241" s="2180"/>
      <c r="L241" s="2180"/>
      <c r="M241" s="2180"/>
      <c r="N241" s="2240">
        <f>'بند3-1مقاله علمي پژوهشيJCRو...'!I300</f>
        <v>0</v>
      </c>
      <c r="O241" s="2240">
        <f>'بند3-1مقاله علمي پژوهشيJCRو...'!O300</f>
        <v>0</v>
      </c>
      <c r="P241" s="2189">
        <f>'بند3-1مقاله علمي پژوهشيJCRو...'!J300</f>
        <v>0</v>
      </c>
      <c r="Q241" s="2189">
        <f>'بند3-1مقاله علمي پژوهشيJCRو...'!K300</f>
        <v>0</v>
      </c>
      <c r="R241" s="2109">
        <f>'بند3-1مقاله علمي پژوهشيJCRو...'!H300</f>
        <v>0</v>
      </c>
      <c r="S241" s="2109"/>
      <c r="T241" s="363" t="s">
        <v>762</v>
      </c>
      <c r="U241" s="363" t="s">
        <v>763</v>
      </c>
      <c r="V241" s="363" t="s">
        <v>764</v>
      </c>
      <c r="W241" s="359" t="s">
        <v>1315</v>
      </c>
      <c r="X241" s="359" t="s">
        <v>1316</v>
      </c>
      <c r="Y241" s="364" t="s">
        <v>765</v>
      </c>
    </row>
    <row r="242" spans="1:25" ht="29.25" customHeight="1" thickBot="1">
      <c r="A242" s="2230"/>
      <c r="B242" s="2213"/>
      <c r="C242" s="2213"/>
      <c r="D242" s="2213"/>
      <c r="E242" s="2213"/>
      <c r="F242" s="2109"/>
      <c r="G242" s="2109"/>
      <c r="H242" s="2109"/>
      <c r="I242" s="2109"/>
      <c r="J242" s="2180"/>
      <c r="K242" s="2180"/>
      <c r="L242" s="2180"/>
      <c r="M242" s="2180"/>
      <c r="N242" s="2240"/>
      <c r="O242" s="2240"/>
      <c r="P242" s="2189"/>
      <c r="Q242" s="2189"/>
      <c r="R242" s="2109"/>
      <c r="S242" s="2109"/>
      <c r="T242" s="362">
        <f>'بند3-1مقاله علمي پژوهشيJCRو...'!H302</f>
        <v>0</v>
      </c>
      <c r="U242" s="362">
        <f>'بند3-1مقاله علمي پژوهشيJCRو...'!J302</f>
        <v>0</v>
      </c>
      <c r="V242" s="362">
        <f>'بند3-1مقاله علمي پژوهشيJCRو...'!F302</f>
        <v>0</v>
      </c>
      <c r="W242" s="362">
        <f>'بند3-1مقاله علمي پژوهشيJCRو...'!N302</f>
        <v>0</v>
      </c>
      <c r="X242" s="362">
        <f>'بند3-1مقاله علمي پژوهشيJCRو...'!L302</f>
        <v>0</v>
      </c>
      <c r="Y242" s="460">
        <f ca="1">'بند3-1مقاله علمي پژوهشيJCRو...'!S300</f>
        <v>0</v>
      </c>
    </row>
    <row r="243" spans="1:25" ht="29.25" customHeight="1">
      <c r="A243" s="2230">
        <f>'بند3-1مقاله علمي پژوهشيJCRو...'!A303</f>
        <v>0</v>
      </c>
      <c r="B243" s="2213">
        <f>'بند3-1مقاله علمي پژوهشيJCRو...'!B303</f>
        <v>0</v>
      </c>
      <c r="C243" s="2213"/>
      <c r="D243" s="2213"/>
      <c r="E243" s="2213"/>
      <c r="F243" s="2109">
        <f>'بند3-1مقاله علمي پژوهشيJCRو...'!F303</f>
        <v>0</v>
      </c>
      <c r="G243" s="2109"/>
      <c r="H243" s="2109"/>
      <c r="I243" s="2109"/>
      <c r="J243" s="2180">
        <f>'بند3-1مقاله علمي پژوهشيJCRو...'!P303</f>
        <v>0</v>
      </c>
      <c r="K243" s="2180"/>
      <c r="L243" s="2180"/>
      <c r="M243" s="2180"/>
      <c r="N243" s="2240">
        <f>'بند3-1مقاله علمي پژوهشيJCRو...'!I303</f>
        <v>0</v>
      </c>
      <c r="O243" s="2240">
        <f>'بند3-1مقاله علمي پژوهشيJCRو...'!O303</f>
        <v>0</v>
      </c>
      <c r="P243" s="2189">
        <f>'بند3-1مقاله علمي پژوهشيJCRو...'!J303</f>
        <v>0</v>
      </c>
      <c r="Q243" s="2189">
        <f>'بند3-1مقاله علمي پژوهشيJCRو...'!K303</f>
        <v>0</v>
      </c>
      <c r="R243" s="2109">
        <f>'بند3-1مقاله علمي پژوهشيJCRو...'!H303</f>
        <v>0</v>
      </c>
      <c r="S243" s="2109"/>
      <c r="T243" s="363" t="s">
        <v>762</v>
      </c>
      <c r="U243" s="363" t="s">
        <v>763</v>
      </c>
      <c r="V243" s="363" t="s">
        <v>764</v>
      </c>
      <c r="W243" s="359" t="s">
        <v>1315</v>
      </c>
      <c r="X243" s="359" t="s">
        <v>1316</v>
      </c>
      <c r="Y243" s="364" t="s">
        <v>765</v>
      </c>
    </row>
    <row r="244" spans="1:25" ht="29.25" customHeight="1" thickBot="1">
      <c r="A244" s="2319"/>
      <c r="B244" s="2320"/>
      <c r="C244" s="2320"/>
      <c r="D244" s="2320"/>
      <c r="E244" s="2320"/>
      <c r="F244" s="2321"/>
      <c r="G244" s="2321"/>
      <c r="H244" s="2321"/>
      <c r="I244" s="2321"/>
      <c r="J244" s="2146"/>
      <c r="K244" s="2146"/>
      <c r="L244" s="2146"/>
      <c r="M244" s="2146"/>
      <c r="N244" s="2322"/>
      <c r="O244" s="2322"/>
      <c r="P244" s="2323"/>
      <c r="Q244" s="2323"/>
      <c r="R244" s="2321"/>
      <c r="S244" s="2321"/>
      <c r="T244" s="371">
        <f>'بند3-1مقاله علمي پژوهشيJCRو...'!H305</f>
        <v>0</v>
      </c>
      <c r="U244" s="371">
        <f>'بند3-1مقاله علمي پژوهشيJCRو...'!J305</f>
        <v>0</v>
      </c>
      <c r="V244" s="371">
        <f>'بند3-1مقاله علمي پژوهشيJCRو...'!F305</f>
        <v>0</v>
      </c>
      <c r="W244" s="371">
        <f>'بند3-1مقاله علمي پژوهشيJCRو...'!N305</f>
        <v>0</v>
      </c>
      <c r="X244" s="371">
        <f>'بند3-1مقاله علمي پژوهشيJCRو...'!L305</f>
        <v>0</v>
      </c>
      <c r="Y244" s="462">
        <f ca="1">'بند3-1مقاله علمي پژوهشيJCRو...'!S303</f>
        <v>0</v>
      </c>
    </row>
    <row r="245" spans="1:25" ht="29.25" customHeight="1" thickBot="1">
      <c r="A245" s="2324" t="s">
        <v>766</v>
      </c>
      <c r="B245" s="2325"/>
      <c r="C245" s="2325"/>
      <c r="D245" s="2325"/>
      <c r="E245" s="2325"/>
      <c r="F245" s="2325"/>
      <c r="G245" s="2325"/>
      <c r="H245" s="2325"/>
      <c r="I245" s="2325"/>
      <c r="J245" s="2325"/>
      <c r="K245" s="2325"/>
      <c r="L245" s="2325"/>
      <c r="M245" s="2325"/>
      <c r="N245" s="2325"/>
      <c r="O245" s="2325"/>
      <c r="P245" s="2325"/>
      <c r="Q245" s="2325"/>
      <c r="R245" s="2325"/>
      <c r="S245" s="2325"/>
      <c r="T245" s="2325"/>
      <c r="U245" s="2325"/>
      <c r="V245" s="2325"/>
      <c r="W245" s="2326"/>
      <c r="X245" s="2327">
        <f ca="1">'بند3-1مقاله علمي پژوهشيJCRو...'!S306</f>
        <v>0</v>
      </c>
      <c r="Y245" s="2328"/>
    </row>
    <row r="246" spans="1:25" ht="29.25" customHeight="1" thickBot="1">
      <c r="A246" s="2332" t="s">
        <v>671</v>
      </c>
      <c r="B246" s="2333"/>
      <c r="C246" s="2333"/>
      <c r="D246" s="195">
        <f>'بند3-1مقاله علمي پژوهشيJCRو...'!AA306</f>
        <v>0</v>
      </c>
      <c r="E246" s="2333" t="s">
        <v>795</v>
      </c>
      <c r="F246" s="2333"/>
      <c r="G246" s="2333"/>
      <c r="H246" s="196">
        <f>'بند3-1مقاله علمي پژوهشيJCRو...'!AR306</f>
        <v>0</v>
      </c>
      <c r="I246" s="2333" t="s">
        <v>673</v>
      </c>
      <c r="J246" s="2333"/>
      <c r="K246" s="2333"/>
      <c r="L246" s="2333"/>
      <c r="M246" s="2333"/>
      <c r="N246" s="2333"/>
      <c r="O246" s="2333"/>
      <c r="P246" s="2333"/>
      <c r="Q246" s="2333"/>
      <c r="R246" s="2333"/>
      <c r="S246" s="2333"/>
      <c r="T246" s="197" t="e">
        <f ca="1">'بند3-1مقاله علمي پژوهشيJCRو...'!W308</f>
        <v>#DIV/0!</v>
      </c>
      <c r="U246" s="2334" t="s">
        <v>672</v>
      </c>
      <c r="V246" s="2334"/>
      <c r="W246" s="2334"/>
      <c r="X246" s="2334"/>
      <c r="Y246" s="2335"/>
    </row>
    <row r="247" spans="1:25" ht="29.25" customHeight="1" thickBot="1">
      <c r="A247" s="2132" t="s">
        <v>796</v>
      </c>
      <c r="B247" s="2132"/>
      <c r="C247" s="2132"/>
      <c r="D247" s="2132"/>
      <c r="E247" s="2132"/>
      <c r="F247" s="2132"/>
      <c r="G247" s="2132"/>
      <c r="H247" s="2132"/>
      <c r="I247" s="2132"/>
      <c r="J247" s="2132"/>
      <c r="K247" s="2132"/>
      <c r="L247" s="2132"/>
      <c r="M247" s="2132"/>
      <c r="N247" s="2132"/>
      <c r="O247" s="2132"/>
      <c r="P247" s="2132"/>
      <c r="Q247" s="2132"/>
      <c r="R247" s="2132"/>
      <c r="S247" s="2132"/>
      <c r="T247" s="2132"/>
      <c r="U247" s="2132"/>
      <c r="V247" s="2132"/>
      <c r="W247" s="2132"/>
      <c r="X247" s="2132"/>
      <c r="Y247" s="2132"/>
    </row>
    <row r="248" spans="1:25" ht="29.25" customHeight="1">
      <c r="A248" s="372" t="s">
        <v>9</v>
      </c>
      <c r="B248" s="2242" t="s">
        <v>274</v>
      </c>
      <c r="C248" s="2243"/>
      <c r="D248" s="2243"/>
      <c r="E248" s="2243"/>
      <c r="F248" s="2243"/>
      <c r="G248" s="2243"/>
      <c r="H248" s="2243"/>
      <c r="I248" s="2243"/>
      <c r="J248" s="2244"/>
      <c r="K248" s="2242" t="s">
        <v>257</v>
      </c>
      <c r="L248" s="2243"/>
      <c r="M248" s="2244"/>
      <c r="N248" s="2329" t="s">
        <v>271</v>
      </c>
      <c r="O248" s="2330"/>
      <c r="P248" s="2330"/>
      <c r="Q248" s="2330"/>
      <c r="R248" s="2331"/>
      <c r="S248" s="2329" t="s">
        <v>757</v>
      </c>
      <c r="T248" s="2330"/>
      <c r="U248" s="2331"/>
      <c r="V248" s="2156" t="s">
        <v>761</v>
      </c>
      <c r="W248" s="2156"/>
      <c r="X248" s="2142" t="s">
        <v>13</v>
      </c>
      <c r="Y248" s="2143"/>
    </row>
    <row r="249" spans="1:25" ht="29.25" customHeight="1">
      <c r="A249" s="2230">
        <f>'بند3-2و3-3مقاله مروري و ترويجي'!A6</f>
        <v>0</v>
      </c>
      <c r="B249" s="2108">
        <f>'بند3-2و3-3مقاله مروري و ترويجي'!B6</f>
        <v>0</v>
      </c>
      <c r="C249" s="2109"/>
      <c r="D249" s="2109"/>
      <c r="E249" s="2109"/>
      <c r="F249" s="2109"/>
      <c r="G249" s="2109"/>
      <c r="H249" s="2109"/>
      <c r="I249" s="2109"/>
      <c r="J249" s="2109"/>
      <c r="K249" s="2231">
        <f>'بند3-2و3-3مقاله مروري و ترويجي'!K6</f>
        <v>0</v>
      </c>
      <c r="L249" s="2232"/>
      <c r="M249" s="2232"/>
      <c r="N249" s="2108">
        <f>'بند3-2و3-3مقاله مروري و ترويجي'!H6</f>
        <v>0</v>
      </c>
      <c r="O249" s="2109"/>
      <c r="P249" s="2109"/>
      <c r="Q249" s="2109"/>
      <c r="R249" s="2109"/>
      <c r="S249" s="2233">
        <f>'بند3-2و3-3مقاله مروري و ترويجي'!O6</f>
        <v>0</v>
      </c>
      <c r="T249" s="2234"/>
      <c r="U249" s="2235"/>
      <c r="V249" s="363" t="s">
        <v>762</v>
      </c>
      <c r="W249" s="363" t="s">
        <v>763</v>
      </c>
      <c r="X249" s="363" t="s">
        <v>764</v>
      </c>
      <c r="Y249" s="364" t="s">
        <v>767</v>
      </c>
    </row>
    <row r="250" spans="1:25" ht="29.25" customHeight="1">
      <c r="A250" s="2230"/>
      <c r="B250" s="2109"/>
      <c r="C250" s="2109"/>
      <c r="D250" s="2109"/>
      <c r="E250" s="2109"/>
      <c r="F250" s="2109"/>
      <c r="G250" s="2109"/>
      <c r="H250" s="2109"/>
      <c r="I250" s="2109"/>
      <c r="J250" s="2109"/>
      <c r="K250" s="2232"/>
      <c r="L250" s="2232"/>
      <c r="M250" s="2232"/>
      <c r="N250" s="2109"/>
      <c r="O250" s="2109"/>
      <c r="P250" s="2109"/>
      <c r="Q250" s="2109"/>
      <c r="R250" s="2109"/>
      <c r="S250" s="2236"/>
      <c r="T250" s="2237"/>
      <c r="U250" s="2238"/>
      <c r="V250" s="373">
        <f>'بند3-2و3-3مقاله مروري و ترويجي'!H8</f>
        <v>0</v>
      </c>
      <c r="W250" s="374">
        <f>'بند3-2و3-3مقاله مروري و ترويجي'!K8</f>
        <v>0</v>
      </c>
      <c r="X250" s="375">
        <f>'بند3-2و3-3مقاله مروري و ترويجي'!F8</f>
        <v>0</v>
      </c>
      <c r="Y250" s="376">
        <f ca="1">'بند3-2و3-3مقاله مروري و ترويجي'!S6</f>
        <v>0</v>
      </c>
    </row>
    <row r="251" spans="1:25" ht="32.25" customHeight="1">
      <c r="A251" s="2230">
        <f>'بند3-2و3-3مقاله مروري و ترويجي'!A9</f>
        <v>0</v>
      </c>
      <c r="B251" s="2108">
        <f>'بند3-2و3-3مقاله مروري و ترويجي'!B9</f>
        <v>0</v>
      </c>
      <c r="C251" s="2109"/>
      <c r="D251" s="2109"/>
      <c r="E251" s="2109"/>
      <c r="F251" s="2109"/>
      <c r="G251" s="2109"/>
      <c r="H251" s="2109"/>
      <c r="I251" s="2109"/>
      <c r="J251" s="2109"/>
      <c r="K251" s="2231">
        <f>'بند3-2و3-3مقاله مروري و ترويجي'!K9</f>
        <v>0</v>
      </c>
      <c r="L251" s="2232"/>
      <c r="M251" s="2232"/>
      <c r="N251" s="2108">
        <f>'بند3-2و3-3مقاله مروري و ترويجي'!H9</f>
        <v>0</v>
      </c>
      <c r="O251" s="2109"/>
      <c r="P251" s="2109"/>
      <c r="Q251" s="2109"/>
      <c r="R251" s="2109"/>
      <c r="S251" s="2233">
        <f>'بند3-2و3-3مقاله مروري و ترويجي'!O9</f>
        <v>0</v>
      </c>
      <c r="T251" s="2234"/>
      <c r="U251" s="2235"/>
      <c r="V251" s="363" t="s">
        <v>762</v>
      </c>
      <c r="W251" s="363" t="s">
        <v>763</v>
      </c>
      <c r="X251" s="363" t="s">
        <v>764</v>
      </c>
      <c r="Y251" s="364" t="s">
        <v>767</v>
      </c>
    </row>
    <row r="252" spans="1:25" ht="32.25" customHeight="1">
      <c r="A252" s="2230"/>
      <c r="B252" s="2109"/>
      <c r="C252" s="2109"/>
      <c r="D252" s="2109"/>
      <c r="E252" s="2109"/>
      <c r="F252" s="2109"/>
      <c r="G252" s="2109"/>
      <c r="H252" s="2109"/>
      <c r="I252" s="2109"/>
      <c r="J252" s="2109"/>
      <c r="K252" s="2232"/>
      <c r="L252" s="2232"/>
      <c r="M252" s="2232"/>
      <c r="N252" s="2109"/>
      <c r="O252" s="2109"/>
      <c r="P252" s="2109"/>
      <c r="Q252" s="2109"/>
      <c r="R252" s="2109"/>
      <c r="S252" s="2236"/>
      <c r="T252" s="2237"/>
      <c r="U252" s="2238"/>
      <c r="V252" s="373">
        <f>'بند3-2و3-3مقاله مروري و ترويجي'!H11</f>
        <v>0</v>
      </c>
      <c r="W252" s="374">
        <f>'بند3-2و3-3مقاله مروري و ترويجي'!K11</f>
        <v>0</v>
      </c>
      <c r="X252" s="375">
        <f>'بند3-2و3-3مقاله مروري و ترويجي'!F11</f>
        <v>0</v>
      </c>
      <c r="Y252" s="376">
        <f ca="1">'بند3-2و3-3مقاله مروري و ترويجي'!S9</f>
        <v>0</v>
      </c>
    </row>
    <row r="253" spans="1:25" ht="32.25" customHeight="1">
      <c r="A253" s="2230">
        <f>'بند3-2و3-3مقاله مروري و ترويجي'!A12</f>
        <v>0</v>
      </c>
      <c r="B253" s="2108">
        <f>'بند3-2و3-3مقاله مروري و ترويجي'!B12</f>
        <v>0</v>
      </c>
      <c r="C253" s="2109"/>
      <c r="D253" s="2109"/>
      <c r="E253" s="2109"/>
      <c r="F253" s="2109"/>
      <c r="G253" s="2109"/>
      <c r="H253" s="2109"/>
      <c r="I253" s="2109"/>
      <c r="J253" s="2109"/>
      <c r="K253" s="2231">
        <f>'بند3-2و3-3مقاله مروري و ترويجي'!K12</f>
        <v>0</v>
      </c>
      <c r="L253" s="2232"/>
      <c r="M253" s="2232"/>
      <c r="N253" s="2108">
        <f>'بند3-2و3-3مقاله مروري و ترويجي'!H12</f>
        <v>0</v>
      </c>
      <c r="O253" s="2109"/>
      <c r="P253" s="2109"/>
      <c r="Q253" s="2109"/>
      <c r="R253" s="2109"/>
      <c r="S253" s="2233">
        <f>'بند3-2و3-3مقاله مروري و ترويجي'!O12</f>
        <v>0</v>
      </c>
      <c r="T253" s="2234"/>
      <c r="U253" s="2235"/>
      <c r="V253" s="363" t="s">
        <v>762</v>
      </c>
      <c r="W253" s="363" t="s">
        <v>763</v>
      </c>
      <c r="X253" s="363" t="s">
        <v>764</v>
      </c>
      <c r="Y253" s="364" t="s">
        <v>767</v>
      </c>
    </row>
    <row r="254" spans="1:25" ht="32.25" customHeight="1">
      <c r="A254" s="2230"/>
      <c r="B254" s="2109"/>
      <c r="C254" s="2109"/>
      <c r="D254" s="2109"/>
      <c r="E254" s="2109"/>
      <c r="F254" s="2109"/>
      <c r="G254" s="2109"/>
      <c r="H254" s="2109"/>
      <c r="I254" s="2109"/>
      <c r="J254" s="2109"/>
      <c r="K254" s="2232"/>
      <c r="L254" s="2232"/>
      <c r="M254" s="2232"/>
      <c r="N254" s="2109"/>
      <c r="O254" s="2109"/>
      <c r="P254" s="2109"/>
      <c r="Q254" s="2109"/>
      <c r="R254" s="2109"/>
      <c r="S254" s="2236"/>
      <c r="T254" s="2237"/>
      <c r="U254" s="2238"/>
      <c r="V254" s="373">
        <f>'بند3-2و3-3مقاله مروري و ترويجي'!H14</f>
        <v>0</v>
      </c>
      <c r="W254" s="374">
        <f>'بند3-2و3-3مقاله مروري و ترويجي'!K14</f>
        <v>0</v>
      </c>
      <c r="X254" s="375">
        <f>'بند3-2و3-3مقاله مروري و ترويجي'!F14</f>
        <v>0</v>
      </c>
      <c r="Y254" s="376">
        <f ca="1">'بند3-2و3-3مقاله مروري و ترويجي'!S12</f>
        <v>0</v>
      </c>
    </row>
    <row r="255" spans="1:25" ht="32.25" customHeight="1">
      <c r="A255" s="2230">
        <f>'بند3-2و3-3مقاله مروري و ترويجي'!A15</f>
        <v>0</v>
      </c>
      <c r="B255" s="2108">
        <f>'بند3-2و3-3مقاله مروري و ترويجي'!B15</f>
        <v>0</v>
      </c>
      <c r="C255" s="2109"/>
      <c r="D255" s="2109"/>
      <c r="E255" s="2109"/>
      <c r="F255" s="2109"/>
      <c r="G255" s="2109"/>
      <c r="H255" s="2109"/>
      <c r="I255" s="2109"/>
      <c r="J255" s="2109"/>
      <c r="K255" s="2231">
        <f>'بند3-2و3-3مقاله مروري و ترويجي'!K15</f>
        <v>0</v>
      </c>
      <c r="L255" s="2232"/>
      <c r="M255" s="2232"/>
      <c r="N255" s="2108">
        <f>'بند3-2و3-3مقاله مروري و ترويجي'!H15</f>
        <v>0</v>
      </c>
      <c r="O255" s="2109"/>
      <c r="P255" s="2109"/>
      <c r="Q255" s="2109"/>
      <c r="R255" s="2109"/>
      <c r="S255" s="2233">
        <f>'بند3-2و3-3مقاله مروري و ترويجي'!O15</f>
        <v>0</v>
      </c>
      <c r="T255" s="2234"/>
      <c r="U255" s="2235"/>
      <c r="V255" s="363" t="s">
        <v>762</v>
      </c>
      <c r="W255" s="363" t="s">
        <v>763</v>
      </c>
      <c r="X255" s="363" t="s">
        <v>764</v>
      </c>
      <c r="Y255" s="364" t="s">
        <v>767</v>
      </c>
    </row>
    <row r="256" spans="1:25" ht="32.25" customHeight="1">
      <c r="A256" s="2230"/>
      <c r="B256" s="2109"/>
      <c r="C256" s="2109"/>
      <c r="D256" s="2109"/>
      <c r="E256" s="2109"/>
      <c r="F256" s="2109"/>
      <c r="G256" s="2109"/>
      <c r="H256" s="2109"/>
      <c r="I256" s="2109"/>
      <c r="J256" s="2109"/>
      <c r="K256" s="2232"/>
      <c r="L256" s="2232"/>
      <c r="M256" s="2232"/>
      <c r="N256" s="2109"/>
      <c r="O256" s="2109"/>
      <c r="P256" s="2109"/>
      <c r="Q256" s="2109"/>
      <c r="R256" s="2109"/>
      <c r="S256" s="2236"/>
      <c r="T256" s="2237"/>
      <c r="U256" s="2238"/>
      <c r="V256" s="373">
        <f>'بند3-2و3-3مقاله مروري و ترويجي'!H17</f>
        <v>0</v>
      </c>
      <c r="W256" s="374">
        <f>'بند3-2و3-3مقاله مروري و ترويجي'!K17</f>
        <v>0</v>
      </c>
      <c r="X256" s="375">
        <f>'بند3-2و3-3مقاله مروري و ترويجي'!F17</f>
        <v>0</v>
      </c>
      <c r="Y256" s="376">
        <f ca="1">'بند3-2و3-3مقاله مروري و ترويجي'!S15</f>
        <v>0</v>
      </c>
    </row>
    <row r="257" spans="1:25" ht="32.25" customHeight="1">
      <c r="A257" s="2230">
        <f>'بند3-2و3-3مقاله مروري و ترويجي'!A18</f>
        <v>0</v>
      </c>
      <c r="B257" s="2108">
        <f>'بند3-2و3-3مقاله مروري و ترويجي'!B18</f>
        <v>0</v>
      </c>
      <c r="C257" s="2109"/>
      <c r="D257" s="2109"/>
      <c r="E257" s="2109"/>
      <c r="F257" s="2109"/>
      <c r="G257" s="2109"/>
      <c r="H257" s="2109"/>
      <c r="I257" s="2109"/>
      <c r="J257" s="2109"/>
      <c r="K257" s="2231">
        <f>'بند3-2و3-3مقاله مروري و ترويجي'!K18</f>
        <v>0</v>
      </c>
      <c r="L257" s="2232"/>
      <c r="M257" s="2232"/>
      <c r="N257" s="2108">
        <f>'بند3-2و3-3مقاله مروري و ترويجي'!H18</f>
        <v>0</v>
      </c>
      <c r="O257" s="2109"/>
      <c r="P257" s="2109"/>
      <c r="Q257" s="2109"/>
      <c r="R257" s="2109"/>
      <c r="S257" s="2233">
        <f>'بند3-2و3-3مقاله مروري و ترويجي'!O18</f>
        <v>0</v>
      </c>
      <c r="T257" s="2234"/>
      <c r="U257" s="2235"/>
      <c r="V257" s="363" t="s">
        <v>762</v>
      </c>
      <c r="W257" s="363" t="s">
        <v>763</v>
      </c>
      <c r="X257" s="363" t="s">
        <v>764</v>
      </c>
      <c r="Y257" s="364" t="s">
        <v>767</v>
      </c>
    </row>
    <row r="258" spans="1:25" ht="32.25" customHeight="1">
      <c r="A258" s="2230"/>
      <c r="B258" s="2109"/>
      <c r="C258" s="2109"/>
      <c r="D258" s="2109"/>
      <c r="E258" s="2109"/>
      <c r="F258" s="2109"/>
      <c r="G258" s="2109"/>
      <c r="H258" s="2109"/>
      <c r="I258" s="2109"/>
      <c r="J258" s="2109"/>
      <c r="K258" s="2232"/>
      <c r="L258" s="2232"/>
      <c r="M258" s="2232"/>
      <c r="N258" s="2109"/>
      <c r="O258" s="2109"/>
      <c r="P258" s="2109"/>
      <c r="Q258" s="2109"/>
      <c r="R258" s="2109"/>
      <c r="S258" s="2236"/>
      <c r="T258" s="2237"/>
      <c r="U258" s="2238"/>
      <c r="V258" s="373">
        <f>'بند3-2و3-3مقاله مروري و ترويجي'!H20</f>
        <v>0</v>
      </c>
      <c r="W258" s="374">
        <f>'بند3-2و3-3مقاله مروري و ترويجي'!K20</f>
        <v>0</v>
      </c>
      <c r="X258" s="375">
        <f>'بند3-2و3-3مقاله مروري و ترويجي'!F20</f>
        <v>0</v>
      </c>
      <c r="Y258" s="376">
        <f ca="1">'بند3-2و3-3مقاله مروري و ترويجي'!S18</f>
        <v>0</v>
      </c>
    </row>
    <row r="259" spans="1:25" ht="32.25" customHeight="1">
      <c r="A259" s="2230">
        <f>'بند3-2و3-3مقاله مروري و ترويجي'!A21</f>
        <v>0</v>
      </c>
      <c r="B259" s="2108">
        <f>'بند3-2و3-3مقاله مروري و ترويجي'!B21</f>
        <v>0</v>
      </c>
      <c r="C259" s="2109"/>
      <c r="D259" s="2109"/>
      <c r="E259" s="2109"/>
      <c r="F259" s="2109"/>
      <c r="G259" s="2109"/>
      <c r="H259" s="2109"/>
      <c r="I259" s="2109"/>
      <c r="J259" s="2109"/>
      <c r="K259" s="2231">
        <f>'بند3-2و3-3مقاله مروري و ترويجي'!K21</f>
        <v>0</v>
      </c>
      <c r="L259" s="2232"/>
      <c r="M259" s="2232"/>
      <c r="N259" s="2108">
        <f>'بند3-2و3-3مقاله مروري و ترويجي'!H21</f>
        <v>0</v>
      </c>
      <c r="O259" s="2109"/>
      <c r="P259" s="2109"/>
      <c r="Q259" s="2109"/>
      <c r="R259" s="2109"/>
      <c r="S259" s="2233">
        <f>'بند3-2و3-3مقاله مروري و ترويجي'!O21</f>
        <v>0</v>
      </c>
      <c r="T259" s="2234"/>
      <c r="U259" s="2235"/>
      <c r="V259" s="363" t="s">
        <v>762</v>
      </c>
      <c r="W259" s="363" t="s">
        <v>763</v>
      </c>
      <c r="X259" s="363" t="s">
        <v>764</v>
      </c>
      <c r="Y259" s="364" t="s">
        <v>767</v>
      </c>
    </row>
    <row r="260" spans="1:25" ht="32.25" customHeight="1">
      <c r="A260" s="2230"/>
      <c r="B260" s="2109"/>
      <c r="C260" s="2109"/>
      <c r="D260" s="2109"/>
      <c r="E260" s="2109"/>
      <c r="F260" s="2109"/>
      <c r="G260" s="2109"/>
      <c r="H260" s="2109"/>
      <c r="I260" s="2109"/>
      <c r="J260" s="2109"/>
      <c r="K260" s="2232"/>
      <c r="L260" s="2232"/>
      <c r="M260" s="2232"/>
      <c r="N260" s="2109"/>
      <c r="O260" s="2109"/>
      <c r="P260" s="2109"/>
      <c r="Q260" s="2109"/>
      <c r="R260" s="2109"/>
      <c r="S260" s="2236"/>
      <c r="T260" s="2237"/>
      <c r="U260" s="2238"/>
      <c r="V260" s="373">
        <f>'بند3-2و3-3مقاله مروري و ترويجي'!H23</f>
        <v>0</v>
      </c>
      <c r="W260" s="374">
        <f>'بند3-2و3-3مقاله مروري و ترويجي'!K23</f>
        <v>0</v>
      </c>
      <c r="X260" s="375">
        <f>'بند3-2و3-3مقاله مروري و ترويجي'!F23</f>
        <v>0</v>
      </c>
      <c r="Y260" s="376">
        <f ca="1">'بند3-2و3-3مقاله مروري و ترويجي'!S21</f>
        <v>0</v>
      </c>
    </row>
    <row r="261" spans="1:25" ht="32.25" customHeight="1">
      <c r="A261" s="2230">
        <f>'بند3-2و3-3مقاله مروري و ترويجي'!A24</f>
        <v>0</v>
      </c>
      <c r="B261" s="2108">
        <f>'بند3-2و3-3مقاله مروري و ترويجي'!B24</f>
        <v>0</v>
      </c>
      <c r="C261" s="2109"/>
      <c r="D261" s="2109"/>
      <c r="E261" s="2109"/>
      <c r="F261" s="2109"/>
      <c r="G261" s="2109"/>
      <c r="H261" s="2109"/>
      <c r="I261" s="2109"/>
      <c r="J261" s="2109"/>
      <c r="K261" s="2231">
        <f>'بند3-2و3-3مقاله مروري و ترويجي'!K24</f>
        <v>0</v>
      </c>
      <c r="L261" s="2232"/>
      <c r="M261" s="2232"/>
      <c r="N261" s="2108">
        <f>'بند3-2و3-3مقاله مروري و ترويجي'!H24</f>
        <v>0</v>
      </c>
      <c r="O261" s="2109"/>
      <c r="P261" s="2109"/>
      <c r="Q261" s="2109"/>
      <c r="R261" s="2109"/>
      <c r="S261" s="2233">
        <f>'بند3-2و3-3مقاله مروري و ترويجي'!O24</f>
        <v>0</v>
      </c>
      <c r="T261" s="2234"/>
      <c r="U261" s="2235"/>
      <c r="V261" s="363" t="s">
        <v>762</v>
      </c>
      <c r="W261" s="363" t="s">
        <v>763</v>
      </c>
      <c r="X261" s="363" t="s">
        <v>764</v>
      </c>
      <c r="Y261" s="364" t="s">
        <v>767</v>
      </c>
    </row>
    <row r="262" spans="1:25" ht="32.25" customHeight="1">
      <c r="A262" s="2230"/>
      <c r="B262" s="2109"/>
      <c r="C262" s="2109"/>
      <c r="D262" s="2109"/>
      <c r="E262" s="2109"/>
      <c r="F262" s="2109"/>
      <c r="G262" s="2109"/>
      <c r="H262" s="2109"/>
      <c r="I262" s="2109"/>
      <c r="J262" s="2109"/>
      <c r="K262" s="2232"/>
      <c r="L262" s="2232"/>
      <c r="M262" s="2232"/>
      <c r="N262" s="2109"/>
      <c r="O262" s="2109"/>
      <c r="P262" s="2109"/>
      <c r="Q262" s="2109"/>
      <c r="R262" s="2109"/>
      <c r="S262" s="2236"/>
      <c r="T262" s="2237"/>
      <c r="U262" s="2238"/>
      <c r="V262" s="373">
        <f>'بند3-2و3-3مقاله مروري و ترويجي'!H26</f>
        <v>0</v>
      </c>
      <c r="W262" s="374">
        <f>'بند3-2و3-3مقاله مروري و ترويجي'!K26</f>
        <v>0</v>
      </c>
      <c r="X262" s="375">
        <f>'بند3-2و3-3مقاله مروري و ترويجي'!F26</f>
        <v>0</v>
      </c>
      <c r="Y262" s="376">
        <f ca="1">'بند3-2و3-3مقاله مروري و ترويجي'!S24</f>
        <v>0</v>
      </c>
    </row>
    <row r="263" spans="1:25" ht="32.25" customHeight="1">
      <c r="A263" s="2230">
        <f>'بند3-2و3-3مقاله مروري و ترويجي'!A27</f>
        <v>0</v>
      </c>
      <c r="B263" s="2108">
        <f>'بند3-2و3-3مقاله مروري و ترويجي'!B27</f>
        <v>0</v>
      </c>
      <c r="C263" s="2109"/>
      <c r="D263" s="2109"/>
      <c r="E263" s="2109"/>
      <c r="F263" s="2109"/>
      <c r="G263" s="2109"/>
      <c r="H263" s="2109"/>
      <c r="I263" s="2109"/>
      <c r="J263" s="2109"/>
      <c r="K263" s="2231">
        <f>'بند3-2و3-3مقاله مروري و ترويجي'!K27</f>
        <v>0</v>
      </c>
      <c r="L263" s="2232"/>
      <c r="M263" s="2232"/>
      <c r="N263" s="2108">
        <f>'بند3-2و3-3مقاله مروري و ترويجي'!H27</f>
        <v>0</v>
      </c>
      <c r="O263" s="2109"/>
      <c r="P263" s="2109"/>
      <c r="Q263" s="2109"/>
      <c r="R263" s="2109"/>
      <c r="S263" s="2233">
        <f>'بند3-2و3-3مقاله مروري و ترويجي'!O27</f>
        <v>0</v>
      </c>
      <c r="T263" s="2234"/>
      <c r="U263" s="2235"/>
      <c r="V263" s="363" t="s">
        <v>762</v>
      </c>
      <c r="W263" s="363" t="s">
        <v>763</v>
      </c>
      <c r="X263" s="363" t="s">
        <v>764</v>
      </c>
      <c r="Y263" s="364" t="s">
        <v>767</v>
      </c>
    </row>
    <row r="264" spans="1:25" ht="32.25" customHeight="1">
      <c r="A264" s="2230"/>
      <c r="B264" s="2109"/>
      <c r="C264" s="2109"/>
      <c r="D264" s="2109"/>
      <c r="E264" s="2109"/>
      <c r="F264" s="2109"/>
      <c r="G264" s="2109"/>
      <c r="H264" s="2109"/>
      <c r="I264" s="2109"/>
      <c r="J264" s="2109"/>
      <c r="K264" s="2232"/>
      <c r="L264" s="2232"/>
      <c r="M264" s="2232"/>
      <c r="N264" s="2109"/>
      <c r="O264" s="2109"/>
      <c r="P264" s="2109"/>
      <c r="Q264" s="2109"/>
      <c r="R264" s="2109"/>
      <c r="S264" s="2236"/>
      <c r="T264" s="2237"/>
      <c r="U264" s="2238"/>
      <c r="V264" s="373">
        <f>'بند3-2و3-3مقاله مروري و ترويجي'!H29</f>
        <v>0</v>
      </c>
      <c r="W264" s="374">
        <f>'بند3-2و3-3مقاله مروري و ترويجي'!K29</f>
        <v>0</v>
      </c>
      <c r="X264" s="375">
        <f>'بند3-2و3-3مقاله مروري و ترويجي'!F29</f>
        <v>0</v>
      </c>
      <c r="Y264" s="376">
        <f ca="1">'بند3-2و3-3مقاله مروري و ترويجي'!S27</f>
        <v>0</v>
      </c>
    </row>
    <row r="265" spans="1:25" ht="32.25" customHeight="1">
      <c r="A265" s="2230">
        <f>'بند3-2و3-3مقاله مروري و ترويجي'!A30</f>
        <v>0</v>
      </c>
      <c r="B265" s="2108">
        <f>'بند3-2و3-3مقاله مروري و ترويجي'!B30</f>
        <v>0</v>
      </c>
      <c r="C265" s="2109"/>
      <c r="D265" s="2109"/>
      <c r="E265" s="2109"/>
      <c r="F265" s="2109"/>
      <c r="G265" s="2109"/>
      <c r="H265" s="2109"/>
      <c r="I265" s="2109"/>
      <c r="J265" s="2109"/>
      <c r="K265" s="2231">
        <f>'بند3-2و3-3مقاله مروري و ترويجي'!K30</f>
        <v>0</v>
      </c>
      <c r="L265" s="2232"/>
      <c r="M265" s="2232"/>
      <c r="N265" s="2108">
        <f>'بند3-2و3-3مقاله مروري و ترويجي'!H30</f>
        <v>0</v>
      </c>
      <c r="O265" s="2109"/>
      <c r="P265" s="2109"/>
      <c r="Q265" s="2109"/>
      <c r="R265" s="2109"/>
      <c r="S265" s="2233">
        <f>'بند3-2و3-3مقاله مروري و ترويجي'!O30</f>
        <v>0</v>
      </c>
      <c r="T265" s="2234"/>
      <c r="U265" s="2235"/>
      <c r="V265" s="363" t="s">
        <v>762</v>
      </c>
      <c r="W265" s="363" t="s">
        <v>763</v>
      </c>
      <c r="X265" s="363" t="s">
        <v>764</v>
      </c>
      <c r="Y265" s="364" t="s">
        <v>767</v>
      </c>
    </row>
    <row r="266" spans="1:25" ht="32.25" customHeight="1">
      <c r="A266" s="2230"/>
      <c r="B266" s="2109"/>
      <c r="C266" s="2109"/>
      <c r="D266" s="2109"/>
      <c r="E266" s="2109"/>
      <c r="F266" s="2109"/>
      <c r="G266" s="2109"/>
      <c r="H266" s="2109"/>
      <c r="I266" s="2109"/>
      <c r="J266" s="2109"/>
      <c r="K266" s="2232"/>
      <c r="L266" s="2232"/>
      <c r="M266" s="2232"/>
      <c r="N266" s="2109"/>
      <c r="O266" s="2109"/>
      <c r="P266" s="2109"/>
      <c r="Q266" s="2109"/>
      <c r="R266" s="2109"/>
      <c r="S266" s="2236"/>
      <c r="T266" s="2237"/>
      <c r="U266" s="2238"/>
      <c r="V266" s="373">
        <f>'بند3-2و3-3مقاله مروري و ترويجي'!H32</f>
        <v>0</v>
      </c>
      <c r="W266" s="374">
        <f>'بند3-2و3-3مقاله مروري و ترويجي'!K32</f>
        <v>0</v>
      </c>
      <c r="X266" s="375">
        <f>'بند3-2و3-3مقاله مروري و ترويجي'!F32</f>
        <v>0</v>
      </c>
      <c r="Y266" s="376">
        <f ca="1">'بند3-2و3-3مقاله مروري و ترويجي'!S30</f>
        <v>0</v>
      </c>
    </row>
    <row r="267" spans="1:25" ht="29.25" customHeight="1">
      <c r="A267" s="2230">
        <f>'بند3-2و3-3مقاله مروري و ترويجي'!A33</f>
        <v>0</v>
      </c>
      <c r="B267" s="2108">
        <f>'بند3-2و3-3مقاله مروري و ترويجي'!B33</f>
        <v>0</v>
      </c>
      <c r="C267" s="2109"/>
      <c r="D267" s="2109"/>
      <c r="E267" s="2109"/>
      <c r="F267" s="2109"/>
      <c r="G267" s="2109"/>
      <c r="H267" s="2109"/>
      <c r="I267" s="2109"/>
      <c r="J267" s="2109"/>
      <c r="K267" s="2231">
        <f>'بند3-2و3-3مقاله مروري و ترويجي'!K33</f>
        <v>0</v>
      </c>
      <c r="L267" s="2232"/>
      <c r="M267" s="2232"/>
      <c r="N267" s="2108">
        <f>'بند3-2و3-3مقاله مروري و ترويجي'!H33</f>
        <v>0</v>
      </c>
      <c r="O267" s="2109"/>
      <c r="P267" s="2109"/>
      <c r="Q267" s="2109"/>
      <c r="R267" s="2109"/>
      <c r="S267" s="2233">
        <f>'بند3-2و3-3مقاله مروري و ترويجي'!O33</f>
        <v>0</v>
      </c>
      <c r="T267" s="2234"/>
      <c r="U267" s="2235"/>
      <c r="V267" s="363" t="s">
        <v>762</v>
      </c>
      <c r="W267" s="363" t="s">
        <v>763</v>
      </c>
      <c r="X267" s="363" t="s">
        <v>764</v>
      </c>
      <c r="Y267" s="364" t="s">
        <v>767</v>
      </c>
    </row>
    <row r="268" spans="1:25" ht="29.25" customHeight="1">
      <c r="A268" s="2230"/>
      <c r="B268" s="2109"/>
      <c r="C268" s="2109"/>
      <c r="D268" s="2109"/>
      <c r="E268" s="2109"/>
      <c r="F268" s="2109"/>
      <c r="G268" s="2109"/>
      <c r="H268" s="2109"/>
      <c r="I268" s="2109"/>
      <c r="J268" s="2109"/>
      <c r="K268" s="2232"/>
      <c r="L268" s="2232"/>
      <c r="M268" s="2232"/>
      <c r="N268" s="2109"/>
      <c r="O268" s="2109"/>
      <c r="P268" s="2109"/>
      <c r="Q268" s="2109"/>
      <c r="R268" s="2109"/>
      <c r="S268" s="2236"/>
      <c r="T268" s="2237"/>
      <c r="U268" s="2238"/>
      <c r="V268" s="373">
        <f>'بند3-2و3-3مقاله مروري و ترويجي'!H35</f>
        <v>0</v>
      </c>
      <c r="W268" s="374">
        <f>'بند3-2و3-3مقاله مروري و ترويجي'!K35</f>
        <v>0</v>
      </c>
      <c r="X268" s="375">
        <f>'بند3-2و3-3مقاله مروري و ترويجي'!F35</f>
        <v>0</v>
      </c>
      <c r="Y268" s="376">
        <f ca="1">'بند3-2و3-3مقاله مروري و ترويجي'!S33</f>
        <v>0</v>
      </c>
    </row>
    <row r="269" spans="1:25" ht="29.25" customHeight="1">
      <c r="A269" s="2230">
        <f>'بند3-2و3-3مقاله مروري و ترويجي'!A36</f>
        <v>0</v>
      </c>
      <c r="B269" s="2108">
        <f>'بند3-2و3-3مقاله مروري و ترويجي'!B36</f>
        <v>0</v>
      </c>
      <c r="C269" s="2109"/>
      <c r="D269" s="2109"/>
      <c r="E269" s="2109"/>
      <c r="F269" s="2109"/>
      <c r="G269" s="2109"/>
      <c r="H269" s="2109"/>
      <c r="I269" s="2109"/>
      <c r="J269" s="2109"/>
      <c r="K269" s="2231">
        <f>'بند3-2و3-3مقاله مروري و ترويجي'!K36</f>
        <v>0</v>
      </c>
      <c r="L269" s="2232"/>
      <c r="M269" s="2232"/>
      <c r="N269" s="2108">
        <f>'بند3-2و3-3مقاله مروري و ترويجي'!H36</f>
        <v>0</v>
      </c>
      <c r="O269" s="2109"/>
      <c r="P269" s="2109"/>
      <c r="Q269" s="2109"/>
      <c r="R269" s="2109"/>
      <c r="S269" s="2233">
        <f>'بند3-2و3-3مقاله مروري و ترويجي'!O36</f>
        <v>0</v>
      </c>
      <c r="T269" s="2234"/>
      <c r="U269" s="2235"/>
      <c r="V269" s="363" t="s">
        <v>762</v>
      </c>
      <c r="W269" s="363" t="s">
        <v>763</v>
      </c>
      <c r="X269" s="363" t="s">
        <v>764</v>
      </c>
      <c r="Y269" s="364" t="s">
        <v>767</v>
      </c>
    </row>
    <row r="270" spans="1:25" ht="29.25" customHeight="1">
      <c r="A270" s="2230"/>
      <c r="B270" s="2109"/>
      <c r="C270" s="2109"/>
      <c r="D270" s="2109"/>
      <c r="E270" s="2109"/>
      <c r="F270" s="2109"/>
      <c r="G270" s="2109"/>
      <c r="H270" s="2109"/>
      <c r="I270" s="2109"/>
      <c r="J270" s="2109"/>
      <c r="K270" s="2232"/>
      <c r="L270" s="2232"/>
      <c r="M270" s="2232"/>
      <c r="N270" s="2109"/>
      <c r="O270" s="2109"/>
      <c r="P270" s="2109"/>
      <c r="Q270" s="2109"/>
      <c r="R270" s="2109"/>
      <c r="S270" s="2236"/>
      <c r="T270" s="2237"/>
      <c r="U270" s="2238"/>
      <c r="V270" s="373">
        <f>'بند3-2و3-3مقاله مروري و ترويجي'!H38</f>
        <v>0</v>
      </c>
      <c r="W270" s="374">
        <f>'بند3-2و3-3مقاله مروري و ترويجي'!K38</f>
        <v>0</v>
      </c>
      <c r="X270" s="375">
        <f>'بند3-2و3-3مقاله مروري و ترويجي'!F38</f>
        <v>0</v>
      </c>
      <c r="Y270" s="376">
        <f ca="1">'بند3-2و3-3مقاله مروري و ترويجي'!S36</f>
        <v>0</v>
      </c>
    </row>
    <row r="271" spans="1:25" ht="29.25" customHeight="1">
      <c r="A271" s="2230">
        <f>'بند3-2و3-3مقاله مروري و ترويجي'!A39</f>
        <v>0</v>
      </c>
      <c r="B271" s="2108">
        <f>'بند3-2و3-3مقاله مروري و ترويجي'!B39</f>
        <v>0</v>
      </c>
      <c r="C271" s="2109"/>
      <c r="D271" s="2109"/>
      <c r="E271" s="2109"/>
      <c r="F271" s="2109"/>
      <c r="G271" s="2109"/>
      <c r="H271" s="2109"/>
      <c r="I271" s="2109"/>
      <c r="J271" s="2109"/>
      <c r="K271" s="2231">
        <f>'بند3-2و3-3مقاله مروري و ترويجي'!K39</f>
        <v>0</v>
      </c>
      <c r="L271" s="2232"/>
      <c r="M271" s="2232"/>
      <c r="N271" s="2108">
        <f>'بند3-2و3-3مقاله مروري و ترويجي'!H39</f>
        <v>0</v>
      </c>
      <c r="O271" s="2109"/>
      <c r="P271" s="2109"/>
      <c r="Q271" s="2109"/>
      <c r="R271" s="2109"/>
      <c r="S271" s="2233">
        <f>'بند3-2و3-3مقاله مروري و ترويجي'!O39</f>
        <v>0</v>
      </c>
      <c r="T271" s="2234"/>
      <c r="U271" s="2235"/>
      <c r="V271" s="363" t="s">
        <v>762</v>
      </c>
      <c r="W271" s="363" t="s">
        <v>763</v>
      </c>
      <c r="X271" s="363" t="s">
        <v>764</v>
      </c>
      <c r="Y271" s="364" t="s">
        <v>767</v>
      </c>
    </row>
    <row r="272" spans="1:25" ht="29.25" customHeight="1">
      <c r="A272" s="2230"/>
      <c r="B272" s="2109"/>
      <c r="C272" s="2109"/>
      <c r="D272" s="2109"/>
      <c r="E272" s="2109"/>
      <c r="F272" s="2109"/>
      <c r="G272" s="2109"/>
      <c r="H272" s="2109"/>
      <c r="I272" s="2109"/>
      <c r="J272" s="2109"/>
      <c r="K272" s="2232"/>
      <c r="L272" s="2232"/>
      <c r="M272" s="2232"/>
      <c r="N272" s="2109"/>
      <c r="O272" s="2109"/>
      <c r="P272" s="2109"/>
      <c r="Q272" s="2109"/>
      <c r="R272" s="2109"/>
      <c r="S272" s="2236"/>
      <c r="T272" s="2237"/>
      <c r="U272" s="2238"/>
      <c r="V272" s="373">
        <f>'بند3-2و3-3مقاله مروري و ترويجي'!H41</f>
        <v>0</v>
      </c>
      <c r="W272" s="374">
        <f>'بند3-2و3-3مقاله مروري و ترويجي'!K41</f>
        <v>0</v>
      </c>
      <c r="X272" s="375">
        <f>'بند3-2و3-3مقاله مروري و ترويجي'!F41</f>
        <v>0</v>
      </c>
      <c r="Y272" s="376">
        <f ca="1">'بند3-2و3-3مقاله مروري و ترويجي'!S39</f>
        <v>0</v>
      </c>
    </row>
    <row r="273" spans="1:25" ht="29.25" customHeight="1">
      <c r="A273" s="2230">
        <f>'بند3-2و3-3مقاله مروري و ترويجي'!A42</f>
        <v>0</v>
      </c>
      <c r="B273" s="2108">
        <f>'بند3-2و3-3مقاله مروري و ترويجي'!B42</f>
        <v>0</v>
      </c>
      <c r="C273" s="2109"/>
      <c r="D273" s="2109"/>
      <c r="E273" s="2109"/>
      <c r="F273" s="2109"/>
      <c r="G273" s="2109"/>
      <c r="H273" s="2109"/>
      <c r="I273" s="2109"/>
      <c r="J273" s="2109"/>
      <c r="K273" s="2231">
        <f>'بند3-2و3-3مقاله مروري و ترويجي'!K42</f>
        <v>0</v>
      </c>
      <c r="L273" s="2232"/>
      <c r="M273" s="2232"/>
      <c r="N273" s="2108">
        <f>'بند3-2و3-3مقاله مروري و ترويجي'!H42</f>
        <v>0</v>
      </c>
      <c r="O273" s="2109"/>
      <c r="P273" s="2109"/>
      <c r="Q273" s="2109"/>
      <c r="R273" s="2109"/>
      <c r="S273" s="2233">
        <f>'بند3-2و3-3مقاله مروري و ترويجي'!O42</f>
        <v>0</v>
      </c>
      <c r="T273" s="2234"/>
      <c r="U273" s="2235"/>
      <c r="V273" s="363" t="s">
        <v>762</v>
      </c>
      <c r="W273" s="363" t="s">
        <v>763</v>
      </c>
      <c r="X273" s="363" t="s">
        <v>764</v>
      </c>
      <c r="Y273" s="364" t="s">
        <v>767</v>
      </c>
    </row>
    <row r="274" spans="1:25" ht="29.25" customHeight="1">
      <c r="A274" s="2230"/>
      <c r="B274" s="2109"/>
      <c r="C274" s="2109"/>
      <c r="D274" s="2109"/>
      <c r="E274" s="2109"/>
      <c r="F274" s="2109"/>
      <c r="G274" s="2109"/>
      <c r="H274" s="2109"/>
      <c r="I274" s="2109"/>
      <c r="J274" s="2109"/>
      <c r="K274" s="2232"/>
      <c r="L274" s="2232"/>
      <c r="M274" s="2232"/>
      <c r="N274" s="2109"/>
      <c r="O274" s="2109"/>
      <c r="P274" s="2109"/>
      <c r="Q274" s="2109"/>
      <c r="R274" s="2109"/>
      <c r="S274" s="2236"/>
      <c r="T274" s="2237"/>
      <c r="U274" s="2238"/>
      <c r="V274" s="373">
        <f>'بند3-2و3-3مقاله مروري و ترويجي'!H44</f>
        <v>0</v>
      </c>
      <c r="W274" s="374">
        <f>'بند3-2و3-3مقاله مروري و ترويجي'!K44</f>
        <v>0</v>
      </c>
      <c r="X274" s="375">
        <f>'بند3-2و3-3مقاله مروري و ترويجي'!F44</f>
        <v>0</v>
      </c>
      <c r="Y274" s="376">
        <f ca="1">'بند3-2و3-3مقاله مروري و ترويجي'!S42</f>
        <v>0</v>
      </c>
    </row>
    <row r="275" spans="1:25" ht="29.25" customHeight="1">
      <c r="A275" s="2230">
        <f>'بند3-2و3-3مقاله مروري و ترويجي'!A45</f>
        <v>0</v>
      </c>
      <c r="B275" s="2108">
        <f>'بند3-2و3-3مقاله مروري و ترويجي'!B45</f>
        <v>0</v>
      </c>
      <c r="C275" s="2109"/>
      <c r="D275" s="2109"/>
      <c r="E275" s="2109"/>
      <c r="F275" s="2109"/>
      <c r="G275" s="2109"/>
      <c r="H275" s="2109"/>
      <c r="I275" s="2109"/>
      <c r="J275" s="2109"/>
      <c r="K275" s="2231">
        <f>'بند3-2و3-3مقاله مروري و ترويجي'!K45</f>
        <v>0</v>
      </c>
      <c r="L275" s="2232"/>
      <c r="M275" s="2232"/>
      <c r="N275" s="2108">
        <f>'بند3-2و3-3مقاله مروري و ترويجي'!H45</f>
        <v>0</v>
      </c>
      <c r="O275" s="2109"/>
      <c r="P275" s="2109"/>
      <c r="Q275" s="2109"/>
      <c r="R275" s="2109"/>
      <c r="S275" s="2233">
        <f>'بند3-2و3-3مقاله مروري و ترويجي'!O45</f>
        <v>0</v>
      </c>
      <c r="T275" s="2234"/>
      <c r="U275" s="2235"/>
      <c r="V275" s="363" t="s">
        <v>762</v>
      </c>
      <c r="W275" s="363" t="s">
        <v>763</v>
      </c>
      <c r="X275" s="363" t="s">
        <v>764</v>
      </c>
      <c r="Y275" s="364" t="s">
        <v>767</v>
      </c>
    </row>
    <row r="276" spans="1:25" ht="29.25" customHeight="1">
      <c r="A276" s="2230"/>
      <c r="B276" s="2109"/>
      <c r="C276" s="2109"/>
      <c r="D276" s="2109"/>
      <c r="E276" s="2109"/>
      <c r="F276" s="2109"/>
      <c r="G276" s="2109"/>
      <c r="H276" s="2109"/>
      <c r="I276" s="2109"/>
      <c r="J276" s="2109"/>
      <c r="K276" s="2232"/>
      <c r="L276" s="2232"/>
      <c r="M276" s="2232"/>
      <c r="N276" s="2109"/>
      <c r="O276" s="2109"/>
      <c r="P276" s="2109"/>
      <c r="Q276" s="2109"/>
      <c r="R276" s="2109"/>
      <c r="S276" s="2236"/>
      <c r="T276" s="2237"/>
      <c r="U276" s="2238"/>
      <c r="V276" s="373">
        <f>'بند3-2و3-3مقاله مروري و ترويجي'!H47</f>
        <v>0</v>
      </c>
      <c r="W276" s="374">
        <f>'بند3-2و3-3مقاله مروري و ترويجي'!K47</f>
        <v>0</v>
      </c>
      <c r="X276" s="375">
        <f>'بند3-2و3-3مقاله مروري و ترويجي'!F47</f>
        <v>0</v>
      </c>
      <c r="Y276" s="376">
        <f ca="1">'بند3-2و3-3مقاله مروري و ترويجي'!S45</f>
        <v>0</v>
      </c>
    </row>
    <row r="277" spans="1:25" ht="29.25" customHeight="1">
      <c r="A277" s="2230">
        <f>'بند3-2و3-3مقاله مروري و ترويجي'!A48</f>
        <v>0</v>
      </c>
      <c r="B277" s="2108">
        <f>'بند3-2و3-3مقاله مروري و ترويجي'!B48</f>
        <v>0</v>
      </c>
      <c r="C277" s="2109"/>
      <c r="D277" s="2109"/>
      <c r="E277" s="2109"/>
      <c r="F277" s="2109"/>
      <c r="G277" s="2109"/>
      <c r="H277" s="2109"/>
      <c r="I277" s="2109"/>
      <c r="J277" s="2109"/>
      <c r="K277" s="2231">
        <f>'بند3-2و3-3مقاله مروري و ترويجي'!K48</f>
        <v>0</v>
      </c>
      <c r="L277" s="2232"/>
      <c r="M277" s="2232"/>
      <c r="N277" s="2108">
        <f>'بند3-2و3-3مقاله مروري و ترويجي'!H48</f>
        <v>0</v>
      </c>
      <c r="O277" s="2109"/>
      <c r="P277" s="2109"/>
      <c r="Q277" s="2109"/>
      <c r="R277" s="2109"/>
      <c r="S277" s="2233">
        <f>'بند3-2و3-3مقاله مروري و ترويجي'!O48</f>
        <v>0</v>
      </c>
      <c r="T277" s="2234"/>
      <c r="U277" s="2235"/>
      <c r="V277" s="363" t="s">
        <v>762</v>
      </c>
      <c r="W277" s="363" t="s">
        <v>763</v>
      </c>
      <c r="X277" s="363" t="s">
        <v>764</v>
      </c>
      <c r="Y277" s="364" t="s">
        <v>767</v>
      </c>
    </row>
    <row r="278" spans="1:25" ht="29.25" customHeight="1">
      <c r="A278" s="2230"/>
      <c r="B278" s="2109"/>
      <c r="C278" s="2109"/>
      <c r="D278" s="2109"/>
      <c r="E278" s="2109"/>
      <c r="F278" s="2109"/>
      <c r="G278" s="2109"/>
      <c r="H278" s="2109"/>
      <c r="I278" s="2109"/>
      <c r="J278" s="2109"/>
      <c r="K278" s="2232"/>
      <c r="L278" s="2232"/>
      <c r="M278" s="2232"/>
      <c r="N278" s="2109"/>
      <c r="O278" s="2109"/>
      <c r="P278" s="2109"/>
      <c r="Q278" s="2109"/>
      <c r="R278" s="2109"/>
      <c r="S278" s="2236"/>
      <c r="T278" s="2237"/>
      <c r="U278" s="2238"/>
      <c r="V278" s="373">
        <f>'بند3-2و3-3مقاله مروري و ترويجي'!H50</f>
        <v>0</v>
      </c>
      <c r="W278" s="374">
        <f>'بند3-2و3-3مقاله مروري و ترويجي'!K50</f>
        <v>0</v>
      </c>
      <c r="X278" s="375">
        <f>'بند3-2و3-3مقاله مروري و ترويجي'!F50</f>
        <v>0</v>
      </c>
      <c r="Y278" s="376">
        <f ca="1">'بند3-2و3-3مقاله مروري و ترويجي'!S48</f>
        <v>0</v>
      </c>
    </row>
    <row r="279" spans="1:25" ht="29.25" customHeight="1">
      <c r="A279" s="2230">
        <f>'بند3-2و3-3مقاله مروري و ترويجي'!A51</f>
        <v>0</v>
      </c>
      <c r="B279" s="2108">
        <f>'بند3-2و3-3مقاله مروري و ترويجي'!B51</f>
        <v>0</v>
      </c>
      <c r="C279" s="2109"/>
      <c r="D279" s="2109"/>
      <c r="E279" s="2109"/>
      <c r="F279" s="2109"/>
      <c r="G279" s="2109"/>
      <c r="H279" s="2109"/>
      <c r="I279" s="2109"/>
      <c r="J279" s="2109"/>
      <c r="K279" s="2231">
        <f>'بند3-2و3-3مقاله مروري و ترويجي'!K51</f>
        <v>0</v>
      </c>
      <c r="L279" s="2232"/>
      <c r="M279" s="2232"/>
      <c r="N279" s="2108">
        <f>'بند3-2و3-3مقاله مروري و ترويجي'!H51</f>
        <v>0</v>
      </c>
      <c r="O279" s="2109"/>
      <c r="P279" s="2109"/>
      <c r="Q279" s="2109"/>
      <c r="R279" s="2109"/>
      <c r="S279" s="2233">
        <f>'بند3-2و3-3مقاله مروري و ترويجي'!O51</f>
        <v>0</v>
      </c>
      <c r="T279" s="2234"/>
      <c r="U279" s="2235"/>
      <c r="V279" s="363" t="s">
        <v>762</v>
      </c>
      <c r="W279" s="363" t="s">
        <v>763</v>
      </c>
      <c r="X279" s="363" t="s">
        <v>764</v>
      </c>
      <c r="Y279" s="364" t="s">
        <v>767</v>
      </c>
    </row>
    <row r="280" spans="1:25" ht="29.25" customHeight="1">
      <c r="A280" s="2230"/>
      <c r="B280" s="2109"/>
      <c r="C280" s="2109"/>
      <c r="D280" s="2109"/>
      <c r="E280" s="2109"/>
      <c r="F280" s="2109"/>
      <c r="G280" s="2109"/>
      <c r="H280" s="2109"/>
      <c r="I280" s="2109"/>
      <c r="J280" s="2109"/>
      <c r="K280" s="2232"/>
      <c r="L280" s="2232"/>
      <c r="M280" s="2232"/>
      <c r="N280" s="2109"/>
      <c r="O280" s="2109"/>
      <c r="P280" s="2109"/>
      <c r="Q280" s="2109"/>
      <c r="R280" s="2109"/>
      <c r="S280" s="2236"/>
      <c r="T280" s="2237"/>
      <c r="U280" s="2238"/>
      <c r="V280" s="373">
        <f>'بند3-2و3-3مقاله مروري و ترويجي'!H53</f>
        <v>0</v>
      </c>
      <c r="W280" s="374">
        <f>'بند3-2و3-3مقاله مروري و ترويجي'!K53</f>
        <v>0</v>
      </c>
      <c r="X280" s="375">
        <f>'بند3-2و3-3مقاله مروري و ترويجي'!F53</f>
        <v>0</v>
      </c>
      <c r="Y280" s="376">
        <f ca="1">'بند3-2و3-3مقاله مروري و ترويجي'!S51</f>
        <v>0</v>
      </c>
    </row>
    <row r="281" spans="1:25" ht="29.25" customHeight="1">
      <c r="A281" s="2230">
        <f>'بند3-2و3-3مقاله مروري و ترويجي'!A54</f>
        <v>0</v>
      </c>
      <c r="B281" s="2108">
        <f>'بند3-2و3-3مقاله مروري و ترويجي'!B54</f>
        <v>0</v>
      </c>
      <c r="C281" s="2109"/>
      <c r="D281" s="2109"/>
      <c r="E281" s="2109"/>
      <c r="F281" s="2109"/>
      <c r="G281" s="2109"/>
      <c r="H281" s="2109"/>
      <c r="I281" s="2109"/>
      <c r="J281" s="2109"/>
      <c r="K281" s="2231">
        <f>'بند3-2و3-3مقاله مروري و ترويجي'!K54</f>
        <v>0</v>
      </c>
      <c r="L281" s="2232"/>
      <c r="M281" s="2232"/>
      <c r="N281" s="2108">
        <f>'بند3-2و3-3مقاله مروري و ترويجي'!H54</f>
        <v>0</v>
      </c>
      <c r="O281" s="2109"/>
      <c r="P281" s="2109"/>
      <c r="Q281" s="2109"/>
      <c r="R281" s="2109"/>
      <c r="S281" s="2233">
        <f>'بند3-2و3-3مقاله مروري و ترويجي'!O54</f>
        <v>0</v>
      </c>
      <c r="T281" s="2234"/>
      <c r="U281" s="2235"/>
      <c r="V281" s="363" t="s">
        <v>762</v>
      </c>
      <c r="W281" s="363" t="s">
        <v>763</v>
      </c>
      <c r="X281" s="363" t="s">
        <v>764</v>
      </c>
      <c r="Y281" s="364" t="s">
        <v>767</v>
      </c>
    </row>
    <row r="282" spans="1:25" ht="29.25" customHeight="1">
      <c r="A282" s="2230"/>
      <c r="B282" s="2109"/>
      <c r="C282" s="2109"/>
      <c r="D282" s="2109"/>
      <c r="E282" s="2109"/>
      <c r="F282" s="2109"/>
      <c r="G282" s="2109"/>
      <c r="H282" s="2109"/>
      <c r="I282" s="2109"/>
      <c r="J282" s="2109"/>
      <c r="K282" s="2232"/>
      <c r="L282" s="2232"/>
      <c r="M282" s="2232"/>
      <c r="N282" s="2109"/>
      <c r="O282" s="2109"/>
      <c r="P282" s="2109"/>
      <c r="Q282" s="2109"/>
      <c r="R282" s="2109"/>
      <c r="S282" s="2236"/>
      <c r="T282" s="2237"/>
      <c r="U282" s="2238"/>
      <c r="V282" s="373">
        <f>'بند3-2و3-3مقاله مروري و ترويجي'!H56</f>
        <v>0</v>
      </c>
      <c r="W282" s="374">
        <f>'بند3-2و3-3مقاله مروري و ترويجي'!K56</f>
        <v>0</v>
      </c>
      <c r="X282" s="375">
        <f>'بند3-2و3-3مقاله مروري و ترويجي'!F56</f>
        <v>0</v>
      </c>
      <c r="Y282" s="376">
        <f ca="1">'بند3-2و3-3مقاله مروري و ترويجي'!S54</f>
        <v>0</v>
      </c>
    </row>
    <row r="283" spans="1:25" ht="29.25" customHeight="1">
      <c r="A283" s="2230">
        <f>'بند3-2و3-3مقاله مروري و ترويجي'!A57</f>
        <v>0</v>
      </c>
      <c r="B283" s="2108">
        <f>'بند3-2و3-3مقاله مروري و ترويجي'!B57</f>
        <v>0</v>
      </c>
      <c r="C283" s="2109"/>
      <c r="D283" s="2109"/>
      <c r="E283" s="2109"/>
      <c r="F283" s="2109"/>
      <c r="G283" s="2109"/>
      <c r="H283" s="2109"/>
      <c r="I283" s="2109"/>
      <c r="J283" s="2109"/>
      <c r="K283" s="2231">
        <f>'بند3-2و3-3مقاله مروري و ترويجي'!K57</f>
        <v>0</v>
      </c>
      <c r="L283" s="2232"/>
      <c r="M283" s="2232"/>
      <c r="N283" s="2108">
        <f>'بند3-2و3-3مقاله مروري و ترويجي'!H57</f>
        <v>0</v>
      </c>
      <c r="O283" s="2109"/>
      <c r="P283" s="2109"/>
      <c r="Q283" s="2109"/>
      <c r="R283" s="2109"/>
      <c r="S283" s="2233">
        <f>'بند3-2و3-3مقاله مروري و ترويجي'!O57</f>
        <v>0</v>
      </c>
      <c r="T283" s="2234"/>
      <c r="U283" s="2235"/>
      <c r="V283" s="363" t="s">
        <v>762</v>
      </c>
      <c r="W283" s="363" t="s">
        <v>763</v>
      </c>
      <c r="X283" s="363" t="s">
        <v>764</v>
      </c>
      <c r="Y283" s="364" t="s">
        <v>767</v>
      </c>
    </row>
    <row r="284" spans="1:25" ht="29.25" customHeight="1">
      <c r="A284" s="2230"/>
      <c r="B284" s="2109"/>
      <c r="C284" s="2109"/>
      <c r="D284" s="2109"/>
      <c r="E284" s="2109"/>
      <c r="F284" s="2109"/>
      <c r="G284" s="2109"/>
      <c r="H284" s="2109"/>
      <c r="I284" s="2109"/>
      <c r="J284" s="2109"/>
      <c r="K284" s="2232"/>
      <c r="L284" s="2232"/>
      <c r="M284" s="2232"/>
      <c r="N284" s="2109"/>
      <c r="O284" s="2109"/>
      <c r="P284" s="2109"/>
      <c r="Q284" s="2109"/>
      <c r="R284" s="2109"/>
      <c r="S284" s="2236"/>
      <c r="T284" s="2237"/>
      <c r="U284" s="2238"/>
      <c r="V284" s="373">
        <f>'بند3-2و3-3مقاله مروري و ترويجي'!H59</f>
        <v>0</v>
      </c>
      <c r="W284" s="374">
        <f>'بند3-2و3-3مقاله مروري و ترويجي'!K59</f>
        <v>0</v>
      </c>
      <c r="X284" s="375">
        <f>'بند3-2و3-3مقاله مروري و ترويجي'!F59</f>
        <v>0</v>
      </c>
      <c r="Y284" s="376">
        <f ca="1">'بند3-2و3-3مقاله مروري و ترويجي'!S57</f>
        <v>0</v>
      </c>
    </row>
    <row r="285" spans="1:25" ht="29.25" customHeight="1">
      <c r="A285" s="2230">
        <f>'بند3-2و3-3مقاله مروري و ترويجي'!A60</f>
        <v>0</v>
      </c>
      <c r="B285" s="2108">
        <f>'بند3-2و3-3مقاله مروري و ترويجي'!B60</f>
        <v>0</v>
      </c>
      <c r="C285" s="2109"/>
      <c r="D285" s="2109"/>
      <c r="E285" s="2109"/>
      <c r="F285" s="2109"/>
      <c r="G285" s="2109"/>
      <c r="H285" s="2109"/>
      <c r="I285" s="2109"/>
      <c r="J285" s="2109"/>
      <c r="K285" s="2231">
        <f>'بند3-2و3-3مقاله مروري و ترويجي'!K60</f>
        <v>0</v>
      </c>
      <c r="L285" s="2232"/>
      <c r="M285" s="2232"/>
      <c r="N285" s="2108">
        <f>'بند3-2و3-3مقاله مروري و ترويجي'!H60</f>
        <v>0</v>
      </c>
      <c r="O285" s="2109"/>
      <c r="P285" s="2109"/>
      <c r="Q285" s="2109"/>
      <c r="R285" s="2109"/>
      <c r="S285" s="2233">
        <f>'بند3-2و3-3مقاله مروري و ترويجي'!O60</f>
        <v>0</v>
      </c>
      <c r="T285" s="2234"/>
      <c r="U285" s="2235"/>
      <c r="V285" s="363" t="s">
        <v>762</v>
      </c>
      <c r="W285" s="363" t="s">
        <v>763</v>
      </c>
      <c r="X285" s="363" t="s">
        <v>764</v>
      </c>
      <c r="Y285" s="364" t="s">
        <v>767</v>
      </c>
    </row>
    <row r="286" spans="1:25" ht="29.25" customHeight="1">
      <c r="A286" s="2230"/>
      <c r="B286" s="2109"/>
      <c r="C286" s="2109"/>
      <c r="D286" s="2109"/>
      <c r="E286" s="2109"/>
      <c r="F286" s="2109"/>
      <c r="G286" s="2109"/>
      <c r="H286" s="2109"/>
      <c r="I286" s="2109"/>
      <c r="J286" s="2109"/>
      <c r="K286" s="2232"/>
      <c r="L286" s="2232"/>
      <c r="M286" s="2232"/>
      <c r="N286" s="2109"/>
      <c r="O286" s="2109"/>
      <c r="P286" s="2109"/>
      <c r="Q286" s="2109"/>
      <c r="R286" s="2109"/>
      <c r="S286" s="2236"/>
      <c r="T286" s="2237"/>
      <c r="U286" s="2238"/>
      <c r="V286" s="373">
        <f>'بند3-2و3-3مقاله مروري و ترويجي'!H62</f>
        <v>0</v>
      </c>
      <c r="W286" s="374">
        <f>'بند3-2و3-3مقاله مروري و ترويجي'!K62</f>
        <v>0</v>
      </c>
      <c r="X286" s="375">
        <f>'بند3-2و3-3مقاله مروري و ترويجي'!F62</f>
        <v>0</v>
      </c>
      <c r="Y286" s="376">
        <f ca="1">'بند3-2و3-3مقاله مروري و ترويجي'!S60</f>
        <v>0</v>
      </c>
    </row>
    <row r="287" spans="1:25" ht="29.25" customHeight="1">
      <c r="A287" s="2230">
        <f>'بند3-2و3-3مقاله مروري و ترويجي'!A63</f>
        <v>0</v>
      </c>
      <c r="B287" s="2108">
        <f>'بند3-2و3-3مقاله مروري و ترويجي'!B63</f>
        <v>0</v>
      </c>
      <c r="C287" s="2109"/>
      <c r="D287" s="2109"/>
      <c r="E287" s="2109"/>
      <c r="F287" s="2109"/>
      <c r="G287" s="2109"/>
      <c r="H287" s="2109"/>
      <c r="I287" s="2109"/>
      <c r="J287" s="2109"/>
      <c r="K287" s="2231">
        <f>'بند3-2و3-3مقاله مروري و ترويجي'!K63</f>
        <v>0</v>
      </c>
      <c r="L287" s="2232"/>
      <c r="M287" s="2232"/>
      <c r="N287" s="2108">
        <f>'بند3-2و3-3مقاله مروري و ترويجي'!H63</f>
        <v>0</v>
      </c>
      <c r="O287" s="2109"/>
      <c r="P287" s="2109"/>
      <c r="Q287" s="2109"/>
      <c r="R287" s="2109"/>
      <c r="S287" s="2233">
        <f>'بند3-2و3-3مقاله مروري و ترويجي'!O63</f>
        <v>0</v>
      </c>
      <c r="T287" s="2234"/>
      <c r="U287" s="2235"/>
      <c r="V287" s="363" t="s">
        <v>762</v>
      </c>
      <c r="W287" s="363" t="s">
        <v>763</v>
      </c>
      <c r="X287" s="363" t="s">
        <v>764</v>
      </c>
      <c r="Y287" s="364" t="s">
        <v>767</v>
      </c>
    </row>
    <row r="288" spans="1:25" ht="29.25" customHeight="1">
      <c r="A288" s="2230"/>
      <c r="B288" s="2109"/>
      <c r="C288" s="2109"/>
      <c r="D288" s="2109"/>
      <c r="E288" s="2109"/>
      <c r="F288" s="2109"/>
      <c r="G288" s="2109"/>
      <c r="H288" s="2109"/>
      <c r="I288" s="2109"/>
      <c r="J288" s="2109"/>
      <c r="K288" s="2232"/>
      <c r="L288" s="2232"/>
      <c r="M288" s="2232"/>
      <c r="N288" s="2109"/>
      <c r="O288" s="2109"/>
      <c r="P288" s="2109"/>
      <c r="Q288" s="2109"/>
      <c r="R288" s="2109"/>
      <c r="S288" s="2236"/>
      <c r="T288" s="2237"/>
      <c r="U288" s="2238"/>
      <c r="V288" s="373">
        <f>'بند3-2و3-3مقاله مروري و ترويجي'!H65</f>
        <v>0</v>
      </c>
      <c r="W288" s="374">
        <f>'بند3-2و3-3مقاله مروري و ترويجي'!K65</f>
        <v>0</v>
      </c>
      <c r="X288" s="375">
        <f>'بند3-2و3-3مقاله مروري و ترويجي'!F65</f>
        <v>0</v>
      </c>
      <c r="Y288" s="376">
        <f ca="1">'بند3-2و3-3مقاله مروري و ترويجي'!S63</f>
        <v>0</v>
      </c>
    </row>
    <row r="289" spans="1:25" ht="29.25" customHeight="1">
      <c r="A289" s="2230">
        <f>'بند3-2و3-3مقاله مروري و ترويجي'!A66</f>
        <v>0</v>
      </c>
      <c r="B289" s="2108">
        <f>'بند3-2و3-3مقاله مروري و ترويجي'!B66</f>
        <v>0</v>
      </c>
      <c r="C289" s="2109"/>
      <c r="D289" s="2109"/>
      <c r="E289" s="2109"/>
      <c r="F289" s="2109"/>
      <c r="G289" s="2109"/>
      <c r="H289" s="2109"/>
      <c r="I289" s="2109"/>
      <c r="J289" s="2109"/>
      <c r="K289" s="2231">
        <f>'بند3-2و3-3مقاله مروري و ترويجي'!K66</f>
        <v>0</v>
      </c>
      <c r="L289" s="2232"/>
      <c r="M289" s="2232"/>
      <c r="N289" s="2108">
        <f>'بند3-2و3-3مقاله مروري و ترويجي'!H66</f>
        <v>0</v>
      </c>
      <c r="O289" s="2109"/>
      <c r="P289" s="2109"/>
      <c r="Q289" s="2109"/>
      <c r="R289" s="2109"/>
      <c r="S289" s="2233">
        <f>'بند3-2و3-3مقاله مروري و ترويجي'!O66</f>
        <v>0</v>
      </c>
      <c r="T289" s="2234"/>
      <c r="U289" s="2235"/>
      <c r="V289" s="363" t="s">
        <v>762</v>
      </c>
      <c r="W289" s="363" t="s">
        <v>763</v>
      </c>
      <c r="X289" s="363" t="s">
        <v>764</v>
      </c>
      <c r="Y289" s="364" t="s">
        <v>767</v>
      </c>
    </row>
    <row r="290" spans="1:25" ht="29.25" customHeight="1">
      <c r="A290" s="2230"/>
      <c r="B290" s="2109"/>
      <c r="C290" s="2109"/>
      <c r="D290" s="2109"/>
      <c r="E290" s="2109"/>
      <c r="F290" s="2109"/>
      <c r="G290" s="2109"/>
      <c r="H290" s="2109"/>
      <c r="I290" s="2109"/>
      <c r="J290" s="2109"/>
      <c r="K290" s="2232"/>
      <c r="L290" s="2232"/>
      <c r="M290" s="2232"/>
      <c r="N290" s="2109"/>
      <c r="O290" s="2109"/>
      <c r="P290" s="2109"/>
      <c r="Q290" s="2109"/>
      <c r="R290" s="2109"/>
      <c r="S290" s="2236"/>
      <c r="T290" s="2237"/>
      <c r="U290" s="2238"/>
      <c r="V290" s="373">
        <f>'بند3-2و3-3مقاله مروري و ترويجي'!H68</f>
        <v>0</v>
      </c>
      <c r="W290" s="374">
        <f>'بند3-2و3-3مقاله مروري و ترويجي'!K68</f>
        <v>0</v>
      </c>
      <c r="X290" s="375">
        <f>'بند3-2و3-3مقاله مروري و ترويجي'!F68</f>
        <v>0</v>
      </c>
      <c r="Y290" s="376">
        <f ca="1">'بند3-2و3-3مقاله مروري و ترويجي'!S66</f>
        <v>0</v>
      </c>
    </row>
    <row r="291" spans="1:25" ht="29.25" customHeight="1">
      <c r="A291" s="2230">
        <f>'بند3-2و3-3مقاله مروري و ترويجي'!A69</f>
        <v>0</v>
      </c>
      <c r="B291" s="2108">
        <f>'بند3-2و3-3مقاله مروري و ترويجي'!B69</f>
        <v>0</v>
      </c>
      <c r="C291" s="2109"/>
      <c r="D291" s="2109"/>
      <c r="E291" s="2109"/>
      <c r="F291" s="2109"/>
      <c r="G291" s="2109"/>
      <c r="H291" s="2109"/>
      <c r="I291" s="2109"/>
      <c r="J291" s="2109"/>
      <c r="K291" s="2231">
        <f>'بند3-2و3-3مقاله مروري و ترويجي'!K69</f>
        <v>0</v>
      </c>
      <c r="L291" s="2232"/>
      <c r="M291" s="2232"/>
      <c r="N291" s="2108">
        <f>'بند3-2و3-3مقاله مروري و ترويجي'!H69</f>
        <v>0</v>
      </c>
      <c r="O291" s="2109"/>
      <c r="P291" s="2109"/>
      <c r="Q291" s="2109"/>
      <c r="R291" s="2109"/>
      <c r="S291" s="2233">
        <f>'بند3-2و3-3مقاله مروري و ترويجي'!O69</f>
        <v>0</v>
      </c>
      <c r="T291" s="2234"/>
      <c r="U291" s="2235"/>
      <c r="V291" s="363" t="s">
        <v>762</v>
      </c>
      <c r="W291" s="363" t="s">
        <v>763</v>
      </c>
      <c r="X291" s="363" t="s">
        <v>764</v>
      </c>
      <c r="Y291" s="364" t="s">
        <v>767</v>
      </c>
    </row>
    <row r="292" spans="1:25" ht="29.25" customHeight="1">
      <c r="A292" s="2230"/>
      <c r="B292" s="2109"/>
      <c r="C292" s="2109"/>
      <c r="D292" s="2109"/>
      <c r="E292" s="2109"/>
      <c r="F292" s="2109"/>
      <c r="G292" s="2109"/>
      <c r="H292" s="2109"/>
      <c r="I292" s="2109"/>
      <c r="J292" s="2109"/>
      <c r="K292" s="2232"/>
      <c r="L292" s="2232"/>
      <c r="M292" s="2232"/>
      <c r="N292" s="2109"/>
      <c r="O292" s="2109"/>
      <c r="P292" s="2109"/>
      <c r="Q292" s="2109"/>
      <c r="R292" s="2109"/>
      <c r="S292" s="2236"/>
      <c r="T292" s="2237"/>
      <c r="U292" s="2238"/>
      <c r="V292" s="373">
        <f>'بند3-2و3-3مقاله مروري و ترويجي'!H71</f>
        <v>0</v>
      </c>
      <c r="W292" s="374">
        <f>'بند3-2و3-3مقاله مروري و ترويجي'!K71</f>
        <v>0</v>
      </c>
      <c r="X292" s="375">
        <f>'بند3-2و3-3مقاله مروري و ترويجي'!F71</f>
        <v>0</v>
      </c>
      <c r="Y292" s="376">
        <f ca="1">'بند3-2و3-3مقاله مروري و ترويجي'!S69</f>
        <v>0</v>
      </c>
    </row>
    <row r="293" spans="1:25" ht="29.25" customHeight="1">
      <c r="A293" s="2230">
        <f>'بند3-2و3-3مقاله مروري و ترويجي'!A72</f>
        <v>0</v>
      </c>
      <c r="B293" s="2108">
        <f>'بند3-2و3-3مقاله مروري و ترويجي'!B72</f>
        <v>0</v>
      </c>
      <c r="C293" s="2109"/>
      <c r="D293" s="2109"/>
      <c r="E293" s="2109"/>
      <c r="F293" s="2109"/>
      <c r="G293" s="2109"/>
      <c r="H293" s="2109"/>
      <c r="I293" s="2109"/>
      <c r="J293" s="2109"/>
      <c r="K293" s="2231">
        <f>'بند3-2و3-3مقاله مروري و ترويجي'!K72</f>
        <v>0</v>
      </c>
      <c r="L293" s="2232"/>
      <c r="M293" s="2232"/>
      <c r="N293" s="2108">
        <f>'بند3-2و3-3مقاله مروري و ترويجي'!H72</f>
        <v>0</v>
      </c>
      <c r="O293" s="2109"/>
      <c r="P293" s="2109"/>
      <c r="Q293" s="2109"/>
      <c r="R293" s="2109"/>
      <c r="S293" s="2233">
        <f>'بند3-2و3-3مقاله مروري و ترويجي'!O72</f>
        <v>0</v>
      </c>
      <c r="T293" s="2234"/>
      <c r="U293" s="2235"/>
      <c r="V293" s="363" t="s">
        <v>762</v>
      </c>
      <c r="W293" s="363" t="s">
        <v>763</v>
      </c>
      <c r="X293" s="363" t="s">
        <v>764</v>
      </c>
      <c r="Y293" s="364" t="s">
        <v>767</v>
      </c>
    </row>
    <row r="294" spans="1:25" ht="29.25" customHeight="1">
      <c r="A294" s="2230"/>
      <c r="B294" s="2109"/>
      <c r="C294" s="2109"/>
      <c r="D294" s="2109"/>
      <c r="E294" s="2109"/>
      <c r="F294" s="2109"/>
      <c r="G294" s="2109"/>
      <c r="H294" s="2109"/>
      <c r="I294" s="2109"/>
      <c r="J294" s="2109"/>
      <c r="K294" s="2232"/>
      <c r="L294" s="2232"/>
      <c r="M294" s="2232"/>
      <c r="N294" s="2109"/>
      <c r="O294" s="2109"/>
      <c r="P294" s="2109"/>
      <c r="Q294" s="2109"/>
      <c r="R294" s="2109"/>
      <c r="S294" s="2236"/>
      <c r="T294" s="2237"/>
      <c r="U294" s="2238"/>
      <c r="V294" s="373">
        <f>'بند3-2و3-3مقاله مروري و ترويجي'!H74</f>
        <v>0</v>
      </c>
      <c r="W294" s="374">
        <f>'بند3-2و3-3مقاله مروري و ترويجي'!K74</f>
        <v>0</v>
      </c>
      <c r="X294" s="375">
        <f>'بند3-2و3-3مقاله مروري و ترويجي'!F74</f>
        <v>0</v>
      </c>
      <c r="Y294" s="376">
        <f ca="1">'بند3-2و3-3مقاله مروري و ترويجي'!S72</f>
        <v>0</v>
      </c>
    </row>
    <row r="295" spans="1:25" ht="29.25" customHeight="1">
      <c r="A295" s="2230">
        <f>'بند3-2و3-3مقاله مروري و ترويجي'!A75</f>
        <v>0</v>
      </c>
      <c r="B295" s="2108">
        <f>'بند3-2و3-3مقاله مروري و ترويجي'!B75</f>
        <v>0</v>
      </c>
      <c r="C295" s="2109"/>
      <c r="D295" s="2109"/>
      <c r="E295" s="2109"/>
      <c r="F295" s="2109"/>
      <c r="G295" s="2109"/>
      <c r="H295" s="2109"/>
      <c r="I295" s="2109"/>
      <c r="J295" s="2109"/>
      <c r="K295" s="2231">
        <f>'بند3-2و3-3مقاله مروري و ترويجي'!K75</f>
        <v>0</v>
      </c>
      <c r="L295" s="2232"/>
      <c r="M295" s="2232"/>
      <c r="N295" s="2108">
        <f>'بند3-2و3-3مقاله مروري و ترويجي'!H75</f>
        <v>0</v>
      </c>
      <c r="O295" s="2109"/>
      <c r="P295" s="2109"/>
      <c r="Q295" s="2109"/>
      <c r="R295" s="2109"/>
      <c r="S295" s="2233">
        <f>'بند3-2و3-3مقاله مروري و ترويجي'!O75</f>
        <v>0</v>
      </c>
      <c r="T295" s="2234"/>
      <c r="U295" s="2235"/>
      <c r="V295" s="363" t="s">
        <v>762</v>
      </c>
      <c r="W295" s="363" t="s">
        <v>763</v>
      </c>
      <c r="X295" s="363" t="s">
        <v>764</v>
      </c>
      <c r="Y295" s="364" t="s">
        <v>767</v>
      </c>
    </row>
    <row r="296" spans="1:25" ht="29.25" customHeight="1">
      <c r="A296" s="2230"/>
      <c r="B296" s="2109"/>
      <c r="C296" s="2109"/>
      <c r="D296" s="2109"/>
      <c r="E296" s="2109"/>
      <c r="F296" s="2109"/>
      <c r="G296" s="2109"/>
      <c r="H296" s="2109"/>
      <c r="I296" s="2109"/>
      <c r="J296" s="2109"/>
      <c r="K296" s="2232"/>
      <c r="L296" s="2232"/>
      <c r="M296" s="2232"/>
      <c r="N296" s="2109"/>
      <c r="O296" s="2109"/>
      <c r="P296" s="2109"/>
      <c r="Q296" s="2109"/>
      <c r="R296" s="2109"/>
      <c r="S296" s="2236"/>
      <c r="T296" s="2237"/>
      <c r="U296" s="2238"/>
      <c r="V296" s="373">
        <f>'بند3-2و3-3مقاله مروري و ترويجي'!H77</f>
        <v>0</v>
      </c>
      <c r="W296" s="374">
        <f>'بند3-2و3-3مقاله مروري و ترويجي'!K77</f>
        <v>0</v>
      </c>
      <c r="X296" s="375">
        <f>'بند3-2و3-3مقاله مروري و ترويجي'!F77</f>
        <v>0</v>
      </c>
      <c r="Y296" s="376">
        <f ca="1">'بند3-2و3-3مقاله مروري و ترويجي'!S75</f>
        <v>0</v>
      </c>
    </row>
    <row r="297" spans="1:25" ht="29.25" customHeight="1">
      <c r="A297" s="2230">
        <f>'بند3-2و3-3مقاله مروري و ترويجي'!A78</f>
        <v>0</v>
      </c>
      <c r="B297" s="2108">
        <f>'بند3-2و3-3مقاله مروري و ترويجي'!B78</f>
        <v>0</v>
      </c>
      <c r="C297" s="2109"/>
      <c r="D297" s="2109"/>
      <c r="E297" s="2109"/>
      <c r="F297" s="2109"/>
      <c r="G297" s="2109"/>
      <c r="H297" s="2109"/>
      <c r="I297" s="2109"/>
      <c r="J297" s="2109"/>
      <c r="K297" s="2231">
        <f>'بند3-2و3-3مقاله مروري و ترويجي'!K78</f>
        <v>0</v>
      </c>
      <c r="L297" s="2232"/>
      <c r="M297" s="2232"/>
      <c r="N297" s="2108">
        <f>'بند3-2و3-3مقاله مروري و ترويجي'!H78</f>
        <v>0</v>
      </c>
      <c r="O297" s="2109"/>
      <c r="P297" s="2109"/>
      <c r="Q297" s="2109"/>
      <c r="R297" s="2109"/>
      <c r="S297" s="2233">
        <f>'بند3-2و3-3مقاله مروري و ترويجي'!O78</f>
        <v>0</v>
      </c>
      <c r="T297" s="2234"/>
      <c r="U297" s="2235"/>
      <c r="V297" s="363" t="s">
        <v>762</v>
      </c>
      <c r="W297" s="363" t="s">
        <v>763</v>
      </c>
      <c r="X297" s="363" t="s">
        <v>764</v>
      </c>
      <c r="Y297" s="364" t="s">
        <v>767</v>
      </c>
    </row>
    <row r="298" spans="1:25" ht="29.25" customHeight="1" thickBot="1">
      <c r="A298" s="2197"/>
      <c r="B298" s="2112"/>
      <c r="C298" s="2112"/>
      <c r="D298" s="2112"/>
      <c r="E298" s="2112"/>
      <c r="F298" s="2112"/>
      <c r="G298" s="2112"/>
      <c r="H298" s="2112"/>
      <c r="I298" s="2112"/>
      <c r="J298" s="2112"/>
      <c r="K298" s="2336"/>
      <c r="L298" s="2336"/>
      <c r="M298" s="2336"/>
      <c r="N298" s="2112"/>
      <c r="O298" s="2112"/>
      <c r="P298" s="2112"/>
      <c r="Q298" s="2112"/>
      <c r="R298" s="2112"/>
      <c r="S298" s="2304"/>
      <c r="T298" s="2305"/>
      <c r="U298" s="2306"/>
      <c r="V298" s="377">
        <f>'بند3-2و3-3مقاله مروري و ترويجي'!H80</f>
        <v>0</v>
      </c>
      <c r="W298" s="378">
        <f>'بند3-2و3-3مقاله مروري و ترويجي'!K80</f>
        <v>0</v>
      </c>
      <c r="X298" s="379">
        <f>'بند3-2و3-3مقاله مروري و ترويجي'!F80</f>
        <v>0</v>
      </c>
      <c r="Y298" s="380">
        <f ca="1">'بند3-2و3-3مقاله مروري و ترويجي'!S78</f>
        <v>0</v>
      </c>
    </row>
    <row r="299" spans="1:25" ht="29.25" customHeight="1" thickBot="1">
      <c r="A299" s="2338" t="s">
        <v>797</v>
      </c>
      <c r="B299" s="2339"/>
      <c r="C299" s="2339"/>
      <c r="D299" s="2339"/>
      <c r="E299" s="2339"/>
      <c r="F299" s="2339"/>
      <c r="G299" s="2339"/>
      <c r="H299" s="2339"/>
      <c r="I299" s="2339"/>
      <c r="J299" s="2339"/>
      <c r="K299" s="2339"/>
      <c r="L299" s="2339"/>
      <c r="M299" s="2339"/>
      <c r="N299" s="2339"/>
      <c r="O299" s="2339"/>
      <c r="P299" s="2339"/>
      <c r="Q299" s="2339"/>
      <c r="R299" s="2339"/>
      <c r="S299" s="2339"/>
      <c r="T299" s="2339"/>
      <c r="U299" s="2339"/>
      <c r="V299" s="2339"/>
      <c r="W299" s="2339"/>
      <c r="X299" s="2190">
        <f>'بند3-2و3-3مقاله مروري و ترويجي'!S81</f>
        <v>0</v>
      </c>
      <c r="Y299" s="2191"/>
    </row>
    <row r="300" spans="1:25" ht="29.25" customHeight="1" thickBot="1">
      <c r="A300" s="2338" t="s">
        <v>798</v>
      </c>
      <c r="B300" s="2339"/>
      <c r="C300" s="2339"/>
      <c r="D300" s="2339"/>
      <c r="E300" s="2339"/>
      <c r="F300" s="2339"/>
      <c r="G300" s="2339"/>
      <c r="H300" s="2339"/>
      <c r="I300" s="2339"/>
      <c r="J300" s="2339"/>
      <c r="K300" s="2339"/>
      <c r="L300" s="2339"/>
      <c r="M300" s="2339"/>
      <c r="N300" s="2339"/>
      <c r="O300" s="2339"/>
      <c r="P300" s="2339"/>
      <c r="Q300" s="2339"/>
      <c r="R300" s="2339"/>
      <c r="S300" s="2339"/>
      <c r="T300" s="2339"/>
      <c r="U300" s="2339"/>
      <c r="V300" s="2339"/>
      <c r="W300" s="2339"/>
      <c r="X300" s="2190">
        <f>'بند3-2و3-3مقاله مروري و ترويجي'!S82</f>
        <v>0</v>
      </c>
      <c r="Y300" s="2191"/>
    </row>
    <row r="301" spans="1:25" ht="29.25" customHeight="1" thickBot="1">
      <c r="A301" s="2337" t="s">
        <v>799</v>
      </c>
      <c r="B301" s="2337"/>
      <c r="C301" s="2337"/>
      <c r="D301" s="2337"/>
      <c r="E301" s="2337"/>
      <c r="F301" s="2337"/>
      <c r="G301" s="2337"/>
      <c r="H301" s="2337"/>
      <c r="I301" s="2337"/>
      <c r="J301" s="2337"/>
      <c r="K301" s="2337"/>
      <c r="L301" s="2337"/>
      <c r="M301" s="2337"/>
      <c r="N301" s="2337"/>
      <c r="O301" s="2337"/>
      <c r="P301" s="2337"/>
      <c r="Q301" s="2337"/>
      <c r="R301" s="2337"/>
      <c r="S301" s="2337"/>
      <c r="T301" s="2337"/>
      <c r="U301" s="2337"/>
      <c r="V301" s="2337"/>
      <c r="W301" s="2337"/>
      <c r="X301" s="2337"/>
      <c r="Y301" s="2337"/>
    </row>
    <row r="302" spans="1:25" ht="29.25" customHeight="1" thickBot="1">
      <c r="A302" s="381" t="s">
        <v>9</v>
      </c>
      <c r="B302" s="2245" t="s">
        <v>154</v>
      </c>
      <c r="C302" s="2245"/>
      <c r="D302" s="2245"/>
      <c r="E302" s="2245" t="s">
        <v>768</v>
      </c>
      <c r="F302" s="2245"/>
      <c r="G302" s="2245"/>
      <c r="H302" s="2246" t="s">
        <v>273</v>
      </c>
      <c r="I302" s="2248"/>
      <c r="J302" s="2245" t="s">
        <v>274</v>
      </c>
      <c r="K302" s="2245"/>
      <c r="L302" s="2245"/>
      <c r="M302" s="2245"/>
      <c r="N302" s="2245"/>
      <c r="O302" s="2245"/>
      <c r="P302" s="2245"/>
      <c r="Q302" s="2245" t="s">
        <v>272</v>
      </c>
      <c r="R302" s="2245"/>
      <c r="S302" s="2246" t="s">
        <v>757</v>
      </c>
      <c r="T302" s="2247"/>
      <c r="U302" s="2248"/>
      <c r="V302" s="2245" t="s">
        <v>761</v>
      </c>
      <c r="W302" s="2245"/>
      <c r="X302" s="2245" t="s">
        <v>13</v>
      </c>
      <c r="Y302" s="2340"/>
    </row>
    <row r="303" spans="1:25" ht="40.5" customHeight="1">
      <c r="A303" s="2196">
        <f>'بند3-5و3-6مقاله علمی کامل وخلاص'!A6</f>
        <v>0</v>
      </c>
      <c r="B303" s="2208" t="str">
        <f>'بند3-5و3-6مقاله علمی کامل وخلاص'!B6</f>
        <v>هجری شمسی</v>
      </c>
      <c r="C303" s="2209"/>
      <c r="D303" s="2210"/>
      <c r="E303" s="2198">
        <f>'بند3-5و3-6مقاله علمی کامل وخلاص'!E6</f>
        <v>0</v>
      </c>
      <c r="F303" s="2199"/>
      <c r="G303" s="2200"/>
      <c r="H303" s="2202">
        <f>'بند3-5و3-6مقاله علمی کامل وخلاص'!H6</f>
        <v>0</v>
      </c>
      <c r="I303" s="2203"/>
      <c r="J303" s="2211">
        <f>'بند3-5و3-6مقاله علمی کامل وخلاص'!J6</f>
        <v>0</v>
      </c>
      <c r="K303" s="2212"/>
      <c r="L303" s="2212"/>
      <c r="M303" s="2212"/>
      <c r="N303" s="2212"/>
      <c r="O303" s="2212"/>
      <c r="P303" s="2212"/>
      <c r="Q303" s="2214">
        <f>'بند3-5و3-6مقاله علمی کامل وخلاص'!P6</f>
        <v>0</v>
      </c>
      <c r="R303" s="2215"/>
      <c r="S303" s="2202">
        <f>'بند3-5و3-6مقاله علمی کامل وخلاص'!M6</f>
        <v>0</v>
      </c>
      <c r="T303" s="2203"/>
      <c r="U303" s="2203"/>
      <c r="V303" s="382" t="s">
        <v>762</v>
      </c>
      <c r="W303" s="382" t="s">
        <v>763</v>
      </c>
      <c r="X303" s="382" t="s">
        <v>769</v>
      </c>
      <c r="Y303" s="383" t="s">
        <v>767</v>
      </c>
    </row>
    <row r="304" spans="1:25" ht="40.5" customHeight="1">
      <c r="A304" s="2230"/>
      <c r="B304" s="384">
        <f>'بند3-5و3-6مقاله علمی کامل وخلاص'!B8</f>
        <v>0</v>
      </c>
      <c r="C304" s="384">
        <f>'بند3-5و3-6مقاله علمی کامل وخلاص'!C8</f>
        <v>0</v>
      </c>
      <c r="D304" s="384">
        <f>'بند3-5و3-6مقاله علمی کامل وخلاص'!D8</f>
        <v>0</v>
      </c>
      <c r="E304" s="2218"/>
      <c r="F304" s="2219"/>
      <c r="G304" s="2220"/>
      <c r="H304" s="2182">
        <f>'بند3-5و3-6مقاله علمی کامل وخلاص'!I6</f>
        <v>0</v>
      </c>
      <c r="I304" s="2183"/>
      <c r="J304" s="2213"/>
      <c r="K304" s="2213"/>
      <c r="L304" s="2213"/>
      <c r="M304" s="2213"/>
      <c r="N304" s="2213"/>
      <c r="O304" s="2213"/>
      <c r="P304" s="2213"/>
      <c r="Q304" s="2216"/>
      <c r="R304" s="2217"/>
      <c r="S304" s="2183"/>
      <c r="T304" s="2183"/>
      <c r="U304" s="2183"/>
      <c r="V304" s="374">
        <f>'بند3-5و3-6مقاله علمی کامل وخلاص'!J10</f>
        <v>0</v>
      </c>
      <c r="W304" s="374">
        <f>'بند3-5و3-6مقاله علمی کامل وخلاص'!J10</f>
        <v>0</v>
      </c>
      <c r="X304" s="375">
        <f>'بند3-5و3-6مقاله علمی کامل وخلاص'!G10</f>
        <v>0</v>
      </c>
      <c r="Y304" s="385">
        <f ca="1">'بند3-5و3-6مقاله علمی کامل وخلاص'!R6</f>
        <v>0</v>
      </c>
    </row>
    <row r="305" spans="1:25" ht="40.5" customHeight="1">
      <c r="A305" s="2196">
        <f>'بند3-5و3-6مقاله علمی کامل وخلاص'!A11</f>
        <v>0</v>
      </c>
      <c r="B305" s="2341" t="str">
        <f>'بند3-5و3-6مقاله علمی کامل وخلاص'!B11</f>
        <v>میلادی</v>
      </c>
      <c r="C305" s="2342"/>
      <c r="D305" s="2342"/>
      <c r="E305" s="2198">
        <f>'بند3-5و3-6مقاله علمی کامل وخلاص'!E11</f>
        <v>0</v>
      </c>
      <c r="F305" s="2199"/>
      <c r="G305" s="2200"/>
      <c r="H305" s="2202">
        <f>'بند3-5و3-6مقاله علمی کامل وخلاص'!H11</f>
        <v>0</v>
      </c>
      <c r="I305" s="2203"/>
      <c r="J305" s="2211">
        <f>'بند3-5و3-6مقاله علمی کامل وخلاص'!J11</f>
        <v>0</v>
      </c>
      <c r="K305" s="2212"/>
      <c r="L305" s="2212"/>
      <c r="M305" s="2212"/>
      <c r="N305" s="2212"/>
      <c r="O305" s="2212"/>
      <c r="P305" s="2212"/>
      <c r="Q305" s="2214">
        <f>'بند3-5و3-6مقاله علمی کامل وخلاص'!P11</f>
        <v>0</v>
      </c>
      <c r="R305" s="2215"/>
      <c r="S305" s="2202">
        <f>'بند3-5و3-6مقاله علمی کامل وخلاص'!M11</f>
        <v>0</v>
      </c>
      <c r="T305" s="2203"/>
      <c r="U305" s="2203"/>
      <c r="V305" s="382" t="s">
        <v>762</v>
      </c>
      <c r="W305" s="382" t="s">
        <v>763</v>
      </c>
      <c r="X305" s="382" t="s">
        <v>769</v>
      </c>
      <c r="Y305" s="383" t="s">
        <v>767</v>
      </c>
    </row>
    <row r="306" spans="1:25" ht="40.5" customHeight="1">
      <c r="A306" s="2230"/>
      <c r="B306" s="386">
        <f>'بند3-5و3-6مقاله علمی کامل وخلاص'!B13</f>
        <v>0</v>
      </c>
      <c r="C306" s="386">
        <f>'بند3-5و3-6مقاله علمی کامل وخلاص'!C13</f>
        <v>0</v>
      </c>
      <c r="D306" s="386">
        <f>'بند3-5و3-6مقاله علمی کامل وخلاص'!D13</f>
        <v>0</v>
      </c>
      <c r="E306" s="2218"/>
      <c r="F306" s="2219"/>
      <c r="G306" s="2220"/>
      <c r="H306" s="2182">
        <f>'بند3-5و3-6مقاله علمی کامل وخلاص'!I11</f>
        <v>0</v>
      </c>
      <c r="I306" s="2183"/>
      <c r="J306" s="2213"/>
      <c r="K306" s="2213"/>
      <c r="L306" s="2213"/>
      <c r="M306" s="2213"/>
      <c r="N306" s="2213"/>
      <c r="O306" s="2213"/>
      <c r="P306" s="2213"/>
      <c r="Q306" s="2216"/>
      <c r="R306" s="2217"/>
      <c r="S306" s="2183"/>
      <c r="T306" s="2183"/>
      <c r="U306" s="2183"/>
      <c r="V306" s="374">
        <f>'بند3-5و3-6مقاله علمی کامل وخلاص'!J15</f>
        <v>0</v>
      </c>
      <c r="W306" s="374">
        <f>'بند3-5و3-6مقاله علمی کامل وخلاص'!J15</f>
        <v>0</v>
      </c>
      <c r="X306" s="375">
        <f>'بند3-5و3-6مقاله علمی کامل وخلاص'!G15</f>
        <v>0</v>
      </c>
      <c r="Y306" s="385">
        <f ca="1">'بند3-5و3-6مقاله علمی کامل وخلاص'!R11</f>
        <v>0</v>
      </c>
    </row>
    <row r="307" spans="1:25" ht="40.5" customHeight="1">
      <c r="A307" s="2196">
        <f>'بند3-5و3-6مقاله علمی کامل وخلاص'!A16</f>
        <v>0</v>
      </c>
      <c r="B307" s="2341">
        <f>'بند3-5و3-6مقاله علمی کامل وخلاص'!B16</f>
        <v>0</v>
      </c>
      <c r="C307" s="2342"/>
      <c r="D307" s="2342"/>
      <c r="E307" s="2198">
        <f>'بند3-5و3-6مقاله علمی کامل وخلاص'!E16</f>
        <v>0</v>
      </c>
      <c r="F307" s="2199"/>
      <c r="G307" s="2200"/>
      <c r="H307" s="2202">
        <f>'بند3-5و3-6مقاله علمی کامل وخلاص'!H16</f>
        <v>0</v>
      </c>
      <c r="I307" s="2203"/>
      <c r="J307" s="2211">
        <f>'بند3-5و3-6مقاله علمی کامل وخلاص'!J16</f>
        <v>0</v>
      </c>
      <c r="K307" s="2212"/>
      <c r="L307" s="2212"/>
      <c r="M307" s="2212"/>
      <c r="N307" s="2212"/>
      <c r="O307" s="2212"/>
      <c r="P307" s="2212"/>
      <c r="Q307" s="2214">
        <f>'بند3-5و3-6مقاله علمی کامل وخلاص'!P16</f>
        <v>0</v>
      </c>
      <c r="R307" s="2215"/>
      <c r="S307" s="2202">
        <f>'بند3-5و3-6مقاله علمی کامل وخلاص'!M16</f>
        <v>0</v>
      </c>
      <c r="T307" s="2203"/>
      <c r="U307" s="2203"/>
      <c r="V307" s="382" t="s">
        <v>762</v>
      </c>
      <c r="W307" s="382" t="s">
        <v>763</v>
      </c>
      <c r="X307" s="382" t="s">
        <v>769</v>
      </c>
      <c r="Y307" s="383" t="s">
        <v>767</v>
      </c>
    </row>
    <row r="308" spans="1:25" ht="40.5" customHeight="1">
      <c r="A308" s="2230"/>
      <c r="B308" s="386">
        <f>'بند3-5و3-6مقاله علمی کامل وخلاص'!B18</f>
        <v>0</v>
      </c>
      <c r="C308" s="386">
        <f>'بند3-5و3-6مقاله علمی کامل وخلاص'!C18</f>
        <v>0</v>
      </c>
      <c r="D308" s="386">
        <f>'بند3-5و3-6مقاله علمی کامل وخلاص'!D18</f>
        <v>0</v>
      </c>
      <c r="E308" s="2218"/>
      <c r="F308" s="2219"/>
      <c r="G308" s="2220"/>
      <c r="H308" s="2182">
        <f>'بند3-5و3-6مقاله علمی کامل وخلاص'!I16</f>
        <v>0</v>
      </c>
      <c r="I308" s="2183"/>
      <c r="J308" s="2213"/>
      <c r="K308" s="2213"/>
      <c r="L308" s="2213"/>
      <c r="M308" s="2213"/>
      <c r="N308" s="2213"/>
      <c r="O308" s="2213"/>
      <c r="P308" s="2213"/>
      <c r="Q308" s="2216"/>
      <c r="R308" s="2217"/>
      <c r="S308" s="2183"/>
      <c r="T308" s="2183"/>
      <c r="U308" s="2183"/>
      <c r="V308" s="374">
        <f>'بند3-5و3-6مقاله علمی کامل وخلاص'!J20</f>
        <v>0</v>
      </c>
      <c r="W308" s="374">
        <f>'بند3-5و3-6مقاله علمی کامل وخلاص'!J20</f>
        <v>0</v>
      </c>
      <c r="X308" s="375">
        <f>'بند3-5و3-6مقاله علمی کامل وخلاص'!G20</f>
        <v>0</v>
      </c>
      <c r="Y308" s="385">
        <f ca="1">'بند3-5و3-6مقاله علمی کامل وخلاص'!R16</f>
        <v>0</v>
      </c>
    </row>
    <row r="309" spans="1:25" ht="40.5" customHeight="1">
      <c r="A309" s="2196">
        <f>'بند3-5و3-6مقاله علمی کامل وخلاص'!A21</f>
        <v>0</v>
      </c>
      <c r="B309" s="2341" t="str">
        <f>'بند3-5و3-6مقاله علمی کامل وخلاص'!B21</f>
        <v>هجری شمسی</v>
      </c>
      <c r="C309" s="2342"/>
      <c r="D309" s="2342"/>
      <c r="E309" s="2198">
        <f>'بند3-5و3-6مقاله علمی کامل وخلاص'!E21</f>
        <v>0</v>
      </c>
      <c r="F309" s="2199"/>
      <c r="G309" s="2200"/>
      <c r="H309" s="2202">
        <f>'بند3-5و3-6مقاله علمی کامل وخلاص'!H21</f>
        <v>0</v>
      </c>
      <c r="I309" s="2203"/>
      <c r="J309" s="2211">
        <f>'بند3-5و3-6مقاله علمی کامل وخلاص'!J21</f>
        <v>0</v>
      </c>
      <c r="K309" s="2212"/>
      <c r="L309" s="2212"/>
      <c r="M309" s="2212"/>
      <c r="N309" s="2212"/>
      <c r="O309" s="2212"/>
      <c r="P309" s="2212"/>
      <c r="Q309" s="2214">
        <f>'بند3-5و3-6مقاله علمی کامل وخلاص'!P21</f>
        <v>0</v>
      </c>
      <c r="R309" s="2215"/>
      <c r="S309" s="2202">
        <f>'بند3-5و3-6مقاله علمی کامل وخلاص'!M21</f>
        <v>0</v>
      </c>
      <c r="T309" s="2203"/>
      <c r="U309" s="2203"/>
      <c r="V309" s="382" t="s">
        <v>762</v>
      </c>
      <c r="W309" s="382" t="s">
        <v>763</v>
      </c>
      <c r="X309" s="382" t="s">
        <v>769</v>
      </c>
      <c r="Y309" s="383" t="s">
        <v>767</v>
      </c>
    </row>
    <row r="310" spans="1:25" ht="40.5" customHeight="1">
      <c r="A310" s="2230"/>
      <c r="B310" s="386">
        <f>'بند3-5و3-6مقاله علمی کامل وخلاص'!B23</f>
        <v>0</v>
      </c>
      <c r="C310" s="386">
        <f>'بند3-5و3-6مقاله علمی کامل وخلاص'!C23</f>
        <v>0</v>
      </c>
      <c r="D310" s="386">
        <f>'بند3-5و3-6مقاله علمی کامل وخلاص'!D23</f>
        <v>0</v>
      </c>
      <c r="E310" s="2218"/>
      <c r="F310" s="2219"/>
      <c r="G310" s="2220"/>
      <c r="H310" s="2182">
        <f>'بند3-5و3-6مقاله علمی کامل وخلاص'!I21</f>
        <v>0</v>
      </c>
      <c r="I310" s="2183"/>
      <c r="J310" s="2213"/>
      <c r="K310" s="2213"/>
      <c r="L310" s="2213"/>
      <c r="M310" s="2213"/>
      <c r="N310" s="2213"/>
      <c r="O310" s="2213"/>
      <c r="P310" s="2213"/>
      <c r="Q310" s="2216"/>
      <c r="R310" s="2217"/>
      <c r="S310" s="2183"/>
      <c r="T310" s="2183"/>
      <c r="U310" s="2183"/>
      <c r="V310" s="374">
        <f>'بند3-5و3-6مقاله علمی کامل وخلاص'!J25</f>
        <v>0</v>
      </c>
      <c r="W310" s="374">
        <f>'بند3-5و3-6مقاله علمی کامل وخلاص'!J25</f>
        <v>0</v>
      </c>
      <c r="X310" s="375">
        <f>'بند3-5و3-6مقاله علمی کامل وخلاص'!G25</f>
        <v>0</v>
      </c>
      <c r="Y310" s="385">
        <f ca="1">'بند3-5و3-6مقاله علمی کامل وخلاص'!R21</f>
        <v>0</v>
      </c>
    </row>
    <row r="311" spans="1:25" ht="40.5" customHeight="1">
      <c r="A311" s="2196">
        <f>'بند3-5و3-6مقاله علمی کامل وخلاص'!A26</f>
        <v>0</v>
      </c>
      <c r="B311" s="2341">
        <f>'بند3-5و3-6مقاله علمی کامل وخلاص'!B26</f>
        <v>0</v>
      </c>
      <c r="C311" s="2342"/>
      <c r="D311" s="2342"/>
      <c r="E311" s="2198">
        <f>'بند3-5و3-6مقاله علمی کامل وخلاص'!E26</f>
        <v>0</v>
      </c>
      <c r="F311" s="2199"/>
      <c r="G311" s="2200"/>
      <c r="H311" s="2202">
        <f>'بند3-5و3-6مقاله علمی کامل وخلاص'!H26</f>
        <v>0</v>
      </c>
      <c r="I311" s="2203"/>
      <c r="J311" s="2211">
        <f>'بند3-5و3-6مقاله علمی کامل وخلاص'!J26</f>
        <v>0</v>
      </c>
      <c r="K311" s="2212"/>
      <c r="L311" s="2212"/>
      <c r="M311" s="2212"/>
      <c r="N311" s="2212"/>
      <c r="O311" s="2212"/>
      <c r="P311" s="2212"/>
      <c r="Q311" s="2214">
        <f>'بند3-5و3-6مقاله علمی کامل وخلاص'!P26</f>
        <v>0</v>
      </c>
      <c r="R311" s="2215"/>
      <c r="S311" s="2202">
        <f>'بند3-5و3-6مقاله علمی کامل وخلاص'!M26</f>
        <v>0</v>
      </c>
      <c r="T311" s="2203"/>
      <c r="U311" s="2203"/>
      <c r="V311" s="382" t="s">
        <v>762</v>
      </c>
      <c r="W311" s="382" t="s">
        <v>763</v>
      </c>
      <c r="X311" s="382" t="s">
        <v>769</v>
      </c>
      <c r="Y311" s="383" t="s">
        <v>767</v>
      </c>
    </row>
    <row r="312" spans="1:25" ht="40.5" customHeight="1">
      <c r="A312" s="2230"/>
      <c r="B312" s="386">
        <f>'بند3-5و3-6مقاله علمی کامل وخلاص'!B28</f>
        <v>0</v>
      </c>
      <c r="C312" s="386">
        <f>'بند3-5و3-6مقاله علمی کامل وخلاص'!C28</f>
        <v>0</v>
      </c>
      <c r="D312" s="386">
        <f>'بند3-5و3-6مقاله علمی کامل وخلاص'!D28</f>
        <v>0</v>
      </c>
      <c r="E312" s="2218"/>
      <c r="F312" s="2219"/>
      <c r="G312" s="2220"/>
      <c r="H312" s="2182">
        <f>'بند3-5و3-6مقاله علمی کامل وخلاص'!I26</f>
        <v>0</v>
      </c>
      <c r="I312" s="2183"/>
      <c r="J312" s="2213"/>
      <c r="K312" s="2213"/>
      <c r="L312" s="2213"/>
      <c r="M312" s="2213"/>
      <c r="N312" s="2213"/>
      <c r="O312" s="2213"/>
      <c r="P312" s="2213"/>
      <c r="Q312" s="2216"/>
      <c r="R312" s="2217"/>
      <c r="S312" s="2183"/>
      <c r="T312" s="2183"/>
      <c r="U312" s="2183"/>
      <c r="V312" s="374">
        <f>'بند3-5و3-6مقاله علمی کامل وخلاص'!J30</f>
        <v>0</v>
      </c>
      <c r="W312" s="374">
        <f>'بند3-5و3-6مقاله علمی کامل وخلاص'!J30</f>
        <v>0</v>
      </c>
      <c r="X312" s="375">
        <f>'بند3-5و3-6مقاله علمی کامل وخلاص'!G30</f>
        <v>0</v>
      </c>
      <c r="Y312" s="385">
        <f ca="1">'بند3-5و3-6مقاله علمی کامل وخلاص'!R26</f>
        <v>0</v>
      </c>
    </row>
    <row r="313" spans="1:25" ht="40.5" customHeight="1">
      <c r="A313" s="2196">
        <f>'بند3-5و3-6مقاله علمی کامل وخلاص'!A31</f>
        <v>0</v>
      </c>
      <c r="B313" s="2341">
        <f>'بند3-5و3-6مقاله علمی کامل وخلاص'!B31</f>
        <v>0</v>
      </c>
      <c r="C313" s="2342"/>
      <c r="D313" s="2342"/>
      <c r="E313" s="2198">
        <f>'بند3-5و3-6مقاله علمی کامل وخلاص'!E31</f>
        <v>0</v>
      </c>
      <c r="F313" s="2199"/>
      <c r="G313" s="2200"/>
      <c r="H313" s="2202">
        <f>'بند3-5و3-6مقاله علمی کامل وخلاص'!H31</f>
        <v>0</v>
      </c>
      <c r="I313" s="2203"/>
      <c r="J313" s="2211">
        <f>'بند3-5و3-6مقاله علمی کامل وخلاص'!J31</f>
        <v>0</v>
      </c>
      <c r="K313" s="2212"/>
      <c r="L313" s="2212"/>
      <c r="M313" s="2212"/>
      <c r="N313" s="2212"/>
      <c r="O313" s="2212"/>
      <c r="P313" s="2212"/>
      <c r="Q313" s="2214">
        <f>'بند3-5و3-6مقاله علمی کامل وخلاص'!P31</f>
        <v>0</v>
      </c>
      <c r="R313" s="2215"/>
      <c r="S313" s="2202">
        <f>'بند3-5و3-6مقاله علمی کامل وخلاص'!M31</f>
        <v>0</v>
      </c>
      <c r="T313" s="2203"/>
      <c r="U313" s="2203"/>
      <c r="V313" s="382" t="s">
        <v>762</v>
      </c>
      <c r="W313" s="382" t="s">
        <v>763</v>
      </c>
      <c r="X313" s="382" t="s">
        <v>769</v>
      </c>
      <c r="Y313" s="383" t="s">
        <v>767</v>
      </c>
    </row>
    <row r="314" spans="1:25" ht="40.5" customHeight="1">
      <c r="A314" s="2230"/>
      <c r="B314" s="386">
        <f>'بند3-5و3-6مقاله علمی کامل وخلاص'!B33</f>
        <v>0</v>
      </c>
      <c r="C314" s="386">
        <f>'بند3-5و3-6مقاله علمی کامل وخلاص'!C33</f>
        <v>0</v>
      </c>
      <c r="D314" s="386">
        <f>'بند3-5و3-6مقاله علمی کامل وخلاص'!D33</f>
        <v>0</v>
      </c>
      <c r="E314" s="2218"/>
      <c r="F314" s="2219"/>
      <c r="G314" s="2220"/>
      <c r="H314" s="2182">
        <f>'بند3-5و3-6مقاله علمی کامل وخلاص'!I31</f>
        <v>0</v>
      </c>
      <c r="I314" s="2183"/>
      <c r="J314" s="2213"/>
      <c r="K314" s="2213"/>
      <c r="L314" s="2213"/>
      <c r="M314" s="2213"/>
      <c r="N314" s="2213"/>
      <c r="O314" s="2213"/>
      <c r="P314" s="2213"/>
      <c r="Q314" s="2216"/>
      <c r="R314" s="2217"/>
      <c r="S314" s="2183"/>
      <c r="T314" s="2183"/>
      <c r="U314" s="2183"/>
      <c r="V314" s="374">
        <f>'بند3-5و3-6مقاله علمی کامل وخلاص'!J35</f>
        <v>0</v>
      </c>
      <c r="W314" s="374">
        <f>'بند3-5و3-6مقاله علمی کامل وخلاص'!J35</f>
        <v>0</v>
      </c>
      <c r="X314" s="375">
        <f>'بند3-5و3-6مقاله علمی کامل وخلاص'!G35</f>
        <v>0</v>
      </c>
      <c r="Y314" s="385">
        <f ca="1">'بند3-5و3-6مقاله علمی کامل وخلاص'!R31</f>
        <v>0</v>
      </c>
    </row>
    <row r="315" spans="1:25" ht="42.75" customHeight="1">
      <c r="A315" s="2196">
        <f>'بند3-5و3-6مقاله علمی کامل وخلاص'!A36</f>
        <v>0</v>
      </c>
      <c r="B315" s="2341">
        <f>'بند3-5و3-6مقاله علمی کامل وخلاص'!B36</f>
        <v>0</v>
      </c>
      <c r="C315" s="2342"/>
      <c r="D315" s="2342"/>
      <c r="E315" s="2198">
        <f>'بند3-5و3-6مقاله علمی کامل وخلاص'!E36</f>
        <v>0</v>
      </c>
      <c r="F315" s="2199"/>
      <c r="G315" s="2200"/>
      <c r="H315" s="2202">
        <f>'بند3-5و3-6مقاله علمی کامل وخلاص'!H36</f>
        <v>0</v>
      </c>
      <c r="I315" s="2203"/>
      <c r="J315" s="2211">
        <f>'بند3-5و3-6مقاله علمی کامل وخلاص'!J36</f>
        <v>0</v>
      </c>
      <c r="K315" s="2212"/>
      <c r="L315" s="2212"/>
      <c r="M315" s="2212"/>
      <c r="N315" s="2212"/>
      <c r="O315" s="2212"/>
      <c r="P315" s="2212"/>
      <c r="Q315" s="2214">
        <f>'بند3-5و3-6مقاله علمی کامل وخلاص'!P36</f>
        <v>0</v>
      </c>
      <c r="R315" s="2215"/>
      <c r="S315" s="2202">
        <f>'بند3-5و3-6مقاله علمی کامل وخلاص'!M36</f>
        <v>0</v>
      </c>
      <c r="T315" s="2203"/>
      <c r="U315" s="2203"/>
      <c r="V315" s="382" t="s">
        <v>762</v>
      </c>
      <c r="W315" s="382" t="s">
        <v>763</v>
      </c>
      <c r="X315" s="382" t="s">
        <v>769</v>
      </c>
      <c r="Y315" s="383" t="s">
        <v>767</v>
      </c>
    </row>
    <row r="316" spans="1:25" ht="42.75" customHeight="1">
      <c r="A316" s="2230"/>
      <c r="B316" s="386">
        <f>'بند3-5و3-6مقاله علمی کامل وخلاص'!B38</f>
        <v>0</v>
      </c>
      <c r="C316" s="386">
        <f>'بند3-5و3-6مقاله علمی کامل وخلاص'!C38</f>
        <v>0</v>
      </c>
      <c r="D316" s="386">
        <f>'بند3-5و3-6مقاله علمی کامل وخلاص'!D38</f>
        <v>0</v>
      </c>
      <c r="E316" s="2218"/>
      <c r="F316" s="2219"/>
      <c r="G316" s="2220"/>
      <c r="H316" s="2182">
        <f>'بند3-5و3-6مقاله علمی کامل وخلاص'!I36</f>
        <v>0</v>
      </c>
      <c r="I316" s="2183"/>
      <c r="J316" s="2213"/>
      <c r="K316" s="2213"/>
      <c r="L316" s="2213"/>
      <c r="M316" s="2213"/>
      <c r="N316" s="2213"/>
      <c r="O316" s="2213"/>
      <c r="P316" s="2213"/>
      <c r="Q316" s="2216"/>
      <c r="R316" s="2217"/>
      <c r="S316" s="2183"/>
      <c r="T316" s="2183"/>
      <c r="U316" s="2183"/>
      <c r="V316" s="374">
        <f>'بند3-5و3-6مقاله علمی کامل وخلاص'!J40</f>
        <v>0</v>
      </c>
      <c r="W316" s="374">
        <f>'بند3-5و3-6مقاله علمی کامل وخلاص'!J40</f>
        <v>0</v>
      </c>
      <c r="X316" s="375">
        <f>'بند3-5و3-6مقاله علمی کامل وخلاص'!G40</f>
        <v>0</v>
      </c>
      <c r="Y316" s="385">
        <f ca="1">'بند3-5و3-6مقاله علمی کامل وخلاص'!R36</f>
        <v>0</v>
      </c>
    </row>
    <row r="317" spans="1:25" ht="42.75" customHeight="1">
      <c r="A317" s="2196">
        <f>'بند3-5و3-6مقاله علمی کامل وخلاص'!A41</f>
        <v>0</v>
      </c>
      <c r="B317" s="2341">
        <f>'بند3-5و3-6مقاله علمی کامل وخلاص'!B41</f>
        <v>0</v>
      </c>
      <c r="C317" s="2342"/>
      <c r="D317" s="2342"/>
      <c r="E317" s="2198">
        <f>'بند3-5و3-6مقاله علمی کامل وخلاص'!E41</f>
        <v>0</v>
      </c>
      <c r="F317" s="2199"/>
      <c r="G317" s="2200"/>
      <c r="H317" s="2202">
        <f>'بند3-5و3-6مقاله علمی کامل وخلاص'!H41</f>
        <v>0</v>
      </c>
      <c r="I317" s="2203"/>
      <c r="J317" s="2211">
        <f>'بند3-5و3-6مقاله علمی کامل وخلاص'!J41</f>
        <v>0</v>
      </c>
      <c r="K317" s="2212"/>
      <c r="L317" s="2212"/>
      <c r="M317" s="2212"/>
      <c r="N317" s="2212"/>
      <c r="O317" s="2212"/>
      <c r="P317" s="2212"/>
      <c r="Q317" s="2214">
        <f>'بند3-5و3-6مقاله علمی کامل وخلاص'!P41</f>
        <v>0</v>
      </c>
      <c r="R317" s="2215"/>
      <c r="S317" s="2202">
        <f>'بند3-5و3-6مقاله علمی کامل وخلاص'!M41</f>
        <v>0</v>
      </c>
      <c r="T317" s="2203"/>
      <c r="U317" s="2203"/>
      <c r="V317" s="382" t="s">
        <v>762</v>
      </c>
      <c r="W317" s="382" t="s">
        <v>763</v>
      </c>
      <c r="X317" s="382" t="s">
        <v>769</v>
      </c>
      <c r="Y317" s="383" t="s">
        <v>767</v>
      </c>
    </row>
    <row r="318" spans="1:25" ht="42.75" customHeight="1">
      <c r="A318" s="2230"/>
      <c r="B318" s="386">
        <f>'بند3-5و3-6مقاله علمی کامل وخلاص'!B43</f>
        <v>0</v>
      </c>
      <c r="C318" s="386">
        <f>'بند3-5و3-6مقاله علمی کامل وخلاص'!C43</f>
        <v>0</v>
      </c>
      <c r="D318" s="386">
        <f>'بند3-5و3-6مقاله علمی کامل وخلاص'!D43</f>
        <v>0</v>
      </c>
      <c r="E318" s="2218"/>
      <c r="F318" s="2219"/>
      <c r="G318" s="2220"/>
      <c r="H318" s="2182">
        <f>'بند3-5و3-6مقاله علمی کامل وخلاص'!I41</f>
        <v>0</v>
      </c>
      <c r="I318" s="2183"/>
      <c r="J318" s="2213"/>
      <c r="K318" s="2213"/>
      <c r="L318" s="2213"/>
      <c r="M318" s="2213"/>
      <c r="N318" s="2213"/>
      <c r="O318" s="2213"/>
      <c r="P318" s="2213"/>
      <c r="Q318" s="2216"/>
      <c r="R318" s="2217"/>
      <c r="S318" s="2183"/>
      <c r="T318" s="2183"/>
      <c r="U318" s="2183"/>
      <c r="V318" s="374">
        <f>'بند3-5و3-6مقاله علمی کامل وخلاص'!J45</f>
        <v>0</v>
      </c>
      <c r="W318" s="374">
        <f>'بند3-5و3-6مقاله علمی کامل وخلاص'!J45</f>
        <v>0</v>
      </c>
      <c r="X318" s="375">
        <f>'بند3-5و3-6مقاله علمی کامل وخلاص'!G45</f>
        <v>0</v>
      </c>
      <c r="Y318" s="385">
        <f ca="1">'بند3-5و3-6مقاله علمی کامل وخلاص'!R41</f>
        <v>0</v>
      </c>
    </row>
    <row r="319" spans="1:25" ht="42.75" customHeight="1">
      <c r="A319" s="2196">
        <f>'بند3-5و3-6مقاله علمی کامل وخلاص'!A46</f>
        <v>0</v>
      </c>
      <c r="B319" s="2341">
        <f>'بند3-5و3-6مقاله علمی کامل وخلاص'!B46</f>
        <v>0</v>
      </c>
      <c r="C319" s="2342"/>
      <c r="D319" s="2342"/>
      <c r="E319" s="2198">
        <f>'بند3-5و3-6مقاله علمی کامل وخلاص'!E46</f>
        <v>0</v>
      </c>
      <c r="F319" s="2199"/>
      <c r="G319" s="2200"/>
      <c r="H319" s="2202">
        <f>'بند3-5و3-6مقاله علمی کامل وخلاص'!H46</f>
        <v>0</v>
      </c>
      <c r="I319" s="2203"/>
      <c r="J319" s="2211">
        <f>'بند3-5و3-6مقاله علمی کامل وخلاص'!J46</f>
        <v>0</v>
      </c>
      <c r="K319" s="2212"/>
      <c r="L319" s="2212"/>
      <c r="M319" s="2212"/>
      <c r="N319" s="2212"/>
      <c r="O319" s="2212"/>
      <c r="P319" s="2212"/>
      <c r="Q319" s="2214">
        <f>'بند3-5و3-6مقاله علمی کامل وخلاص'!P46</f>
        <v>0</v>
      </c>
      <c r="R319" s="2215"/>
      <c r="S319" s="2202">
        <f>'بند3-5و3-6مقاله علمی کامل وخلاص'!M46</f>
        <v>0</v>
      </c>
      <c r="T319" s="2203"/>
      <c r="U319" s="2203"/>
      <c r="V319" s="382" t="s">
        <v>762</v>
      </c>
      <c r="W319" s="382" t="s">
        <v>763</v>
      </c>
      <c r="X319" s="382" t="s">
        <v>769</v>
      </c>
      <c r="Y319" s="383" t="s">
        <v>767</v>
      </c>
    </row>
    <row r="320" spans="1:25" ht="42.75" customHeight="1">
      <c r="A320" s="2230"/>
      <c r="B320" s="386">
        <f>'بند3-5و3-6مقاله علمی کامل وخلاص'!B48</f>
        <v>0</v>
      </c>
      <c r="C320" s="386">
        <f>'بند3-5و3-6مقاله علمی کامل وخلاص'!C48</f>
        <v>0</v>
      </c>
      <c r="D320" s="386">
        <f>'بند3-5و3-6مقاله علمی کامل وخلاص'!D48</f>
        <v>0</v>
      </c>
      <c r="E320" s="2218"/>
      <c r="F320" s="2219"/>
      <c r="G320" s="2220"/>
      <c r="H320" s="2182">
        <f>'بند3-5و3-6مقاله علمی کامل وخلاص'!I46</f>
        <v>0</v>
      </c>
      <c r="I320" s="2183"/>
      <c r="J320" s="2213"/>
      <c r="K320" s="2213"/>
      <c r="L320" s="2213"/>
      <c r="M320" s="2213"/>
      <c r="N320" s="2213"/>
      <c r="O320" s="2213"/>
      <c r="P320" s="2213"/>
      <c r="Q320" s="2216"/>
      <c r="R320" s="2217"/>
      <c r="S320" s="2183"/>
      <c r="T320" s="2183"/>
      <c r="U320" s="2183"/>
      <c r="V320" s="374">
        <f>'بند3-5و3-6مقاله علمی کامل وخلاص'!J50</f>
        <v>0</v>
      </c>
      <c r="W320" s="374">
        <f>'بند3-5و3-6مقاله علمی کامل وخلاص'!J50</f>
        <v>0</v>
      </c>
      <c r="X320" s="375">
        <f>'بند3-5و3-6مقاله علمی کامل وخلاص'!G50</f>
        <v>0</v>
      </c>
      <c r="Y320" s="385">
        <f ca="1">'بند3-5و3-6مقاله علمی کامل وخلاص'!R46</f>
        <v>0</v>
      </c>
    </row>
    <row r="321" spans="1:25" ht="42.75" customHeight="1">
      <c r="A321" s="2196">
        <f>'بند3-5و3-6مقاله علمی کامل وخلاص'!A51</f>
        <v>0</v>
      </c>
      <c r="B321" s="2341">
        <f>'بند3-5و3-6مقاله علمی کامل وخلاص'!B51</f>
        <v>0</v>
      </c>
      <c r="C321" s="2342"/>
      <c r="D321" s="2342"/>
      <c r="E321" s="2198">
        <f>'بند3-5و3-6مقاله علمی کامل وخلاص'!E51</f>
        <v>0</v>
      </c>
      <c r="F321" s="2199"/>
      <c r="G321" s="2200"/>
      <c r="H321" s="2202">
        <f>'بند3-5و3-6مقاله علمی کامل وخلاص'!H51</f>
        <v>0</v>
      </c>
      <c r="I321" s="2203"/>
      <c r="J321" s="2211">
        <f>'بند3-5و3-6مقاله علمی کامل وخلاص'!J51</f>
        <v>0</v>
      </c>
      <c r="K321" s="2212"/>
      <c r="L321" s="2212"/>
      <c r="M321" s="2212"/>
      <c r="N321" s="2212"/>
      <c r="O321" s="2212"/>
      <c r="P321" s="2212"/>
      <c r="Q321" s="2214">
        <f>'بند3-5و3-6مقاله علمی کامل وخلاص'!P51</f>
        <v>0</v>
      </c>
      <c r="R321" s="2215"/>
      <c r="S321" s="2202">
        <f>'بند3-5و3-6مقاله علمی کامل وخلاص'!M51</f>
        <v>0</v>
      </c>
      <c r="T321" s="2203"/>
      <c r="U321" s="2203"/>
      <c r="V321" s="382" t="s">
        <v>762</v>
      </c>
      <c r="W321" s="382" t="s">
        <v>763</v>
      </c>
      <c r="X321" s="382" t="s">
        <v>769</v>
      </c>
      <c r="Y321" s="383" t="s">
        <v>767</v>
      </c>
    </row>
    <row r="322" spans="1:25" ht="42.75" customHeight="1">
      <c r="A322" s="2230"/>
      <c r="B322" s="386">
        <f>'بند3-5و3-6مقاله علمی کامل وخلاص'!B53</f>
        <v>0</v>
      </c>
      <c r="C322" s="386">
        <f>'بند3-5و3-6مقاله علمی کامل وخلاص'!C53</f>
        <v>0</v>
      </c>
      <c r="D322" s="386">
        <f>'بند3-5و3-6مقاله علمی کامل وخلاص'!D53</f>
        <v>0</v>
      </c>
      <c r="E322" s="2218"/>
      <c r="F322" s="2219"/>
      <c r="G322" s="2220"/>
      <c r="H322" s="2182">
        <f>'بند3-5و3-6مقاله علمی کامل وخلاص'!I51</f>
        <v>0</v>
      </c>
      <c r="I322" s="2183"/>
      <c r="J322" s="2213"/>
      <c r="K322" s="2213"/>
      <c r="L322" s="2213"/>
      <c r="M322" s="2213"/>
      <c r="N322" s="2213"/>
      <c r="O322" s="2213"/>
      <c r="P322" s="2213"/>
      <c r="Q322" s="2216"/>
      <c r="R322" s="2217"/>
      <c r="S322" s="2183"/>
      <c r="T322" s="2183"/>
      <c r="U322" s="2183"/>
      <c r="V322" s="374">
        <f>'بند3-5و3-6مقاله علمی کامل وخلاص'!J55</f>
        <v>0</v>
      </c>
      <c r="W322" s="374">
        <f>'بند3-5و3-6مقاله علمی کامل وخلاص'!J55</f>
        <v>0</v>
      </c>
      <c r="X322" s="375">
        <f>'بند3-5و3-6مقاله علمی کامل وخلاص'!G55</f>
        <v>0</v>
      </c>
      <c r="Y322" s="385">
        <f ca="1">'بند3-5و3-6مقاله علمی کامل وخلاص'!R51</f>
        <v>0</v>
      </c>
    </row>
    <row r="323" spans="1:25" ht="42.75" customHeight="1">
      <c r="A323" s="2196">
        <f>'بند3-5و3-6مقاله علمی کامل وخلاص'!A56</f>
        <v>0</v>
      </c>
      <c r="B323" s="2341">
        <f>'بند3-5و3-6مقاله علمی کامل وخلاص'!B56</f>
        <v>0</v>
      </c>
      <c r="C323" s="2342"/>
      <c r="D323" s="2342"/>
      <c r="E323" s="2198">
        <f>'بند3-5و3-6مقاله علمی کامل وخلاص'!E56</f>
        <v>0</v>
      </c>
      <c r="F323" s="2199"/>
      <c r="G323" s="2200"/>
      <c r="H323" s="2202">
        <f>'بند3-5و3-6مقاله علمی کامل وخلاص'!H56</f>
        <v>0</v>
      </c>
      <c r="I323" s="2203"/>
      <c r="J323" s="2211">
        <f>'بند3-5و3-6مقاله علمی کامل وخلاص'!J56</f>
        <v>0</v>
      </c>
      <c r="K323" s="2212"/>
      <c r="L323" s="2212"/>
      <c r="M323" s="2212"/>
      <c r="N323" s="2212"/>
      <c r="O323" s="2212"/>
      <c r="P323" s="2212"/>
      <c r="Q323" s="2214">
        <f>'بند3-5و3-6مقاله علمی کامل وخلاص'!P56</f>
        <v>0</v>
      </c>
      <c r="R323" s="2215"/>
      <c r="S323" s="2202">
        <f>'بند3-5و3-6مقاله علمی کامل وخلاص'!M56</f>
        <v>0</v>
      </c>
      <c r="T323" s="2203"/>
      <c r="U323" s="2203"/>
      <c r="V323" s="382" t="s">
        <v>762</v>
      </c>
      <c r="W323" s="382" t="s">
        <v>763</v>
      </c>
      <c r="X323" s="382" t="s">
        <v>769</v>
      </c>
      <c r="Y323" s="383" t="s">
        <v>767</v>
      </c>
    </row>
    <row r="324" spans="1:25" ht="42.75" customHeight="1">
      <c r="A324" s="2230"/>
      <c r="B324" s="386">
        <f>'بند3-5و3-6مقاله علمی کامل وخلاص'!B58</f>
        <v>0</v>
      </c>
      <c r="C324" s="386">
        <f>'بند3-5و3-6مقاله علمی کامل وخلاص'!C58</f>
        <v>0</v>
      </c>
      <c r="D324" s="386">
        <f>'بند3-5و3-6مقاله علمی کامل وخلاص'!D58</f>
        <v>0</v>
      </c>
      <c r="E324" s="2218"/>
      <c r="F324" s="2219"/>
      <c r="G324" s="2220"/>
      <c r="H324" s="2182">
        <f>'بند3-5و3-6مقاله علمی کامل وخلاص'!I56</f>
        <v>0</v>
      </c>
      <c r="I324" s="2183"/>
      <c r="J324" s="2213"/>
      <c r="K324" s="2213"/>
      <c r="L324" s="2213"/>
      <c r="M324" s="2213"/>
      <c r="N324" s="2213"/>
      <c r="O324" s="2213"/>
      <c r="P324" s="2213"/>
      <c r="Q324" s="2216"/>
      <c r="R324" s="2217"/>
      <c r="S324" s="2183"/>
      <c r="T324" s="2183"/>
      <c r="U324" s="2183"/>
      <c r="V324" s="374">
        <f>'بند3-5و3-6مقاله علمی کامل وخلاص'!J60</f>
        <v>0</v>
      </c>
      <c r="W324" s="374">
        <f>'بند3-5و3-6مقاله علمی کامل وخلاص'!J60</f>
        <v>0</v>
      </c>
      <c r="X324" s="375">
        <f>'بند3-5و3-6مقاله علمی کامل وخلاص'!G60</f>
        <v>0</v>
      </c>
      <c r="Y324" s="385">
        <f ca="1">'بند3-5و3-6مقاله علمی کامل وخلاص'!R56</f>
        <v>0</v>
      </c>
    </row>
    <row r="325" spans="1:25" ht="42.75" customHeight="1">
      <c r="A325" s="2196">
        <f>'بند3-5و3-6مقاله علمی کامل وخلاص'!A61</f>
        <v>0</v>
      </c>
      <c r="B325" s="2341">
        <f>'بند3-5و3-6مقاله علمی کامل وخلاص'!B61</f>
        <v>0</v>
      </c>
      <c r="C325" s="2342"/>
      <c r="D325" s="2342"/>
      <c r="E325" s="2198">
        <f>'بند3-5و3-6مقاله علمی کامل وخلاص'!E61</f>
        <v>0</v>
      </c>
      <c r="F325" s="2199"/>
      <c r="G325" s="2200"/>
      <c r="H325" s="2202">
        <f>'بند3-5و3-6مقاله علمی کامل وخلاص'!H61</f>
        <v>0</v>
      </c>
      <c r="I325" s="2203"/>
      <c r="J325" s="2211">
        <f>'بند3-5و3-6مقاله علمی کامل وخلاص'!J61</f>
        <v>0</v>
      </c>
      <c r="K325" s="2212"/>
      <c r="L325" s="2212"/>
      <c r="M325" s="2212"/>
      <c r="N325" s="2212"/>
      <c r="O325" s="2212"/>
      <c r="P325" s="2212"/>
      <c r="Q325" s="2214">
        <f>'بند3-5و3-6مقاله علمی کامل وخلاص'!P61</f>
        <v>0</v>
      </c>
      <c r="R325" s="2215"/>
      <c r="S325" s="2202">
        <f>'بند3-5و3-6مقاله علمی کامل وخلاص'!M61</f>
        <v>0</v>
      </c>
      <c r="T325" s="2203"/>
      <c r="U325" s="2203"/>
      <c r="V325" s="382" t="s">
        <v>762</v>
      </c>
      <c r="W325" s="382" t="s">
        <v>763</v>
      </c>
      <c r="X325" s="382" t="s">
        <v>769</v>
      </c>
      <c r="Y325" s="383" t="s">
        <v>767</v>
      </c>
    </row>
    <row r="326" spans="1:25" ht="42.75" customHeight="1">
      <c r="A326" s="2230"/>
      <c r="B326" s="386">
        <f>'بند3-5و3-6مقاله علمی کامل وخلاص'!B63</f>
        <v>0</v>
      </c>
      <c r="C326" s="386">
        <f>'بند3-5و3-6مقاله علمی کامل وخلاص'!C63</f>
        <v>0</v>
      </c>
      <c r="D326" s="386">
        <f>'بند3-5و3-6مقاله علمی کامل وخلاص'!D63</f>
        <v>0</v>
      </c>
      <c r="E326" s="2218"/>
      <c r="F326" s="2219"/>
      <c r="G326" s="2220"/>
      <c r="H326" s="2182">
        <f>'بند3-5و3-6مقاله علمی کامل وخلاص'!I61</f>
        <v>0</v>
      </c>
      <c r="I326" s="2183"/>
      <c r="J326" s="2213"/>
      <c r="K326" s="2213"/>
      <c r="L326" s="2213"/>
      <c r="M326" s="2213"/>
      <c r="N326" s="2213"/>
      <c r="O326" s="2213"/>
      <c r="P326" s="2213"/>
      <c r="Q326" s="2216"/>
      <c r="R326" s="2217"/>
      <c r="S326" s="2183"/>
      <c r="T326" s="2183"/>
      <c r="U326" s="2183"/>
      <c r="V326" s="374">
        <f>'بند3-5و3-6مقاله علمی کامل وخلاص'!J65</f>
        <v>0</v>
      </c>
      <c r="W326" s="374">
        <f>'بند3-5و3-6مقاله علمی کامل وخلاص'!J65</f>
        <v>0</v>
      </c>
      <c r="X326" s="375">
        <f>'بند3-5و3-6مقاله علمی کامل وخلاص'!G65</f>
        <v>0</v>
      </c>
      <c r="Y326" s="385">
        <f ca="1">'بند3-5و3-6مقاله علمی کامل وخلاص'!R61</f>
        <v>0</v>
      </c>
    </row>
    <row r="327" spans="1:25" ht="42.75" customHeight="1">
      <c r="A327" s="2196">
        <f>'بند3-5و3-6مقاله علمی کامل وخلاص'!A66</f>
        <v>0</v>
      </c>
      <c r="B327" s="2341">
        <f>'بند3-5و3-6مقاله علمی کامل وخلاص'!B66</f>
        <v>0</v>
      </c>
      <c r="C327" s="2342"/>
      <c r="D327" s="2342"/>
      <c r="E327" s="2198">
        <f>'بند3-5و3-6مقاله علمی کامل وخلاص'!E66</f>
        <v>0</v>
      </c>
      <c r="F327" s="2199"/>
      <c r="G327" s="2200"/>
      <c r="H327" s="2202">
        <f>'بند3-5و3-6مقاله علمی کامل وخلاص'!H66</f>
        <v>0</v>
      </c>
      <c r="I327" s="2203"/>
      <c r="J327" s="2211">
        <f>'بند3-5و3-6مقاله علمی کامل وخلاص'!J66</f>
        <v>0</v>
      </c>
      <c r="K327" s="2212"/>
      <c r="L327" s="2212"/>
      <c r="M327" s="2212"/>
      <c r="N327" s="2212"/>
      <c r="O327" s="2212"/>
      <c r="P327" s="2212"/>
      <c r="Q327" s="2214">
        <f>'بند3-5و3-6مقاله علمی کامل وخلاص'!P66</f>
        <v>0</v>
      </c>
      <c r="R327" s="2215"/>
      <c r="S327" s="2202">
        <f>'بند3-5و3-6مقاله علمی کامل وخلاص'!M66</f>
        <v>0</v>
      </c>
      <c r="T327" s="2203"/>
      <c r="U327" s="2203"/>
      <c r="V327" s="382" t="s">
        <v>762</v>
      </c>
      <c r="W327" s="382" t="s">
        <v>763</v>
      </c>
      <c r="X327" s="382" t="s">
        <v>769</v>
      </c>
      <c r="Y327" s="383" t="s">
        <v>767</v>
      </c>
    </row>
    <row r="328" spans="1:25" ht="42.75" customHeight="1">
      <c r="A328" s="2230"/>
      <c r="B328" s="386">
        <f>'بند3-5و3-6مقاله علمی کامل وخلاص'!B68</f>
        <v>0</v>
      </c>
      <c r="C328" s="386">
        <f>'بند3-5و3-6مقاله علمی کامل وخلاص'!C68</f>
        <v>0</v>
      </c>
      <c r="D328" s="386">
        <f>'بند3-5و3-6مقاله علمی کامل وخلاص'!D68</f>
        <v>0</v>
      </c>
      <c r="E328" s="2218"/>
      <c r="F328" s="2219"/>
      <c r="G328" s="2220"/>
      <c r="H328" s="2182">
        <f>'بند3-5و3-6مقاله علمی کامل وخلاص'!I66</f>
        <v>0</v>
      </c>
      <c r="I328" s="2183"/>
      <c r="J328" s="2213"/>
      <c r="K328" s="2213"/>
      <c r="L328" s="2213"/>
      <c r="M328" s="2213"/>
      <c r="N328" s="2213"/>
      <c r="O328" s="2213"/>
      <c r="P328" s="2213"/>
      <c r="Q328" s="2216"/>
      <c r="R328" s="2217"/>
      <c r="S328" s="2183"/>
      <c r="T328" s="2183"/>
      <c r="U328" s="2183"/>
      <c r="V328" s="374">
        <f>'بند3-5و3-6مقاله علمی کامل وخلاص'!J70</f>
        <v>0</v>
      </c>
      <c r="W328" s="374">
        <f>'بند3-5و3-6مقاله علمی کامل وخلاص'!J70</f>
        <v>0</v>
      </c>
      <c r="X328" s="375">
        <f>'بند3-5و3-6مقاله علمی کامل وخلاص'!G70</f>
        <v>0</v>
      </c>
      <c r="Y328" s="385">
        <f ca="1">'بند3-5و3-6مقاله علمی کامل وخلاص'!R66</f>
        <v>0</v>
      </c>
    </row>
    <row r="329" spans="1:25" ht="42.75" customHeight="1">
      <c r="A329" s="2196">
        <f>'بند3-5و3-6مقاله علمی کامل وخلاص'!A71</f>
        <v>0</v>
      </c>
      <c r="B329" s="2341">
        <f>'بند3-5و3-6مقاله علمی کامل وخلاص'!B71</f>
        <v>0</v>
      </c>
      <c r="C329" s="2342"/>
      <c r="D329" s="2342"/>
      <c r="E329" s="2198">
        <f>'بند3-5و3-6مقاله علمی کامل وخلاص'!E71</f>
        <v>0</v>
      </c>
      <c r="F329" s="2199"/>
      <c r="G329" s="2200"/>
      <c r="H329" s="2202">
        <f>'بند3-5و3-6مقاله علمی کامل وخلاص'!H71</f>
        <v>0</v>
      </c>
      <c r="I329" s="2203"/>
      <c r="J329" s="2211">
        <f>'بند3-5و3-6مقاله علمی کامل وخلاص'!J71</f>
        <v>0</v>
      </c>
      <c r="K329" s="2212"/>
      <c r="L329" s="2212"/>
      <c r="M329" s="2212"/>
      <c r="N329" s="2212"/>
      <c r="O329" s="2212"/>
      <c r="P329" s="2212"/>
      <c r="Q329" s="2214">
        <f>'بند3-5و3-6مقاله علمی کامل وخلاص'!P71</f>
        <v>0</v>
      </c>
      <c r="R329" s="2215"/>
      <c r="S329" s="2202">
        <f>'بند3-5و3-6مقاله علمی کامل وخلاص'!M71</f>
        <v>0</v>
      </c>
      <c r="T329" s="2203"/>
      <c r="U329" s="2203"/>
      <c r="V329" s="382" t="s">
        <v>762</v>
      </c>
      <c r="W329" s="382" t="s">
        <v>763</v>
      </c>
      <c r="X329" s="382" t="s">
        <v>769</v>
      </c>
      <c r="Y329" s="383" t="s">
        <v>767</v>
      </c>
    </row>
    <row r="330" spans="1:25" ht="42.75" customHeight="1">
      <c r="A330" s="2230"/>
      <c r="B330" s="386">
        <f>'بند3-5و3-6مقاله علمی کامل وخلاص'!B73</f>
        <v>0</v>
      </c>
      <c r="C330" s="386">
        <f>'بند3-5و3-6مقاله علمی کامل وخلاص'!C73</f>
        <v>0</v>
      </c>
      <c r="D330" s="386">
        <f>'بند3-5و3-6مقاله علمی کامل وخلاص'!D73</f>
        <v>0</v>
      </c>
      <c r="E330" s="2218"/>
      <c r="F330" s="2219"/>
      <c r="G330" s="2220"/>
      <c r="H330" s="2182">
        <f>'بند3-5و3-6مقاله علمی کامل وخلاص'!I71</f>
        <v>0</v>
      </c>
      <c r="I330" s="2183"/>
      <c r="J330" s="2213"/>
      <c r="K330" s="2213"/>
      <c r="L330" s="2213"/>
      <c r="M330" s="2213"/>
      <c r="N330" s="2213"/>
      <c r="O330" s="2213"/>
      <c r="P330" s="2213"/>
      <c r="Q330" s="2216"/>
      <c r="R330" s="2217"/>
      <c r="S330" s="2183"/>
      <c r="T330" s="2183"/>
      <c r="U330" s="2183"/>
      <c r="V330" s="374">
        <f>'بند3-5و3-6مقاله علمی کامل وخلاص'!J75</f>
        <v>0</v>
      </c>
      <c r="W330" s="374">
        <f>'بند3-5و3-6مقاله علمی کامل وخلاص'!J75</f>
        <v>0</v>
      </c>
      <c r="X330" s="375">
        <f>'بند3-5و3-6مقاله علمی کامل وخلاص'!G75</f>
        <v>0</v>
      </c>
      <c r="Y330" s="385">
        <f ca="1">'بند3-5و3-6مقاله علمی کامل وخلاص'!R71</f>
        <v>0</v>
      </c>
    </row>
    <row r="331" spans="1:25" ht="42.75" customHeight="1">
      <c r="A331" s="2196">
        <f>'بند3-5و3-6مقاله علمی کامل وخلاص'!A76</f>
        <v>0</v>
      </c>
      <c r="B331" s="2341">
        <f>'بند3-5و3-6مقاله علمی کامل وخلاص'!B76</f>
        <v>0</v>
      </c>
      <c r="C331" s="2342"/>
      <c r="D331" s="2342"/>
      <c r="E331" s="2198">
        <f>'بند3-5و3-6مقاله علمی کامل وخلاص'!E76</f>
        <v>0</v>
      </c>
      <c r="F331" s="2199"/>
      <c r="G331" s="2200"/>
      <c r="H331" s="2202">
        <f>'بند3-5و3-6مقاله علمی کامل وخلاص'!H76</f>
        <v>0</v>
      </c>
      <c r="I331" s="2203"/>
      <c r="J331" s="2211">
        <f>'بند3-5و3-6مقاله علمی کامل وخلاص'!J76</f>
        <v>0</v>
      </c>
      <c r="K331" s="2212"/>
      <c r="L331" s="2212"/>
      <c r="M331" s="2212"/>
      <c r="N331" s="2212"/>
      <c r="O331" s="2212"/>
      <c r="P331" s="2212"/>
      <c r="Q331" s="2214">
        <f>'بند3-5و3-6مقاله علمی کامل وخلاص'!P76</f>
        <v>0</v>
      </c>
      <c r="R331" s="2215"/>
      <c r="S331" s="2202">
        <f>'بند3-5و3-6مقاله علمی کامل وخلاص'!M76</f>
        <v>0</v>
      </c>
      <c r="T331" s="2203"/>
      <c r="U331" s="2203"/>
      <c r="V331" s="382" t="s">
        <v>762</v>
      </c>
      <c r="W331" s="382" t="s">
        <v>763</v>
      </c>
      <c r="X331" s="382" t="s">
        <v>769</v>
      </c>
      <c r="Y331" s="383" t="s">
        <v>767</v>
      </c>
    </row>
    <row r="332" spans="1:25" ht="42.75" customHeight="1">
      <c r="A332" s="2230"/>
      <c r="B332" s="386">
        <f>'بند3-5و3-6مقاله علمی کامل وخلاص'!B78</f>
        <v>0</v>
      </c>
      <c r="C332" s="386">
        <f>'بند3-5و3-6مقاله علمی کامل وخلاص'!C78</f>
        <v>0</v>
      </c>
      <c r="D332" s="386">
        <f>'بند3-5و3-6مقاله علمی کامل وخلاص'!D78</f>
        <v>0</v>
      </c>
      <c r="E332" s="2218"/>
      <c r="F332" s="2219"/>
      <c r="G332" s="2220"/>
      <c r="H332" s="2182">
        <f>'بند3-5و3-6مقاله علمی کامل وخلاص'!I76</f>
        <v>0</v>
      </c>
      <c r="I332" s="2183"/>
      <c r="J332" s="2213"/>
      <c r="K332" s="2213"/>
      <c r="L332" s="2213"/>
      <c r="M332" s="2213"/>
      <c r="N332" s="2213"/>
      <c r="O332" s="2213"/>
      <c r="P332" s="2213"/>
      <c r="Q332" s="2216"/>
      <c r="R332" s="2217"/>
      <c r="S332" s="2183"/>
      <c r="T332" s="2183"/>
      <c r="U332" s="2183"/>
      <c r="V332" s="374">
        <f>'بند3-5و3-6مقاله علمی کامل وخلاص'!J80</f>
        <v>0</v>
      </c>
      <c r="W332" s="374">
        <f>'بند3-5و3-6مقاله علمی کامل وخلاص'!J80</f>
        <v>0</v>
      </c>
      <c r="X332" s="375">
        <f>'بند3-5و3-6مقاله علمی کامل وخلاص'!G80</f>
        <v>0</v>
      </c>
      <c r="Y332" s="385">
        <f ca="1">'بند3-5و3-6مقاله علمی کامل وخلاص'!R76</f>
        <v>0</v>
      </c>
    </row>
    <row r="333" spans="1:25" ht="42.75" customHeight="1">
      <c r="A333" s="2196">
        <f>'بند3-5و3-6مقاله علمی کامل وخلاص'!A81</f>
        <v>0</v>
      </c>
      <c r="B333" s="2341">
        <f>'بند3-5و3-6مقاله علمی کامل وخلاص'!B81</f>
        <v>0</v>
      </c>
      <c r="C333" s="2342"/>
      <c r="D333" s="2342"/>
      <c r="E333" s="2198">
        <f>'بند3-5و3-6مقاله علمی کامل وخلاص'!E81</f>
        <v>0</v>
      </c>
      <c r="F333" s="2199"/>
      <c r="G333" s="2200"/>
      <c r="H333" s="2202">
        <f>'بند3-5و3-6مقاله علمی کامل وخلاص'!H81</f>
        <v>0</v>
      </c>
      <c r="I333" s="2203"/>
      <c r="J333" s="2211">
        <f>'بند3-5و3-6مقاله علمی کامل وخلاص'!J81</f>
        <v>0</v>
      </c>
      <c r="K333" s="2212"/>
      <c r="L333" s="2212"/>
      <c r="M333" s="2212"/>
      <c r="N333" s="2212"/>
      <c r="O333" s="2212"/>
      <c r="P333" s="2212"/>
      <c r="Q333" s="2214">
        <f>'بند3-5و3-6مقاله علمی کامل وخلاص'!P81</f>
        <v>0</v>
      </c>
      <c r="R333" s="2215"/>
      <c r="S333" s="2202">
        <f>'بند3-5و3-6مقاله علمی کامل وخلاص'!M81</f>
        <v>0</v>
      </c>
      <c r="T333" s="2203"/>
      <c r="U333" s="2203"/>
      <c r="V333" s="382" t="s">
        <v>762</v>
      </c>
      <c r="W333" s="382" t="s">
        <v>763</v>
      </c>
      <c r="X333" s="382" t="s">
        <v>769</v>
      </c>
      <c r="Y333" s="383" t="s">
        <v>767</v>
      </c>
    </row>
    <row r="334" spans="1:25" ht="42.75" customHeight="1">
      <c r="A334" s="2230"/>
      <c r="B334" s="386">
        <f>'بند3-5و3-6مقاله علمی کامل وخلاص'!B83</f>
        <v>0</v>
      </c>
      <c r="C334" s="386">
        <f>'بند3-5و3-6مقاله علمی کامل وخلاص'!C83</f>
        <v>0</v>
      </c>
      <c r="D334" s="386">
        <f>'بند3-5و3-6مقاله علمی کامل وخلاص'!D83</f>
        <v>0</v>
      </c>
      <c r="E334" s="2218"/>
      <c r="F334" s="2219"/>
      <c r="G334" s="2220"/>
      <c r="H334" s="2182">
        <f>'بند3-5و3-6مقاله علمی کامل وخلاص'!I81</f>
        <v>0</v>
      </c>
      <c r="I334" s="2183"/>
      <c r="J334" s="2213"/>
      <c r="K334" s="2213"/>
      <c r="L334" s="2213"/>
      <c r="M334" s="2213"/>
      <c r="N334" s="2213"/>
      <c r="O334" s="2213"/>
      <c r="P334" s="2213"/>
      <c r="Q334" s="2216"/>
      <c r="R334" s="2217"/>
      <c r="S334" s="2183"/>
      <c r="T334" s="2183"/>
      <c r="U334" s="2183"/>
      <c r="V334" s="374">
        <f>'بند3-5و3-6مقاله علمی کامل وخلاص'!J85</f>
        <v>0</v>
      </c>
      <c r="W334" s="374">
        <f>'بند3-5و3-6مقاله علمی کامل وخلاص'!J85</f>
        <v>0</v>
      </c>
      <c r="X334" s="375">
        <f>'بند3-5و3-6مقاله علمی کامل وخلاص'!G85</f>
        <v>0</v>
      </c>
      <c r="Y334" s="385">
        <f ca="1">'بند3-5و3-6مقاله علمی کامل وخلاص'!R81</f>
        <v>0</v>
      </c>
    </row>
    <row r="335" spans="1:25" ht="42.75" customHeight="1">
      <c r="A335" s="2196">
        <f>'بند3-5و3-6مقاله علمی کامل وخلاص'!A86</f>
        <v>0</v>
      </c>
      <c r="B335" s="2341">
        <f>'بند3-5و3-6مقاله علمی کامل وخلاص'!B86</f>
        <v>0</v>
      </c>
      <c r="C335" s="2342"/>
      <c r="D335" s="2342"/>
      <c r="E335" s="2198">
        <f>'بند3-5و3-6مقاله علمی کامل وخلاص'!E86</f>
        <v>0</v>
      </c>
      <c r="F335" s="2199"/>
      <c r="G335" s="2200"/>
      <c r="H335" s="2202">
        <f>'بند3-5و3-6مقاله علمی کامل وخلاص'!H86</f>
        <v>0</v>
      </c>
      <c r="I335" s="2203"/>
      <c r="J335" s="2211">
        <f>'بند3-5و3-6مقاله علمی کامل وخلاص'!J86</f>
        <v>0</v>
      </c>
      <c r="K335" s="2212"/>
      <c r="L335" s="2212"/>
      <c r="M335" s="2212"/>
      <c r="N335" s="2212"/>
      <c r="O335" s="2212"/>
      <c r="P335" s="2212"/>
      <c r="Q335" s="2214">
        <f>'بند3-5و3-6مقاله علمی کامل وخلاص'!P86</f>
        <v>0</v>
      </c>
      <c r="R335" s="2215"/>
      <c r="S335" s="2202">
        <f>'بند3-5و3-6مقاله علمی کامل وخلاص'!M86</f>
        <v>0</v>
      </c>
      <c r="T335" s="2203"/>
      <c r="U335" s="2203"/>
      <c r="V335" s="382" t="s">
        <v>762</v>
      </c>
      <c r="W335" s="382" t="s">
        <v>763</v>
      </c>
      <c r="X335" s="382" t="s">
        <v>769</v>
      </c>
      <c r="Y335" s="383" t="s">
        <v>767</v>
      </c>
    </row>
    <row r="336" spans="1:25" ht="42.75" customHeight="1">
      <c r="A336" s="2230"/>
      <c r="B336" s="386">
        <f>'بند3-5و3-6مقاله علمی کامل وخلاص'!B88</f>
        <v>0</v>
      </c>
      <c r="C336" s="386">
        <f>'بند3-5و3-6مقاله علمی کامل وخلاص'!C88</f>
        <v>0</v>
      </c>
      <c r="D336" s="386">
        <f>'بند3-5و3-6مقاله علمی کامل وخلاص'!D88</f>
        <v>0</v>
      </c>
      <c r="E336" s="2218"/>
      <c r="F336" s="2219"/>
      <c r="G336" s="2220"/>
      <c r="H336" s="2182">
        <f>'بند3-5و3-6مقاله علمی کامل وخلاص'!I86</f>
        <v>0</v>
      </c>
      <c r="I336" s="2183"/>
      <c r="J336" s="2213"/>
      <c r="K336" s="2213"/>
      <c r="L336" s="2213"/>
      <c r="M336" s="2213"/>
      <c r="N336" s="2213"/>
      <c r="O336" s="2213"/>
      <c r="P336" s="2213"/>
      <c r="Q336" s="2216"/>
      <c r="R336" s="2217"/>
      <c r="S336" s="2183"/>
      <c r="T336" s="2183"/>
      <c r="U336" s="2183"/>
      <c r="V336" s="374">
        <f>'بند3-5و3-6مقاله علمی کامل وخلاص'!J90</f>
        <v>0</v>
      </c>
      <c r="W336" s="374">
        <f>'بند3-5و3-6مقاله علمی کامل وخلاص'!J90</f>
        <v>0</v>
      </c>
      <c r="X336" s="375">
        <f>'بند3-5و3-6مقاله علمی کامل وخلاص'!G90</f>
        <v>0</v>
      </c>
      <c r="Y336" s="385">
        <f ca="1">'بند3-5و3-6مقاله علمی کامل وخلاص'!R86</f>
        <v>0</v>
      </c>
    </row>
    <row r="337" spans="1:25" ht="42.75" customHeight="1">
      <c r="A337" s="2196">
        <f>'بند3-5و3-6مقاله علمی کامل وخلاص'!A91</f>
        <v>0</v>
      </c>
      <c r="B337" s="2341">
        <f>'بند3-5و3-6مقاله علمی کامل وخلاص'!B91</f>
        <v>0</v>
      </c>
      <c r="C337" s="2342"/>
      <c r="D337" s="2342"/>
      <c r="E337" s="2198">
        <f>'بند3-5و3-6مقاله علمی کامل وخلاص'!E91</f>
        <v>0</v>
      </c>
      <c r="F337" s="2199"/>
      <c r="G337" s="2200"/>
      <c r="H337" s="2202">
        <f>'بند3-5و3-6مقاله علمی کامل وخلاص'!H91</f>
        <v>0</v>
      </c>
      <c r="I337" s="2203"/>
      <c r="J337" s="2211">
        <f>'بند3-5و3-6مقاله علمی کامل وخلاص'!J91</f>
        <v>0</v>
      </c>
      <c r="K337" s="2212"/>
      <c r="L337" s="2212"/>
      <c r="M337" s="2212"/>
      <c r="N337" s="2212"/>
      <c r="O337" s="2212"/>
      <c r="P337" s="2212"/>
      <c r="Q337" s="2214">
        <f>'بند3-5و3-6مقاله علمی کامل وخلاص'!P91</f>
        <v>0</v>
      </c>
      <c r="R337" s="2215"/>
      <c r="S337" s="2202">
        <f>'بند3-5و3-6مقاله علمی کامل وخلاص'!M91</f>
        <v>0</v>
      </c>
      <c r="T337" s="2203"/>
      <c r="U337" s="2203"/>
      <c r="V337" s="382" t="s">
        <v>762</v>
      </c>
      <c r="W337" s="382" t="s">
        <v>763</v>
      </c>
      <c r="X337" s="382" t="s">
        <v>769</v>
      </c>
      <c r="Y337" s="383" t="s">
        <v>767</v>
      </c>
    </row>
    <row r="338" spans="1:25" ht="42.75" customHeight="1">
      <c r="A338" s="2230"/>
      <c r="B338" s="386">
        <f>'بند3-5و3-6مقاله علمی کامل وخلاص'!B93</f>
        <v>0</v>
      </c>
      <c r="C338" s="386">
        <f>'بند3-5و3-6مقاله علمی کامل وخلاص'!C93</f>
        <v>0</v>
      </c>
      <c r="D338" s="386">
        <f>'بند3-5و3-6مقاله علمی کامل وخلاص'!D93</f>
        <v>0</v>
      </c>
      <c r="E338" s="2218"/>
      <c r="F338" s="2219"/>
      <c r="G338" s="2220"/>
      <c r="H338" s="2182">
        <f>'بند3-5و3-6مقاله علمی کامل وخلاص'!I91</f>
        <v>0</v>
      </c>
      <c r="I338" s="2183"/>
      <c r="J338" s="2213"/>
      <c r="K338" s="2213"/>
      <c r="L338" s="2213"/>
      <c r="M338" s="2213"/>
      <c r="N338" s="2213"/>
      <c r="O338" s="2213"/>
      <c r="P338" s="2213"/>
      <c r="Q338" s="2216"/>
      <c r="R338" s="2217"/>
      <c r="S338" s="2183"/>
      <c r="T338" s="2183"/>
      <c r="U338" s="2183"/>
      <c r="V338" s="374">
        <f>'بند3-5و3-6مقاله علمی کامل وخلاص'!J95</f>
        <v>0</v>
      </c>
      <c r="W338" s="374">
        <f>'بند3-5و3-6مقاله علمی کامل وخلاص'!J95</f>
        <v>0</v>
      </c>
      <c r="X338" s="375">
        <f>'بند3-5و3-6مقاله علمی کامل وخلاص'!G95</f>
        <v>0</v>
      </c>
      <c r="Y338" s="385">
        <f ca="1">'بند3-5و3-6مقاله علمی کامل وخلاص'!R91</f>
        <v>0</v>
      </c>
    </row>
    <row r="339" spans="1:25" ht="42.75" customHeight="1">
      <c r="A339" s="2196">
        <f>'بند3-5و3-6مقاله علمی کامل وخلاص'!A96</f>
        <v>0</v>
      </c>
      <c r="B339" s="2341">
        <f>'بند3-5و3-6مقاله علمی کامل وخلاص'!B96</f>
        <v>0</v>
      </c>
      <c r="C339" s="2342"/>
      <c r="D339" s="2342"/>
      <c r="E339" s="2198">
        <f>'بند3-5و3-6مقاله علمی کامل وخلاص'!E96</f>
        <v>0</v>
      </c>
      <c r="F339" s="2199"/>
      <c r="G339" s="2200"/>
      <c r="H339" s="2202">
        <f>'بند3-5و3-6مقاله علمی کامل وخلاص'!H96</f>
        <v>0</v>
      </c>
      <c r="I339" s="2203"/>
      <c r="J339" s="2211">
        <f>'بند3-5و3-6مقاله علمی کامل وخلاص'!J96</f>
        <v>0</v>
      </c>
      <c r="K339" s="2212"/>
      <c r="L339" s="2212"/>
      <c r="M339" s="2212"/>
      <c r="N339" s="2212"/>
      <c r="O339" s="2212"/>
      <c r="P339" s="2212"/>
      <c r="Q339" s="2214">
        <f>'بند3-5و3-6مقاله علمی کامل وخلاص'!P96</f>
        <v>0</v>
      </c>
      <c r="R339" s="2215"/>
      <c r="S339" s="2202">
        <f>'بند3-5و3-6مقاله علمی کامل وخلاص'!M96</f>
        <v>0</v>
      </c>
      <c r="T339" s="2203"/>
      <c r="U339" s="2203"/>
      <c r="V339" s="382" t="s">
        <v>762</v>
      </c>
      <c r="W339" s="382" t="s">
        <v>763</v>
      </c>
      <c r="X339" s="382" t="s">
        <v>769</v>
      </c>
      <c r="Y339" s="383" t="s">
        <v>767</v>
      </c>
    </row>
    <row r="340" spans="1:25" ht="42.75" customHeight="1">
      <c r="A340" s="2230"/>
      <c r="B340" s="386">
        <f>'بند3-5و3-6مقاله علمی کامل وخلاص'!B98</f>
        <v>0</v>
      </c>
      <c r="C340" s="386">
        <f>'بند3-5و3-6مقاله علمی کامل وخلاص'!C98</f>
        <v>0</v>
      </c>
      <c r="D340" s="386">
        <f>'بند3-5و3-6مقاله علمی کامل وخلاص'!D98</f>
        <v>0</v>
      </c>
      <c r="E340" s="2218"/>
      <c r="F340" s="2219"/>
      <c r="G340" s="2220"/>
      <c r="H340" s="2182">
        <f>'بند3-5و3-6مقاله علمی کامل وخلاص'!I96</f>
        <v>0</v>
      </c>
      <c r="I340" s="2183"/>
      <c r="J340" s="2213"/>
      <c r="K340" s="2213"/>
      <c r="L340" s="2213"/>
      <c r="M340" s="2213"/>
      <c r="N340" s="2213"/>
      <c r="O340" s="2213"/>
      <c r="P340" s="2213"/>
      <c r="Q340" s="2216"/>
      <c r="R340" s="2217"/>
      <c r="S340" s="2183"/>
      <c r="T340" s="2183"/>
      <c r="U340" s="2183"/>
      <c r="V340" s="374">
        <f>'بند3-5و3-6مقاله علمی کامل وخلاص'!J100</f>
        <v>0</v>
      </c>
      <c r="W340" s="374">
        <f>'بند3-5و3-6مقاله علمی کامل وخلاص'!J100</f>
        <v>0</v>
      </c>
      <c r="X340" s="375">
        <f>'بند3-5و3-6مقاله علمی کامل وخلاص'!G100</f>
        <v>0</v>
      </c>
      <c r="Y340" s="385">
        <f ca="1">'بند3-5و3-6مقاله علمی کامل وخلاص'!R96</f>
        <v>0</v>
      </c>
    </row>
    <row r="341" spans="1:25" ht="42.75" customHeight="1">
      <c r="A341" s="2196">
        <f>'بند3-5و3-6مقاله علمی کامل وخلاص'!A101</f>
        <v>0</v>
      </c>
      <c r="B341" s="2341">
        <f>'بند3-5و3-6مقاله علمی کامل وخلاص'!B101</f>
        <v>0</v>
      </c>
      <c r="C341" s="2342"/>
      <c r="D341" s="2342"/>
      <c r="E341" s="2198">
        <f>'بند3-5و3-6مقاله علمی کامل وخلاص'!E101</f>
        <v>0</v>
      </c>
      <c r="F341" s="2199"/>
      <c r="G341" s="2200"/>
      <c r="H341" s="2202">
        <f>'بند3-5و3-6مقاله علمی کامل وخلاص'!H101</f>
        <v>0</v>
      </c>
      <c r="I341" s="2203"/>
      <c r="J341" s="2211">
        <f>'بند3-5و3-6مقاله علمی کامل وخلاص'!J101</f>
        <v>0</v>
      </c>
      <c r="K341" s="2212"/>
      <c r="L341" s="2212"/>
      <c r="M341" s="2212"/>
      <c r="N341" s="2212"/>
      <c r="O341" s="2212"/>
      <c r="P341" s="2212"/>
      <c r="Q341" s="2214">
        <f>'بند3-5و3-6مقاله علمی کامل وخلاص'!P101</f>
        <v>0</v>
      </c>
      <c r="R341" s="2215"/>
      <c r="S341" s="2202">
        <f>'بند3-5و3-6مقاله علمی کامل وخلاص'!M101</f>
        <v>0</v>
      </c>
      <c r="T341" s="2203"/>
      <c r="U341" s="2203"/>
      <c r="V341" s="382" t="s">
        <v>762</v>
      </c>
      <c r="W341" s="382" t="s">
        <v>763</v>
      </c>
      <c r="X341" s="382" t="s">
        <v>769</v>
      </c>
      <c r="Y341" s="383" t="s">
        <v>767</v>
      </c>
    </row>
    <row r="342" spans="1:25" ht="42.75" customHeight="1">
      <c r="A342" s="2230"/>
      <c r="B342" s="386">
        <f>'بند3-5و3-6مقاله علمی کامل وخلاص'!B103</f>
        <v>0</v>
      </c>
      <c r="C342" s="386">
        <f>'بند3-5و3-6مقاله علمی کامل وخلاص'!C103</f>
        <v>0</v>
      </c>
      <c r="D342" s="386">
        <f>'بند3-5و3-6مقاله علمی کامل وخلاص'!D103</f>
        <v>0</v>
      </c>
      <c r="E342" s="2218"/>
      <c r="F342" s="2219"/>
      <c r="G342" s="2220"/>
      <c r="H342" s="2182">
        <f>'بند3-5و3-6مقاله علمی کامل وخلاص'!I101</f>
        <v>0</v>
      </c>
      <c r="I342" s="2183"/>
      <c r="J342" s="2213"/>
      <c r="K342" s="2213"/>
      <c r="L342" s="2213"/>
      <c r="M342" s="2213"/>
      <c r="N342" s="2213"/>
      <c r="O342" s="2213"/>
      <c r="P342" s="2213"/>
      <c r="Q342" s="2216"/>
      <c r="R342" s="2217"/>
      <c r="S342" s="2183"/>
      <c r="T342" s="2183"/>
      <c r="U342" s="2183"/>
      <c r="V342" s="374">
        <f>'بند3-5و3-6مقاله علمی کامل وخلاص'!J105</f>
        <v>0</v>
      </c>
      <c r="W342" s="374">
        <f>'بند3-5و3-6مقاله علمی کامل وخلاص'!J105</f>
        <v>0</v>
      </c>
      <c r="X342" s="375">
        <f>'بند3-5و3-6مقاله علمی کامل وخلاص'!G105</f>
        <v>0</v>
      </c>
      <c r="Y342" s="385">
        <f ca="1">'بند3-5و3-6مقاله علمی کامل وخلاص'!R101</f>
        <v>0</v>
      </c>
    </row>
    <row r="343" spans="1:25" ht="42.75" customHeight="1">
      <c r="A343" s="2196">
        <f>'بند3-5و3-6مقاله علمی کامل وخلاص'!A106</f>
        <v>0</v>
      </c>
      <c r="B343" s="2341">
        <f>'بند3-5و3-6مقاله علمی کامل وخلاص'!B106</f>
        <v>0</v>
      </c>
      <c r="C343" s="2342"/>
      <c r="D343" s="2342"/>
      <c r="E343" s="2198">
        <f>'بند3-5و3-6مقاله علمی کامل وخلاص'!E106</f>
        <v>0</v>
      </c>
      <c r="F343" s="2199"/>
      <c r="G343" s="2200"/>
      <c r="H343" s="2202">
        <f>'بند3-5و3-6مقاله علمی کامل وخلاص'!H106</f>
        <v>0</v>
      </c>
      <c r="I343" s="2203"/>
      <c r="J343" s="2211">
        <f>'بند3-5و3-6مقاله علمی کامل وخلاص'!J106</f>
        <v>0</v>
      </c>
      <c r="K343" s="2212"/>
      <c r="L343" s="2212"/>
      <c r="M343" s="2212"/>
      <c r="N343" s="2212"/>
      <c r="O343" s="2212"/>
      <c r="P343" s="2212"/>
      <c r="Q343" s="2214">
        <f>'بند3-5و3-6مقاله علمی کامل وخلاص'!P106</f>
        <v>0</v>
      </c>
      <c r="R343" s="2215"/>
      <c r="S343" s="2202">
        <f>'بند3-5و3-6مقاله علمی کامل وخلاص'!M106</f>
        <v>0</v>
      </c>
      <c r="T343" s="2203"/>
      <c r="U343" s="2203"/>
      <c r="V343" s="382" t="s">
        <v>762</v>
      </c>
      <c r="W343" s="382" t="s">
        <v>763</v>
      </c>
      <c r="X343" s="382" t="s">
        <v>769</v>
      </c>
      <c r="Y343" s="383" t="s">
        <v>767</v>
      </c>
    </row>
    <row r="344" spans="1:25" ht="42.75" customHeight="1">
      <c r="A344" s="2230"/>
      <c r="B344" s="386">
        <f>'بند3-5و3-6مقاله علمی کامل وخلاص'!B108</f>
        <v>0</v>
      </c>
      <c r="C344" s="386">
        <f>'بند3-5و3-6مقاله علمی کامل وخلاص'!C108</f>
        <v>0</v>
      </c>
      <c r="D344" s="386">
        <f>'بند3-5و3-6مقاله علمی کامل وخلاص'!D108</f>
        <v>0</v>
      </c>
      <c r="E344" s="2218"/>
      <c r="F344" s="2219"/>
      <c r="G344" s="2220"/>
      <c r="H344" s="2182">
        <f>'بند3-5و3-6مقاله علمی کامل وخلاص'!I106</f>
        <v>0</v>
      </c>
      <c r="I344" s="2183"/>
      <c r="J344" s="2213"/>
      <c r="K344" s="2213"/>
      <c r="L344" s="2213"/>
      <c r="M344" s="2213"/>
      <c r="N344" s="2213"/>
      <c r="O344" s="2213"/>
      <c r="P344" s="2213"/>
      <c r="Q344" s="2216"/>
      <c r="R344" s="2217"/>
      <c r="S344" s="2183"/>
      <c r="T344" s="2183"/>
      <c r="U344" s="2183"/>
      <c r="V344" s="374">
        <f>'بند3-5و3-6مقاله علمی کامل وخلاص'!J110</f>
        <v>0</v>
      </c>
      <c r="W344" s="374">
        <f>'بند3-5و3-6مقاله علمی کامل وخلاص'!J110</f>
        <v>0</v>
      </c>
      <c r="X344" s="375">
        <f>'بند3-5و3-6مقاله علمی کامل وخلاص'!G110</f>
        <v>0</v>
      </c>
      <c r="Y344" s="385">
        <f ca="1">'بند3-5و3-6مقاله علمی کامل وخلاص'!R106</f>
        <v>0</v>
      </c>
    </row>
    <row r="345" spans="1:25" ht="42.75" customHeight="1">
      <c r="A345" s="2196">
        <f>'بند3-5و3-6مقاله علمی کامل وخلاص'!A111</f>
        <v>0</v>
      </c>
      <c r="B345" s="2341">
        <f>'بند3-5و3-6مقاله علمی کامل وخلاص'!B111</f>
        <v>0</v>
      </c>
      <c r="C345" s="2342"/>
      <c r="D345" s="2342"/>
      <c r="E345" s="2198">
        <f>'بند3-5و3-6مقاله علمی کامل وخلاص'!E111</f>
        <v>0</v>
      </c>
      <c r="F345" s="2199"/>
      <c r="G345" s="2200"/>
      <c r="H345" s="2202">
        <f>'بند3-5و3-6مقاله علمی کامل وخلاص'!H111</f>
        <v>0</v>
      </c>
      <c r="I345" s="2203"/>
      <c r="J345" s="2211">
        <f>'بند3-5و3-6مقاله علمی کامل وخلاص'!J111</f>
        <v>0</v>
      </c>
      <c r="K345" s="2212"/>
      <c r="L345" s="2212"/>
      <c r="M345" s="2212"/>
      <c r="N345" s="2212"/>
      <c r="O345" s="2212"/>
      <c r="P345" s="2212"/>
      <c r="Q345" s="2214">
        <f>'بند3-5و3-6مقاله علمی کامل وخلاص'!P111</f>
        <v>0</v>
      </c>
      <c r="R345" s="2215"/>
      <c r="S345" s="2202">
        <f>'بند3-5و3-6مقاله علمی کامل وخلاص'!M111</f>
        <v>0</v>
      </c>
      <c r="T345" s="2203"/>
      <c r="U345" s="2203"/>
      <c r="V345" s="382" t="s">
        <v>762</v>
      </c>
      <c r="W345" s="382" t="s">
        <v>763</v>
      </c>
      <c r="X345" s="382" t="s">
        <v>769</v>
      </c>
      <c r="Y345" s="383" t="s">
        <v>767</v>
      </c>
    </row>
    <row r="346" spans="1:25" ht="42.75" customHeight="1">
      <c r="A346" s="2230"/>
      <c r="B346" s="386">
        <f>'بند3-5و3-6مقاله علمی کامل وخلاص'!B113</f>
        <v>0</v>
      </c>
      <c r="C346" s="386">
        <f>'بند3-5و3-6مقاله علمی کامل وخلاص'!C113</f>
        <v>0</v>
      </c>
      <c r="D346" s="386">
        <f>'بند3-5و3-6مقاله علمی کامل وخلاص'!D113</f>
        <v>0</v>
      </c>
      <c r="E346" s="2218"/>
      <c r="F346" s="2219"/>
      <c r="G346" s="2220"/>
      <c r="H346" s="2182">
        <f>'بند3-5و3-6مقاله علمی کامل وخلاص'!I111</f>
        <v>0</v>
      </c>
      <c r="I346" s="2183"/>
      <c r="J346" s="2213"/>
      <c r="K346" s="2213"/>
      <c r="L346" s="2213"/>
      <c r="M346" s="2213"/>
      <c r="N346" s="2213"/>
      <c r="O346" s="2213"/>
      <c r="P346" s="2213"/>
      <c r="Q346" s="2216"/>
      <c r="R346" s="2217"/>
      <c r="S346" s="2183"/>
      <c r="T346" s="2183"/>
      <c r="U346" s="2183"/>
      <c r="V346" s="374">
        <f>'بند3-5و3-6مقاله علمی کامل وخلاص'!J115</f>
        <v>0</v>
      </c>
      <c r="W346" s="374">
        <f>'بند3-5و3-6مقاله علمی کامل وخلاص'!J115</f>
        <v>0</v>
      </c>
      <c r="X346" s="375">
        <f>'بند3-5و3-6مقاله علمی کامل وخلاص'!G115</f>
        <v>0</v>
      </c>
      <c r="Y346" s="385">
        <f ca="1">'بند3-5و3-6مقاله علمی کامل وخلاص'!R111</f>
        <v>0</v>
      </c>
    </row>
    <row r="347" spans="1:25" ht="42.75" customHeight="1">
      <c r="A347" s="2196">
        <f>'بند3-5و3-6مقاله علمی کامل وخلاص'!A116</f>
        <v>0</v>
      </c>
      <c r="B347" s="2341">
        <f>'بند3-5و3-6مقاله علمی کامل وخلاص'!B116</f>
        <v>0</v>
      </c>
      <c r="C347" s="2342"/>
      <c r="D347" s="2342"/>
      <c r="E347" s="2198">
        <f>'بند3-5و3-6مقاله علمی کامل وخلاص'!E116</f>
        <v>0</v>
      </c>
      <c r="F347" s="2199"/>
      <c r="G347" s="2200"/>
      <c r="H347" s="2202">
        <f>'بند3-5و3-6مقاله علمی کامل وخلاص'!H116</f>
        <v>0</v>
      </c>
      <c r="I347" s="2203"/>
      <c r="J347" s="2211">
        <f>'بند3-5و3-6مقاله علمی کامل وخلاص'!J116</f>
        <v>0</v>
      </c>
      <c r="K347" s="2212"/>
      <c r="L347" s="2212"/>
      <c r="M347" s="2212"/>
      <c r="N347" s="2212"/>
      <c r="O347" s="2212"/>
      <c r="P347" s="2212"/>
      <c r="Q347" s="2214">
        <f>'بند3-5و3-6مقاله علمی کامل وخلاص'!P116</f>
        <v>0</v>
      </c>
      <c r="R347" s="2215"/>
      <c r="S347" s="2202">
        <f>'بند3-5و3-6مقاله علمی کامل وخلاص'!M116</f>
        <v>0</v>
      </c>
      <c r="T347" s="2203"/>
      <c r="U347" s="2203"/>
      <c r="V347" s="382" t="s">
        <v>762</v>
      </c>
      <c r="W347" s="382" t="s">
        <v>763</v>
      </c>
      <c r="X347" s="382" t="s">
        <v>769</v>
      </c>
      <c r="Y347" s="383" t="s">
        <v>767</v>
      </c>
    </row>
    <row r="348" spans="1:25" ht="42.75" customHeight="1">
      <c r="A348" s="2230"/>
      <c r="B348" s="386">
        <f>'بند3-5و3-6مقاله علمی کامل وخلاص'!B118</f>
        <v>0</v>
      </c>
      <c r="C348" s="386">
        <f>'بند3-5و3-6مقاله علمی کامل وخلاص'!C118</f>
        <v>0</v>
      </c>
      <c r="D348" s="386">
        <f>'بند3-5و3-6مقاله علمی کامل وخلاص'!D118</f>
        <v>0</v>
      </c>
      <c r="E348" s="2218"/>
      <c r="F348" s="2219"/>
      <c r="G348" s="2220"/>
      <c r="H348" s="2182">
        <f>'بند3-5و3-6مقاله علمی کامل وخلاص'!I116</f>
        <v>0</v>
      </c>
      <c r="I348" s="2183"/>
      <c r="J348" s="2213"/>
      <c r="K348" s="2213"/>
      <c r="L348" s="2213"/>
      <c r="M348" s="2213"/>
      <c r="N348" s="2213"/>
      <c r="O348" s="2213"/>
      <c r="P348" s="2213"/>
      <c r="Q348" s="2216"/>
      <c r="R348" s="2217"/>
      <c r="S348" s="2183"/>
      <c r="T348" s="2183"/>
      <c r="U348" s="2183"/>
      <c r="V348" s="374">
        <f>'بند3-5و3-6مقاله علمی کامل وخلاص'!J120</f>
        <v>0</v>
      </c>
      <c r="W348" s="374">
        <f>'بند3-5و3-6مقاله علمی کامل وخلاص'!J120</f>
        <v>0</v>
      </c>
      <c r="X348" s="375">
        <f>'بند3-5و3-6مقاله علمی کامل وخلاص'!G120</f>
        <v>0</v>
      </c>
      <c r="Y348" s="385">
        <f ca="1">'بند3-5و3-6مقاله علمی کامل وخلاص'!R116</f>
        <v>0</v>
      </c>
    </row>
    <row r="349" spans="1:25" ht="42.75" customHeight="1">
      <c r="A349" s="2196">
        <f>'بند3-5و3-6مقاله علمی کامل وخلاص'!A121</f>
        <v>0</v>
      </c>
      <c r="B349" s="2341">
        <f>'بند3-5و3-6مقاله علمی کامل وخلاص'!B121</f>
        <v>0</v>
      </c>
      <c r="C349" s="2342"/>
      <c r="D349" s="2342"/>
      <c r="E349" s="2198">
        <f>'بند3-5و3-6مقاله علمی کامل وخلاص'!E121</f>
        <v>0</v>
      </c>
      <c r="F349" s="2199"/>
      <c r="G349" s="2200"/>
      <c r="H349" s="2202">
        <f>'بند3-5و3-6مقاله علمی کامل وخلاص'!H121</f>
        <v>0</v>
      </c>
      <c r="I349" s="2203"/>
      <c r="J349" s="2211">
        <f>'بند3-5و3-6مقاله علمی کامل وخلاص'!J121</f>
        <v>0</v>
      </c>
      <c r="K349" s="2212"/>
      <c r="L349" s="2212"/>
      <c r="M349" s="2212"/>
      <c r="N349" s="2212"/>
      <c r="O349" s="2212"/>
      <c r="P349" s="2212"/>
      <c r="Q349" s="2214">
        <f>'بند3-5و3-6مقاله علمی کامل وخلاص'!P121</f>
        <v>0</v>
      </c>
      <c r="R349" s="2215"/>
      <c r="S349" s="2202">
        <f>'بند3-5و3-6مقاله علمی کامل وخلاص'!M121</f>
        <v>0</v>
      </c>
      <c r="T349" s="2203"/>
      <c r="U349" s="2203"/>
      <c r="V349" s="382" t="s">
        <v>762</v>
      </c>
      <c r="W349" s="382" t="s">
        <v>763</v>
      </c>
      <c r="X349" s="382" t="s">
        <v>769</v>
      </c>
      <c r="Y349" s="383" t="s">
        <v>767</v>
      </c>
    </row>
    <row r="350" spans="1:25" ht="42.75" customHeight="1">
      <c r="A350" s="2230"/>
      <c r="B350" s="386">
        <f>'بند3-5و3-6مقاله علمی کامل وخلاص'!B123</f>
        <v>0</v>
      </c>
      <c r="C350" s="386">
        <f>'بند3-5و3-6مقاله علمی کامل وخلاص'!C123</f>
        <v>0</v>
      </c>
      <c r="D350" s="386">
        <f>'بند3-5و3-6مقاله علمی کامل وخلاص'!D123</f>
        <v>0</v>
      </c>
      <c r="E350" s="2218"/>
      <c r="F350" s="2219"/>
      <c r="G350" s="2220"/>
      <c r="H350" s="2182">
        <f>'بند3-5و3-6مقاله علمی کامل وخلاص'!I121</f>
        <v>0</v>
      </c>
      <c r="I350" s="2183"/>
      <c r="J350" s="2213"/>
      <c r="K350" s="2213"/>
      <c r="L350" s="2213"/>
      <c r="M350" s="2213"/>
      <c r="N350" s="2213"/>
      <c r="O350" s="2213"/>
      <c r="P350" s="2213"/>
      <c r="Q350" s="2216"/>
      <c r="R350" s="2217"/>
      <c r="S350" s="2183"/>
      <c r="T350" s="2183"/>
      <c r="U350" s="2183"/>
      <c r="V350" s="374">
        <f>'بند3-5و3-6مقاله علمی کامل وخلاص'!J125</f>
        <v>0</v>
      </c>
      <c r="W350" s="374">
        <f>'بند3-5و3-6مقاله علمی کامل وخلاص'!J125</f>
        <v>0</v>
      </c>
      <c r="X350" s="375">
        <f>'بند3-5و3-6مقاله علمی کامل وخلاص'!G125</f>
        <v>0</v>
      </c>
      <c r="Y350" s="385">
        <f ca="1">'بند3-5و3-6مقاله علمی کامل وخلاص'!R121</f>
        <v>0</v>
      </c>
    </row>
    <row r="351" spans="1:25" ht="42.75" customHeight="1">
      <c r="A351" s="2196">
        <f>'بند3-5و3-6مقاله علمی کامل وخلاص'!A126</f>
        <v>0</v>
      </c>
      <c r="B351" s="2341">
        <f>'بند3-5و3-6مقاله علمی کامل وخلاص'!B126</f>
        <v>0</v>
      </c>
      <c r="C351" s="2342"/>
      <c r="D351" s="2342"/>
      <c r="E351" s="2198">
        <f>'بند3-5و3-6مقاله علمی کامل وخلاص'!E126</f>
        <v>0</v>
      </c>
      <c r="F351" s="2199"/>
      <c r="G351" s="2200"/>
      <c r="H351" s="2202">
        <f>'بند3-5و3-6مقاله علمی کامل وخلاص'!H126</f>
        <v>0</v>
      </c>
      <c r="I351" s="2203"/>
      <c r="J351" s="2211">
        <f>'بند3-5و3-6مقاله علمی کامل وخلاص'!J126</f>
        <v>0</v>
      </c>
      <c r="K351" s="2212"/>
      <c r="L351" s="2212"/>
      <c r="M351" s="2212"/>
      <c r="N351" s="2212"/>
      <c r="O351" s="2212"/>
      <c r="P351" s="2212"/>
      <c r="Q351" s="2214">
        <f>'بند3-5و3-6مقاله علمی کامل وخلاص'!P126</f>
        <v>0</v>
      </c>
      <c r="R351" s="2215"/>
      <c r="S351" s="2202">
        <f>'بند3-5و3-6مقاله علمی کامل وخلاص'!M126</f>
        <v>0</v>
      </c>
      <c r="T351" s="2203"/>
      <c r="U351" s="2203"/>
      <c r="V351" s="382" t="s">
        <v>762</v>
      </c>
      <c r="W351" s="382" t="s">
        <v>763</v>
      </c>
      <c r="X351" s="382" t="s">
        <v>769</v>
      </c>
      <c r="Y351" s="383" t="s">
        <v>767</v>
      </c>
    </row>
    <row r="352" spans="1:25" ht="42.75" customHeight="1">
      <c r="A352" s="2230"/>
      <c r="B352" s="386">
        <f>'بند3-5و3-6مقاله علمی کامل وخلاص'!B128</f>
        <v>0</v>
      </c>
      <c r="C352" s="386">
        <f>'بند3-5و3-6مقاله علمی کامل وخلاص'!C128</f>
        <v>0</v>
      </c>
      <c r="D352" s="386">
        <f>'بند3-5و3-6مقاله علمی کامل وخلاص'!D128</f>
        <v>0</v>
      </c>
      <c r="E352" s="2218"/>
      <c r="F352" s="2219"/>
      <c r="G352" s="2220"/>
      <c r="H352" s="2182">
        <f>'بند3-5و3-6مقاله علمی کامل وخلاص'!I126</f>
        <v>0</v>
      </c>
      <c r="I352" s="2183"/>
      <c r="J352" s="2213"/>
      <c r="K352" s="2213"/>
      <c r="L352" s="2213"/>
      <c r="M352" s="2213"/>
      <c r="N352" s="2213"/>
      <c r="O352" s="2213"/>
      <c r="P352" s="2213"/>
      <c r="Q352" s="2216"/>
      <c r="R352" s="2217"/>
      <c r="S352" s="2183"/>
      <c r="T352" s="2183"/>
      <c r="U352" s="2183"/>
      <c r="V352" s="374">
        <f>'بند3-5و3-6مقاله علمی کامل وخلاص'!J130</f>
        <v>0</v>
      </c>
      <c r="W352" s="374">
        <f>'بند3-5و3-6مقاله علمی کامل وخلاص'!J130</f>
        <v>0</v>
      </c>
      <c r="X352" s="375">
        <f>'بند3-5و3-6مقاله علمی کامل وخلاص'!G130</f>
        <v>0</v>
      </c>
      <c r="Y352" s="385">
        <f ca="1">'بند3-5و3-6مقاله علمی کامل وخلاص'!R126</f>
        <v>0</v>
      </c>
    </row>
    <row r="353" spans="1:25" ht="42.75" customHeight="1">
      <c r="A353" s="2196">
        <f>'بند3-5و3-6مقاله علمی کامل وخلاص'!A131</f>
        <v>0</v>
      </c>
      <c r="B353" s="2341">
        <f>'بند3-5و3-6مقاله علمی کامل وخلاص'!B131</f>
        <v>0</v>
      </c>
      <c r="C353" s="2342"/>
      <c r="D353" s="2342"/>
      <c r="E353" s="2198">
        <f>'بند3-5و3-6مقاله علمی کامل وخلاص'!E131</f>
        <v>0</v>
      </c>
      <c r="F353" s="2199"/>
      <c r="G353" s="2200"/>
      <c r="H353" s="2202">
        <f>'بند3-5و3-6مقاله علمی کامل وخلاص'!H131</f>
        <v>0</v>
      </c>
      <c r="I353" s="2203"/>
      <c r="J353" s="2211">
        <f>'بند3-5و3-6مقاله علمی کامل وخلاص'!J131</f>
        <v>0</v>
      </c>
      <c r="K353" s="2212"/>
      <c r="L353" s="2212"/>
      <c r="M353" s="2212"/>
      <c r="N353" s="2212"/>
      <c r="O353" s="2212"/>
      <c r="P353" s="2212"/>
      <c r="Q353" s="2214">
        <f>'بند3-5و3-6مقاله علمی کامل وخلاص'!P131</f>
        <v>0</v>
      </c>
      <c r="R353" s="2215"/>
      <c r="S353" s="2202">
        <f>'بند3-5و3-6مقاله علمی کامل وخلاص'!M131</f>
        <v>0</v>
      </c>
      <c r="T353" s="2203"/>
      <c r="U353" s="2203"/>
      <c r="V353" s="382" t="s">
        <v>762</v>
      </c>
      <c r="W353" s="382" t="s">
        <v>763</v>
      </c>
      <c r="X353" s="382" t="s">
        <v>769</v>
      </c>
      <c r="Y353" s="383" t="s">
        <v>767</v>
      </c>
    </row>
    <row r="354" spans="1:25" ht="42.75" customHeight="1">
      <c r="A354" s="2230"/>
      <c r="B354" s="386">
        <f>'بند3-5و3-6مقاله علمی کامل وخلاص'!B133</f>
        <v>0</v>
      </c>
      <c r="C354" s="386">
        <f>'بند3-5و3-6مقاله علمی کامل وخلاص'!C133</f>
        <v>0</v>
      </c>
      <c r="D354" s="386">
        <f>'بند3-5و3-6مقاله علمی کامل وخلاص'!D133</f>
        <v>0</v>
      </c>
      <c r="E354" s="2218"/>
      <c r="F354" s="2219"/>
      <c r="G354" s="2220"/>
      <c r="H354" s="2182">
        <f>'بند3-5و3-6مقاله علمی کامل وخلاص'!I131</f>
        <v>0</v>
      </c>
      <c r="I354" s="2183"/>
      <c r="J354" s="2213"/>
      <c r="K354" s="2213"/>
      <c r="L354" s="2213"/>
      <c r="M354" s="2213"/>
      <c r="N354" s="2213"/>
      <c r="O354" s="2213"/>
      <c r="P354" s="2213"/>
      <c r="Q354" s="2216"/>
      <c r="R354" s="2217"/>
      <c r="S354" s="2183"/>
      <c r="T354" s="2183"/>
      <c r="U354" s="2183"/>
      <c r="V354" s="374">
        <f>'بند3-5و3-6مقاله علمی کامل وخلاص'!J135</f>
        <v>0</v>
      </c>
      <c r="W354" s="374">
        <f>'بند3-5و3-6مقاله علمی کامل وخلاص'!J135</f>
        <v>0</v>
      </c>
      <c r="X354" s="375">
        <f>'بند3-5و3-6مقاله علمی کامل وخلاص'!G135</f>
        <v>0</v>
      </c>
      <c r="Y354" s="385">
        <f ca="1">'بند3-5و3-6مقاله علمی کامل وخلاص'!R131</f>
        <v>0</v>
      </c>
    </row>
    <row r="355" spans="1:25" ht="42.75" customHeight="1">
      <c r="A355" s="2196">
        <f>'بند3-5و3-6مقاله علمی کامل وخلاص'!A136</f>
        <v>0</v>
      </c>
      <c r="B355" s="2341">
        <f>'بند3-5و3-6مقاله علمی کامل وخلاص'!B136</f>
        <v>0</v>
      </c>
      <c r="C355" s="2342"/>
      <c r="D355" s="2342"/>
      <c r="E355" s="2198">
        <f>'بند3-5و3-6مقاله علمی کامل وخلاص'!E136</f>
        <v>0</v>
      </c>
      <c r="F355" s="2199"/>
      <c r="G355" s="2200"/>
      <c r="H355" s="2202">
        <f>'بند3-5و3-6مقاله علمی کامل وخلاص'!H136</f>
        <v>0</v>
      </c>
      <c r="I355" s="2203"/>
      <c r="J355" s="2211">
        <f>'بند3-5و3-6مقاله علمی کامل وخلاص'!J136</f>
        <v>0</v>
      </c>
      <c r="K355" s="2212"/>
      <c r="L355" s="2212"/>
      <c r="M355" s="2212"/>
      <c r="N355" s="2212"/>
      <c r="O355" s="2212"/>
      <c r="P355" s="2212"/>
      <c r="Q355" s="2214">
        <f>'بند3-5و3-6مقاله علمی کامل وخلاص'!P136</f>
        <v>0</v>
      </c>
      <c r="R355" s="2215"/>
      <c r="S355" s="2202">
        <f>'بند3-5و3-6مقاله علمی کامل وخلاص'!M136</f>
        <v>0</v>
      </c>
      <c r="T355" s="2203"/>
      <c r="U355" s="2203"/>
      <c r="V355" s="382" t="s">
        <v>762</v>
      </c>
      <c r="W355" s="382" t="s">
        <v>763</v>
      </c>
      <c r="X355" s="382" t="s">
        <v>769</v>
      </c>
      <c r="Y355" s="383" t="s">
        <v>767</v>
      </c>
    </row>
    <row r="356" spans="1:25" ht="42.75" customHeight="1">
      <c r="A356" s="2230"/>
      <c r="B356" s="386">
        <f>'بند3-5و3-6مقاله علمی کامل وخلاص'!B138</f>
        <v>0</v>
      </c>
      <c r="C356" s="386">
        <f>'بند3-5و3-6مقاله علمی کامل وخلاص'!C138</f>
        <v>0</v>
      </c>
      <c r="D356" s="386">
        <f>'بند3-5و3-6مقاله علمی کامل وخلاص'!D138</f>
        <v>0</v>
      </c>
      <c r="E356" s="2218"/>
      <c r="F356" s="2219"/>
      <c r="G356" s="2220"/>
      <c r="H356" s="2182">
        <f>'بند3-5و3-6مقاله علمی کامل وخلاص'!I136</f>
        <v>0</v>
      </c>
      <c r="I356" s="2183"/>
      <c r="J356" s="2213"/>
      <c r="K356" s="2213"/>
      <c r="L356" s="2213"/>
      <c r="M356" s="2213"/>
      <c r="N356" s="2213"/>
      <c r="O356" s="2213"/>
      <c r="P356" s="2213"/>
      <c r="Q356" s="2216"/>
      <c r="R356" s="2217"/>
      <c r="S356" s="2183"/>
      <c r="T356" s="2183"/>
      <c r="U356" s="2183"/>
      <c r="V356" s="374">
        <f>'بند3-5و3-6مقاله علمی کامل وخلاص'!J140</f>
        <v>0</v>
      </c>
      <c r="W356" s="374">
        <f>'بند3-5و3-6مقاله علمی کامل وخلاص'!J140</f>
        <v>0</v>
      </c>
      <c r="X356" s="375">
        <f>'بند3-5و3-6مقاله علمی کامل وخلاص'!G140</f>
        <v>0</v>
      </c>
      <c r="Y356" s="385">
        <f ca="1">'بند3-5و3-6مقاله علمی کامل وخلاص'!R136</f>
        <v>0</v>
      </c>
    </row>
    <row r="357" spans="1:25" ht="42.75" customHeight="1">
      <c r="A357" s="2196">
        <f>'بند3-5و3-6مقاله علمی کامل وخلاص'!A141</f>
        <v>0</v>
      </c>
      <c r="B357" s="2341">
        <f>'بند3-5و3-6مقاله علمی کامل وخلاص'!B141</f>
        <v>0</v>
      </c>
      <c r="C357" s="2342"/>
      <c r="D357" s="2342"/>
      <c r="E357" s="2198">
        <f>'بند3-5و3-6مقاله علمی کامل وخلاص'!E141</f>
        <v>0</v>
      </c>
      <c r="F357" s="2199"/>
      <c r="G357" s="2200"/>
      <c r="H357" s="2202">
        <f>'بند3-5و3-6مقاله علمی کامل وخلاص'!H141</f>
        <v>0</v>
      </c>
      <c r="I357" s="2203"/>
      <c r="J357" s="2211">
        <f>'بند3-5و3-6مقاله علمی کامل وخلاص'!J141</f>
        <v>0</v>
      </c>
      <c r="K357" s="2212"/>
      <c r="L357" s="2212"/>
      <c r="M357" s="2212"/>
      <c r="N357" s="2212"/>
      <c r="O357" s="2212"/>
      <c r="P357" s="2212"/>
      <c r="Q357" s="2214">
        <f>'بند3-5و3-6مقاله علمی کامل وخلاص'!P141</f>
        <v>0</v>
      </c>
      <c r="R357" s="2215"/>
      <c r="S357" s="2202">
        <f>'بند3-5و3-6مقاله علمی کامل وخلاص'!M141</f>
        <v>0</v>
      </c>
      <c r="T357" s="2203"/>
      <c r="U357" s="2203"/>
      <c r="V357" s="382" t="s">
        <v>762</v>
      </c>
      <c r="W357" s="382" t="s">
        <v>763</v>
      </c>
      <c r="X357" s="382" t="s">
        <v>769</v>
      </c>
      <c r="Y357" s="383" t="s">
        <v>767</v>
      </c>
    </row>
    <row r="358" spans="1:25" ht="42.75" customHeight="1">
      <c r="A358" s="2230"/>
      <c r="B358" s="386">
        <f>'بند3-5و3-6مقاله علمی کامل وخلاص'!B143</f>
        <v>0</v>
      </c>
      <c r="C358" s="386">
        <f>'بند3-5و3-6مقاله علمی کامل وخلاص'!C143</f>
        <v>0</v>
      </c>
      <c r="D358" s="386">
        <f>'بند3-5و3-6مقاله علمی کامل وخلاص'!D143</f>
        <v>0</v>
      </c>
      <c r="E358" s="2218"/>
      <c r="F358" s="2219"/>
      <c r="G358" s="2220"/>
      <c r="H358" s="2182">
        <f>'بند3-5و3-6مقاله علمی کامل وخلاص'!I141</f>
        <v>0</v>
      </c>
      <c r="I358" s="2183"/>
      <c r="J358" s="2213"/>
      <c r="K358" s="2213"/>
      <c r="L358" s="2213"/>
      <c r="M358" s="2213"/>
      <c r="N358" s="2213"/>
      <c r="O358" s="2213"/>
      <c r="P358" s="2213"/>
      <c r="Q358" s="2216"/>
      <c r="R358" s="2217"/>
      <c r="S358" s="2183"/>
      <c r="T358" s="2183"/>
      <c r="U358" s="2183"/>
      <c r="V358" s="374">
        <f>'بند3-5و3-6مقاله علمی کامل وخلاص'!J145</f>
        <v>0</v>
      </c>
      <c r="W358" s="374">
        <f>'بند3-5و3-6مقاله علمی کامل وخلاص'!J145</f>
        <v>0</v>
      </c>
      <c r="X358" s="375">
        <f>'بند3-5و3-6مقاله علمی کامل وخلاص'!G145</f>
        <v>0</v>
      </c>
      <c r="Y358" s="385">
        <f ca="1">'بند3-5و3-6مقاله علمی کامل وخلاص'!R141</f>
        <v>0</v>
      </c>
    </row>
    <row r="359" spans="1:25" ht="42.75" customHeight="1">
      <c r="A359" s="2196">
        <f>'بند3-5و3-6مقاله علمی کامل وخلاص'!A146</f>
        <v>0</v>
      </c>
      <c r="B359" s="2341">
        <f>'بند3-5و3-6مقاله علمی کامل وخلاص'!B146</f>
        <v>0</v>
      </c>
      <c r="C359" s="2342"/>
      <c r="D359" s="2342"/>
      <c r="E359" s="2198">
        <f>'بند3-5و3-6مقاله علمی کامل وخلاص'!E146</f>
        <v>0</v>
      </c>
      <c r="F359" s="2199"/>
      <c r="G359" s="2200"/>
      <c r="H359" s="2202">
        <f>'بند3-5و3-6مقاله علمی کامل وخلاص'!H146</f>
        <v>0</v>
      </c>
      <c r="I359" s="2203"/>
      <c r="J359" s="2211">
        <f>'بند3-5و3-6مقاله علمی کامل وخلاص'!J146</f>
        <v>0</v>
      </c>
      <c r="K359" s="2212"/>
      <c r="L359" s="2212"/>
      <c r="M359" s="2212"/>
      <c r="N359" s="2212"/>
      <c r="O359" s="2212"/>
      <c r="P359" s="2212"/>
      <c r="Q359" s="2214">
        <f>'بند3-5و3-6مقاله علمی کامل وخلاص'!P146</f>
        <v>0</v>
      </c>
      <c r="R359" s="2215"/>
      <c r="S359" s="2202">
        <f>'بند3-5و3-6مقاله علمی کامل وخلاص'!M146</f>
        <v>0</v>
      </c>
      <c r="T359" s="2203"/>
      <c r="U359" s="2203"/>
      <c r="V359" s="382" t="s">
        <v>762</v>
      </c>
      <c r="W359" s="382" t="s">
        <v>763</v>
      </c>
      <c r="X359" s="382" t="s">
        <v>769</v>
      </c>
      <c r="Y359" s="383" t="s">
        <v>767</v>
      </c>
    </row>
    <row r="360" spans="1:25" ht="42.75" customHeight="1">
      <c r="A360" s="2230"/>
      <c r="B360" s="386">
        <f>'بند3-5و3-6مقاله علمی کامل وخلاص'!B148</f>
        <v>0</v>
      </c>
      <c r="C360" s="386">
        <f>'بند3-5و3-6مقاله علمی کامل وخلاص'!C148</f>
        <v>0</v>
      </c>
      <c r="D360" s="386">
        <f>'بند3-5و3-6مقاله علمی کامل وخلاص'!D148</f>
        <v>0</v>
      </c>
      <c r="E360" s="2218"/>
      <c r="F360" s="2219"/>
      <c r="G360" s="2220"/>
      <c r="H360" s="2182">
        <f>'بند3-5و3-6مقاله علمی کامل وخلاص'!I146</f>
        <v>0</v>
      </c>
      <c r="I360" s="2183"/>
      <c r="J360" s="2213"/>
      <c r="K360" s="2213"/>
      <c r="L360" s="2213"/>
      <c r="M360" s="2213"/>
      <c r="N360" s="2213"/>
      <c r="O360" s="2213"/>
      <c r="P360" s="2213"/>
      <c r="Q360" s="2216"/>
      <c r="R360" s="2217"/>
      <c r="S360" s="2183"/>
      <c r="T360" s="2183"/>
      <c r="U360" s="2183"/>
      <c r="V360" s="374">
        <f>'بند3-5و3-6مقاله علمی کامل وخلاص'!J150</f>
        <v>0</v>
      </c>
      <c r="W360" s="374">
        <f>'بند3-5و3-6مقاله علمی کامل وخلاص'!J150</f>
        <v>0</v>
      </c>
      <c r="X360" s="375">
        <f>'بند3-5و3-6مقاله علمی کامل وخلاص'!G150</f>
        <v>0</v>
      </c>
      <c r="Y360" s="385">
        <f ca="1">'بند3-5و3-6مقاله علمی کامل وخلاص'!R146</f>
        <v>0</v>
      </c>
    </row>
    <row r="361" spans="1:25" ht="42.75" customHeight="1">
      <c r="A361" s="2196">
        <f>'بند3-5و3-6مقاله علمی کامل وخلاص'!A151</f>
        <v>0</v>
      </c>
      <c r="B361" s="2341">
        <f>'بند3-5و3-6مقاله علمی کامل وخلاص'!B151</f>
        <v>0</v>
      </c>
      <c r="C361" s="2342"/>
      <c r="D361" s="2342"/>
      <c r="E361" s="2198">
        <f>'بند3-5و3-6مقاله علمی کامل وخلاص'!E151</f>
        <v>0</v>
      </c>
      <c r="F361" s="2199"/>
      <c r="G361" s="2200"/>
      <c r="H361" s="2202">
        <f>'بند3-5و3-6مقاله علمی کامل وخلاص'!H151</f>
        <v>0</v>
      </c>
      <c r="I361" s="2203"/>
      <c r="J361" s="2211">
        <f>'بند3-5و3-6مقاله علمی کامل وخلاص'!J151</f>
        <v>0</v>
      </c>
      <c r="K361" s="2212"/>
      <c r="L361" s="2212"/>
      <c r="M361" s="2212"/>
      <c r="N361" s="2212"/>
      <c r="O361" s="2212"/>
      <c r="P361" s="2212"/>
      <c r="Q361" s="2214">
        <f>'بند3-5و3-6مقاله علمی کامل وخلاص'!P151</f>
        <v>0</v>
      </c>
      <c r="R361" s="2215"/>
      <c r="S361" s="2202">
        <f>'بند3-5و3-6مقاله علمی کامل وخلاص'!M151</f>
        <v>0</v>
      </c>
      <c r="T361" s="2203"/>
      <c r="U361" s="2203"/>
      <c r="V361" s="382" t="s">
        <v>762</v>
      </c>
      <c r="W361" s="382" t="s">
        <v>763</v>
      </c>
      <c r="X361" s="382" t="s">
        <v>769</v>
      </c>
      <c r="Y361" s="383" t="s">
        <v>767</v>
      </c>
    </row>
    <row r="362" spans="1:25" ht="42.75" customHeight="1">
      <c r="A362" s="2230"/>
      <c r="B362" s="386">
        <f>'بند3-5و3-6مقاله علمی کامل وخلاص'!B153</f>
        <v>0</v>
      </c>
      <c r="C362" s="386">
        <f>'بند3-5و3-6مقاله علمی کامل وخلاص'!C153</f>
        <v>0</v>
      </c>
      <c r="D362" s="386">
        <f>'بند3-5و3-6مقاله علمی کامل وخلاص'!D153</f>
        <v>0</v>
      </c>
      <c r="E362" s="2218"/>
      <c r="F362" s="2219"/>
      <c r="G362" s="2220"/>
      <c r="H362" s="2182">
        <f>'بند3-5و3-6مقاله علمی کامل وخلاص'!I151</f>
        <v>0</v>
      </c>
      <c r="I362" s="2183"/>
      <c r="J362" s="2213"/>
      <c r="K362" s="2213"/>
      <c r="L362" s="2213"/>
      <c r="M362" s="2213"/>
      <c r="N362" s="2213"/>
      <c r="O362" s="2213"/>
      <c r="P362" s="2213"/>
      <c r="Q362" s="2216"/>
      <c r="R362" s="2217"/>
      <c r="S362" s="2183"/>
      <c r="T362" s="2183"/>
      <c r="U362" s="2183"/>
      <c r="V362" s="374">
        <f>'بند3-5و3-6مقاله علمی کامل وخلاص'!J155</f>
        <v>0</v>
      </c>
      <c r="W362" s="374">
        <f>'بند3-5و3-6مقاله علمی کامل وخلاص'!J155</f>
        <v>0</v>
      </c>
      <c r="X362" s="375">
        <f>'بند3-5و3-6مقاله علمی کامل وخلاص'!G155</f>
        <v>0</v>
      </c>
      <c r="Y362" s="385">
        <f ca="1">'بند3-5و3-6مقاله علمی کامل وخلاص'!R151</f>
        <v>0</v>
      </c>
    </row>
    <row r="363" spans="1:25" ht="42.75" customHeight="1">
      <c r="A363" s="2196">
        <f>'بند3-5و3-6مقاله علمی کامل وخلاص'!A156</f>
        <v>0</v>
      </c>
      <c r="B363" s="2341">
        <f>'بند3-5و3-6مقاله علمی کامل وخلاص'!B156</f>
        <v>0</v>
      </c>
      <c r="C363" s="2342"/>
      <c r="D363" s="2342"/>
      <c r="E363" s="2198">
        <f>'بند3-5و3-6مقاله علمی کامل وخلاص'!E156</f>
        <v>0</v>
      </c>
      <c r="F363" s="2199"/>
      <c r="G363" s="2200"/>
      <c r="H363" s="2202">
        <f>'بند3-5و3-6مقاله علمی کامل وخلاص'!H156</f>
        <v>0</v>
      </c>
      <c r="I363" s="2203"/>
      <c r="J363" s="2211">
        <f>'بند3-5و3-6مقاله علمی کامل وخلاص'!J156</f>
        <v>0</v>
      </c>
      <c r="K363" s="2212"/>
      <c r="L363" s="2212"/>
      <c r="M363" s="2212"/>
      <c r="N363" s="2212"/>
      <c r="O363" s="2212"/>
      <c r="P363" s="2212"/>
      <c r="Q363" s="2214">
        <f>'بند3-5و3-6مقاله علمی کامل وخلاص'!P156</f>
        <v>0</v>
      </c>
      <c r="R363" s="2215"/>
      <c r="S363" s="2202">
        <f>'بند3-5و3-6مقاله علمی کامل وخلاص'!M156</f>
        <v>0</v>
      </c>
      <c r="T363" s="2203"/>
      <c r="U363" s="2203"/>
      <c r="V363" s="382" t="s">
        <v>762</v>
      </c>
      <c r="W363" s="382" t="s">
        <v>763</v>
      </c>
      <c r="X363" s="382" t="s">
        <v>769</v>
      </c>
      <c r="Y363" s="383" t="s">
        <v>767</v>
      </c>
    </row>
    <row r="364" spans="1:25" ht="42.75" customHeight="1">
      <c r="A364" s="2230"/>
      <c r="B364" s="386">
        <f>'بند3-5و3-6مقاله علمی کامل وخلاص'!B158</f>
        <v>0</v>
      </c>
      <c r="C364" s="386">
        <f>'بند3-5و3-6مقاله علمی کامل وخلاص'!C158</f>
        <v>0</v>
      </c>
      <c r="D364" s="386">
        <f>'بند3-5و3-6مقاله علمی کامل وخلاص'!D158</f>
        <v>0</v>
      </c>
      <c r="E364" s="2218"/>
      <c r="F364" s="2219"/>
      <c r="G364" s="2220"/>
      <c r="H364" s="2182">
        <f>'بند3-5و3-6مقاله علمی کامل وخلاص'!I156</f>
        <v>0</v>
      </c>
      <c r="I364" s="2183"/>
      <c r="J364" s="2213"/>
      <c r="K364" s="2213"/>
      <c r="L364" s="2213"/>
      <c r="M364" s="2213"/>
      <c r="N364" s="2213"/>
      <c r="O364" s="2213"/>
      <c r="P364" s="2213"/>
      <c r="Q364" s="2216"/>
      <c r="R364" s="2217"/>
      <c r="S364" s="2183"/>
      <c r="T364" s="2183"/>
      <c r="U364" s="2183"/>
      <c r="V364" s="374">
        <f>'بند3-5و3-6مقاله علمی کامل وخلاص'!J160</f>
        <v>0</v>
      </c>
      <c r="W364" s="374">
        <f>'بند3-5و3-6مقاله علمی کامل وخلاص'!J160</f>
        <v>0</v>
      </c>
      <c r="X364" s="375">
        <f>'بند3-5و3-6مقاله علمی کامل وخلاص'!G160</f>
        <v>0</v>
      </c>
      <c r="Y364" s="385">
        <f ca="1">'بند3-5و3-6مقاله علمی کامل وخلاص'!R156</f>
        <v>0</v>
      </c>
    </row>
    <row r="365" spans="1:25" ht="42.75" customHeight="1">
      <c r="A365" s="2196">
        <f>'بند3-5و3-6مقاله علمی کامل وخلاص'!A161</f>
        <v>0</v>
      </c>
      <c r="B365" s="2341">
        <f>'بند3-5و3-6مقاله علمی کامل وخلاص'!B161</f>
        <v>0</v>
      </c>
      <c r="C365" s="2342"/>
      <c r="D365" s="2342"/>
      <c r="E365" s="2198">
        <f>'بند3-5و3-6مقاله علمی کامل وخلاص'!E161</f>
        <v>0</v>
      </c>
      <c r="F365" s="2199"/>
      <c r="G365" s="2200"/>
      <c r="H365" s="2202">
        <f>'بند3-5و3-6مقاله علمی کامل وخلاص'!H161</f>
        <v>0</v>
      </c>
      <c r="I365" s="2203"/>
      <c r="J365" s="2211">
        <f>'بند3-5و3-6مقاله علمی کامل وخلاص'!J161</f>
        <v>0</v>
      </c>
      <c r="K365" s="2212"/>
      <c r="L365" s="2212"/>
      <c r="M365" s="2212"/>
      <c r="N365" s="2212"/>
      <c r="O365" s="2212"/>
      <c r="P365" s="2212"/>
      <c r="Q365" s="2214">
        <f>'بند3-5و3-6مقاله علمی کامل وخلاص'!P161</f>
        <v>0</v>
      </c>
      <c r="R365" s="2215"/>
      <c r="S365" s="2202">
        <f>'بند3-5و3-6مقاله علمی کامل وخلاص'!M161</f>
        <v>0</v>
      </c>
      <c r="T365" s="2203"/>
      <c r="U365" s="2203"/>
      <c r="V365" s="382" t="s">
        <v>762</v>
      </c>
      <c r="W365" s="382" t="s">
        <v>763</v>
      </c>
      <c r="X365" s="382" t="s">
        <v>769</v>
      </c>
      <c r="Y365" s="383" t="s">
        <v>767</v>
      </c>
    </row>
    <row r="366" spans="1:25" ht="42.75" customHeight="1">
      <c r="A366" s="2230"/>
      <c r="B366" s="386">
        <f>'بند3-5و3-6مقاله علمی کامل وخلاص'!B163</f>
        <v>0</v>
      </c>
      <c r="C366" s="386">
        <f>'بند3-5و3-6مقاله علمی کامل وخلاص'!C163</f>
        <v>0</v>
      </c>
      <c r="D366" s="386">
        <f>'بند3-5و3-6مقاله علمی کامل وخلاص'!D163</f>
        <v>0</v>
      </c>
      <c r="E366" s="2218"/>
      <c r="F366" s="2219"/>
      <c r="G366" s="2220"/>
      <c r="H366" s="2182">
        <f>'بند3-5و3-6مقاله علمی کامل وخلاص'!I161</f>
        <v>0</v>
      </c>
      <c r="I366" s="2183"/>
      <c r="J366" s="2213"/>
      <c r="K366" s="2213"/>
      <c r="L366" s="2213"/>
      <c r="M366" s="2213"/>
      <c r="N366" s="2213"/>
      <c r="O366" s="2213"/>
      <c r="P366" s="2213"/>
      <c r="Q366" s="2216"/>
      <c r="R366" s="2217"/>
      <c r="S366" s="2183"/>
      <c r="T366" s="2183"/>
      <c r="U366" s="2183"/>
      <c r="V366" s="374">
        <f>'بند3-5و3-6مقاله علمی کامل وخلاص'!J165</f>
        <v>0</v>
      </c>
      <c r="W366" s="374">
        <f>'بند3-5و3-6مقاله علمی کامل وخلاص'!J165</f>
        <v>0</v>
      </c>
      <c r="X366" s="375">
        <f>'بند3-5و3-6مقاله علمی کامل وخلاص'!G165</f>
        <v>0</v>
      </c>
      <c r="Y366" s="385">
        <f ca="1">'بند3-5و3-6مقاله علمی کامل وخلاص'!R161</f>
        <v>0</v>
      </c>
    </row>
    <row r="367" spans="1:25" ht="42.75" customHeight="1">
      <c r="A367" s="2196">
        <f>'بند3-5و3-6مقاله علمی کامل وخلاص'!A166</f>
        <v>0</v>
      </c>
      <c r="B367" s="2341">
        <f>'بند3-5و3-6مقاله علمی کامل وخلاص'!B166</f>
        <v>0</v>
      </c>
      <c r="C367" s="2342"/>
      <c r="D367" s="2342"/>
      <c r="E367" s="2198">
        <f>'بند3-5و3-6مقاله علمی کامل وخلاص'!E166</f>
        <v>0</v>
      </c>
      <c r="F367" s="2199"/>
      <c r="G367" s="2200"/>
      <c r="H367" s="2202">
        <f>'بند3-5و3-6مقاله علمی کامل وخلاص'!H166</f>
        <v>0</v>
      </c>
      <c r="I367" s="2203"/>
      <c r="J367" s="2211">
        <f>'بند3-5و3-6مقاله علمی کامل وخلاص'!J166</f>
        <v>0</v>
      </c>
      <c r="K367" s="2212"/>
      <c r="L367" s="2212"/>
      <c r="M367" s="2212"/>
      <c r="N367" s="2212"/>
      <c r="O367" s="2212"/>
      <c r="P367" s="2212"/>
      <c r="Q367" s="2214">
        <f>'بند3-5و3-6مقاله علمی کامل وخلاص'!P166</f>
        <v>0</v>
      </c>
      <c r="R367" s="2215"/>
      <c r="S367" s="2202">
        <f>'بند3-5و3-6مقاله علمی کامل وخلاص'!M166</f>
        <v>0</v>
      </c>
      <c r="T367" s="2203"/>
      <c r="U367" s="2203"/>
      <c r="V367" s="382" t="s">
        <v>762</v>
      </c>
      <c r="W367" s="382" t="s">
        <v>763</v>
      </c>
      <c r="X367" s="382" t="s">
        <v>769</v>
      </c>
      <c r="Y367" s="383" t="s">
        <v>767</v>
      </c>
    </row>
    <row r="368" spans="1:25" ht="42.75" customHeight="1">
      <c r="A368" s="2230"/>
      <c r="B368" s="386">
        <f>'بند3-5و3-6مقاله علمی کامل وخلاص'!B168</f>
        <v>0</v>
      </c>
      <c r="C368" s="386">
        <f>'بند3-5و3-6مقاله علمی کامل وخلاص'!C168</f>
        <v>0</v>
      </c>
      <c r="D368" s="386">
        <f>'بند3-5و3-6مقاله علمی کامل وخلاص'!D168</f>
        <v>0</v>
      </c>
      <c r="E368" s="2218"/>
      <c r="F368" s="2219"/>
      <c r="G368" s="2220"/>
      <c r="H368" s="2182">
        <f>'بند3-5و3-6مقاله علمی کامل وخلاص'!I166</f>
        <v>0</v>
      </c>
      <c r="I368" s="2183"/>
      <c r="J368" s="2213"/>
      <c r="K368" s="2213"/>
      <c r="L368" s="2213"/>
      <c r="M368" s="2213"/>
      <c r="N368" s="2213"/>
      <c r="O368" s="2213"/>
      <c r="P368" s="2213"/>
      <c r="Q368" s="2216"/>
      <c r="R368" s="2217"/>
      <c r="S368" s="2183"/>
      <c r="T368" s="2183"/>
      <c r="U368" s="2183"/>
      <c r="V368" s="374">
        <f>'بند3-5و3-6مقاله علمی کامل وخلاص'!J170</f>
        <v>0</v>
      </c>
      <c r="W368" s="374">
        <f>'بند3-5و3-6مقاله علمی کامل وخلاص'!J170</f>
        <v>0</v>
      </c>
      <c r="X368" s="375">
        <f>'بند3-5و3-6مقاله علمی کامل وخلاص'!G170</f>
        <v>0</v>
      </c>
      <c r="Y368" s="385">
        <f ca="1">'بند3-5و3-6مقاله علمی کامل وخلاص'!R166</f>
        <v>0</v>
      </c>
    </row>
    <row r="369" spans="1:25" ht="42.75" customHeight="1">
      <c r="A369" s="2196">
        <f>'بند3-5و3-6مقاله علمی کامل وخلاص'!A171</f>
        <v>0</v>
      </c>
      <c r="B369" s="2341">
        <f>'بند3-5و3-6مقاله علمی کامل وخلاص'!B171</f>
        <v>0</v>
      </c>
      <c r="C369" s="2342"/>
      <c r="D369" s="2342"/>
      <c r="E369" s="2198">
        <f>'بند3-5و3-6مقاله علمی کامل وخلاص'!E171</f>
        <v>0</v>
      </c>
      <c r="F369" s="2199"/>
      <c r="G369" s="2200"/>
      <c r="H369" s="2202">
        <f>'بند3-5و3-6مقاله علمی کامل وخلاص'!H171</f>
        <v>0</v>
      </c>
      <c r="I369" s="2203"/>
      <c r="J369" s="2211">
        <f>'بند3-5و3-6مقاله علمی کامل وخلاص'!J171</f>
        <v>0</v>
      </c>
      <c r="K369" s="2212"/>
      <c r="L369" s="2212"/>
      <c r="M369" s="2212"/>
      <c r="N369" s="2212"/>
      <c r="O369" s="2212"/>
      <c r="P369" s="2212"/>
      <c r="Q369" s="2214">
        <f>'بند3-5و3-6مقاله علمی کامل وخلاص'!P171</f>
        <v>0</v>
      </c>
      <c r="R369" s="2215"/>
      <c r="S369" s="2202">
        <f>'بند3-5و3-6مقاله علمی کامل وخلاص'!M171</f>
        <v>0</v>
      </c>
      <c r="T369" s="2203"/>
      <c r="U369" s="2203"/>
      <c r="V369" s="382" t="s">
        <v>762</v>
      </c>
      <c r="W369" s="382" t="s">
        <v>763</v>
      </c>
      <c r="X369" s="382" t="s">
        <v>769</v>
      </c>
      <c r="Y369" s="383" t="s">
        <v>767</v>
      </c>
    </row>
    <row r="370" spans="1:25" ht="42.75" customHeight="1">
      <c r="A370" s="2230"/>
      <c r="B370" s="386">
        <f>'بند3-5و3-6مقاله علمی کامل وخلاص'!B173</f>
        <v>0</v>
      </c>
      <c r="C370" s="386">
        <f>'بند3-5و3-6مقاله علمی کامل وخلاص'!C173</f>
        <v>0</v>
      </c>
      <c r="D370" s="386">
        <f>'بند3-5و3-6مقاله علمی کامل وخلاص'!D173</f>
        <v>0</v>
      </c>
      <c r="E370" s="2218"/>
      <c r="F370" s="2219"/>
      <c r="G370" s="2220"/>
      <c r="H370" s="2182">
        <f>'بند3-5و3-6مقاله علمی کامل وخلاص'!I171</f>
        <v>0</v>
      </c>
      <c r="I370" s="2183"/>
      <c r="J370" s="2213"/>
      <c r="K370" s="2213"/>
      <c r="L370" s="2213"/>
      <c r="M370" s="2213"/>
      <c r="N370" s="2213"/>
      <c r="O370" s="2213"/>
      <c r="P370" s="2213"/>
      <c r="Q370" s="2216"/>
      <c r="R370" s="2217"/>
      <c r="S370" s="2183"/>
      <c r="T370" s="2183"/>
      <c r="U370" s="2183"/>
      <c r="V370" s="374">
        <f>'بند3-5و3-6مقاله علمی کامل وخلاص'!J175</f>
        <v>0</v>
      </c>
      <c r="W370" s="374">
        <f>'بند3-5و3-6مقاله علمی کامل وخلاص'!J175</f>
        <v>0</v>
      </c>
      <c r="X370" s="375">
        <f>'بند3-5و3-6مقاله علمی کامل وخلاص'!G175</f>
        <v>0</v>
      </c>
      <c r="Y370" s="385">
        <f ca="1">'بند3-5و3-6مقاله علمی کامل وخلاص'!R171</f>
        <v>0</v>
      </c>
    </row>
    <row r="371" spans="1:25" ht="42.75" customHeight="1">
      <c r="A371" s="2196">
        <f>'بند3-5و3-6مقاله علمی کامل وخلاص'!A176</f>
        <v>0</v>
      </c>
      <c r="B371" s="2341">
        <f>'بند3-5و3-6مقاله علمی کامل وخلاص'!B176</f>
        <v>0</v>
      </c>
      <c r="C371" s="2342"/>
      <c r="D371" s="2342"/>
      <c r="E371" s="2198">
        <f>'بند3-5و3-6مقاله علمی کامل وخلاص'!E176</f>
        <v>0</v>
      </c>
      <c r="F371" s="2199"/>
      <c r="G371" s="2200"/>
      <c r="H371" s="2202">
        <f>'بند3-5و3-6مقاله علمی کامل وخلاص'!H176</f>
        <v>0</v>
      </c>
      <c r="I371" s="2203"/>
      <c r="J371" s="2211">
        <f>'بند3-5و3-6مقاله علمی کامل وخلاص'!J176</f>
        <v>0</v>
      </c>
      <c r="K371" s="2212"/>
      <c r="L371" s="2212"/>
      <c r="M371" s="2212"/>
      <c r="N371" s="2212"/>
      <c r="O371" s="2212"/>
      <c r="P371" s="2212"/>
      <c r="Q371" s="2214">
        <f>'بند3-5و3-6مقاله علمی کامل وخلاص'!P176</f>
        <v>0</v>
      </c>
      <c r="R371" s="2215"/>
      <c r="S371" s="2202">
        <f>'بند3-5و3-6مقاله علمی کامل وخلاص'!M176</f>
        <v>0</v>
      </c>
      <c r="T371" s="2203"/>
      <c r="U371" s="2203"/>
      <c r="V371" s="382" t="s">
        <v>762</v>
      </c>
      <c r="W371" s="382" t="s">
        <v>763</v>
      </c>
      <c r="X371" s="382" t="s">
        <v>769</v>
      </c>
      <c r="Y371" s="383" t="s">
        <v>767</v>
      </c>
    </row>
    <row r="372" spans="1:25" ht="42.75" customHeight="1">
      <c r="A372" s="2230"/>
      <c r="B372" s="386">
        <f>'بند3-5و3-6مقاله علمی کامل وخلاص'!B178</f>
        <v>0</v>
      </c>
      <c r="C372" s="386">
        <f>'بند3-5و3-6مقاله علمی کامل وخلاص'!C178</f>
        <v>0</v>
      </c>
      <c r="D372" s="386">
        <f>'بند3-5و3-6مقاله علمی کامل وخلاص'!D178</f>
        <v>0</v>
      </c>
      <c r="E372" s="2218"/>
      <c r="F372" s="2219"/>
      <c r="G372" s="2220"/>
      <c r="H372" s="2182">
        <f>'بند3-5و3-6مقاله علمی کامل وخلاص'!I176</f>
        <v>0</v>
      </c>
      <c r="I372" s="2183"/>
      <c r="J372" s="2213"/>
      <c r="K372" s="2213"/>
      <c r="L372" s="2213"/>
      <c r="M372" s="2213"/>
      <c r="N372" s="2213"/>
      <c r="O372" s="2213"/>
      <c r="P372" s="2213"/>
      <c r="Q372" s="2216"/>
      <c r="R372" s="2217"/>
      <c r="S372" s="2183"/>
      <c r="T372" s="2183"/>
      <c r="U372" s="2183"/>
      <c r="V372" s="374">
        <f>'بند3-5و3-6مقاله علمی کامل وخلاص'!J180</f>
        <v>0</v>
      </c>
      <c r="W372" s="374">
        <f>'بند3-5و3-6مقاله علمی کامل وخلاص'!J180</f>
        <v>0</v>
      </c>
      <c r="X372" s="375">
        <f>'بند3-5و3-6مقاله علمی کامل وخلاص'!G180</f>
        <v>0</v>
      </c>
      <c r="Y372" s="385">
        <f ca="1">'بند3-5و3-6مقاله علمی کامل وخلاص'!R176</f>
        <v>0</v>
      </c>
    </row>
    <row r="373" spans="1:25" ht="42.75" customHeight="1">
      <c r="A373" s="2196">
        <f>'بند3-5و3-6مقاله علمی کامل وخلاص'!A181</f>
        <v>0</v>
      </c>
      <c r="B373" s="2341">
        <f>'بند3-5و3-6مقاله علمی کامل وخلاص'!B181</f>
        <v>0</v>
      </c>
      <c r="C373" s="2342"/>
      <c r="D373" s="2342"/>
      <c r="E373" s="2198">
        <f>'بند3-5و3-6مقاله علمی کامل وخلاص'!E181</f>
        <v>0</v>
      </c>
      <c r="F373" s="2199"/>
      <c r="G373" s="2200"/>
      <c r="H373" s="2202">
        <f>'بند3-5و3-6مقاله علمی کامل وخلاص'!H181</f>
        <v>0</v>
      </c>
      <c r="I373" s="2203"/>
      <c r="J373" s="2211">
        <f>'بند3-5و3-6مقاله علمی کامل وخلاص'!J181</f>
        <v>0</v>
      </c>
      <c r="K373" s="2212"/>
      <c r="L373" s="2212"/>
      <c r="M373" s="2212"/>
      <c r="N373" s="2212"/>
      <c r="O373" s="2212"/>
      <c r="P373" s="2212"/>
      <c r="Q373" s="2214">
        <f>'بند3-5و3-6مقاله علمی کامل وخلاص'!P181</f>
        <v>0</v>
      </c>
      <c r="R373" s="2215"/>
      <c r="S373" s="2202">
        <f>'بند3-5و3-6مقاله علمی کامل وخلاص'!M181</f>
        <v>0</v>
      </c>
      <c r="T373" s="2203"/>
      <c r="U373" s="2203"/>
      <c r="V373" s="382" t="s">
        <v>762</v>
      </c>
      <c r="W373" s="382" t="s">
        <v>763</v>
      </c>
      <c r="X373" s="382" t="s">
        <v>769</v>
      </c>
      <c r="Y373" s="383" t="s">
        <v>767</v>
      </c>
    </row>
    <row r="374" spans="1:25" ht="42.75" customHeight="1">
      <c r="A374" s="2230"/>
      <c r="B374" s="386">
        <f>'بند3-5و3-6مقاله علمی کامل وخلاص'!B183</f>
        <v>0</v>
      </c>
      <c r="C374" s="386">
        <f>'بند3-5و3-6مقاله علمی کامل وخلاص'!C183</f>
        <v>0</v>
      </c>
      <c r="D374" s="386">
        <f>'بند3-5و3-6مقاله علمی کامل وخلاص'!D183</f>
        <v>0</v>
      </c>
      <c r="E374" s="2218"/>
      <c r="F374" s="2219"/>
      <c r="G374" s="2220"/>
      <c r="H374" s="2182">
        <f>'بند3-5و3-6مقاله علمی کامل وخلاص'!I181</f>
        <v>0</v>
      </c>
      <c r="I374" s="2183"/>
      <c r="J374" s="2213"/>
      <c r="K374" s="2213"/>
      <c r="L374" s="2213"/>
      <c r="M374" s="2213"/>
      <c r="N374" s="2213"/>
      <c r="O374" s="2213"/>
      <c r="P374" s="2213"/>
      <c r="Q374" s="2216"/>
      <c r="R374" s="2217"/>
      <c r="S374" s="2183"/>
      <c r="T374" s="2183"/>
      <c r="U374" s="2183"/>
      <c r="V374" s="374">
        <f>'بند3-5و3-6مقاله علمی کامل وخلاص'!J185</f>
        <v>0</v>
      </c>
      <c r="W374" s="374">
        <f>'بند3-5و3-6مقاله علمی کامل وخلاص'!J185</f>
        <v>0</v>
      </c>
      <c r="X374" s="375">
        <f>'بند3-5و3-6مقاله علمی کامل وخلاص'!G185</f>
        <v>0</v>
      </c>
      <c r="Y374" s="385">
        <f ca="1">'بند3-5و3-6مقاله علمی کامل وخلاص'!R181</f>
        <v>0</v>
      </c>
    </row>
    <row r="375" spans="1:25" ht="42.75" customHeight="1">
      <c r="A375" s="2196">
        <f>'بند3-5و3-6مقاله علمی کامل وخلاص'!A186</f>
        <v>0</v>
      </c>
      <c r="B375" s="2341">
        <f>'بند3-5و3-6مقاله علمی کامل وخلاص'!B186</f>
        <v>0</v>
      </c>
      <c r="C375" s="2342"/>
      <c r="D375" s="2342"/>
      <c r="E375" s="2198">
        <f>'بند3-5و3-6مقاله علمی کامل وخلاص'!E186</f>
        <v>0</v>
      </c>
      <c r="F375" s="2199"/>
      <c r="G375" s="2200"/>
      <c r="H375" s="2202">
        <f>'بند3-5و3-6مقاله علمی کامل وخلاص'!H186</f>
        <v>0</v>
      </c>
      <c r="I375" s="2203"/>
      <c r="J375" s="2211">
        <f>'بند3-5و3-6مقاله علمی کامل وخلاص'!J186</f>
        <v>0</v>
      </c>
      <c r="K375" s="2212"/>
      <c r="L375" s="2212"/>
      <c r="M375" s="2212"/>
      <c r="N375" s="2212"/>
      <c r="O375" s="2212"/>
      <c r="P375" s="2212"/>
      <c r="Q375" s="2214">
        <f>'بند3-5و3-6مقاله علمی کامل وخلاص'!P186</f>
        <v>0</v>
      </c>
      <c r="R375" s="2215"/>
      <c r="S375" s="2202">
        <f>'بند3-5و3-6مقاله علمی کامل وخلاص'!M186</f>
        <v>0</v>
      </c>
      <c r="T375" s="2203"/>
      <c r="U375" s="2203"/>
      <c r="V375" s="382" t="s">
        <v>762</v>
      </c>
      <c r="W375" s="382" t="s">
        <v>763</v>
      </c>
      <c r="X375" s="382" t="s">
        <v>769</v>
      </c>
      <c r="Y375" s="383" t="s">
        <v>767</v>
      </c>
    </row>
    <row r="376" spans="1:25" ht="42.75" customHeight="1">
      <c r="A376" s="2230"/>
      <c r="B376" s="386">
        <f>'بند3-5و3-6مقاله علمی کامل وخلاص'!B188</f>
        <v>0</v>
      </c>
      <c r="C376" s="386">
        <f>'بند3-5و3-6مقاله علمی کامل وخلاص'!C188</f>
        <v>0</v>
      </c>
      <c r="D376" s="386">
        <f>'بند3-5و3-6مقاله علمی کامل وخلاص'!D188</f>
        <v>0</v>
      </c>
      <c r="E376" s="2218"/>
      <c r="F376" s="2219"/>
      <c r="G376" s="2220"/>
      <c r="H376" s="2182">
        <f>'بند3-5و3-6مقاله علمی کامل وخلاص'!I186</f>
        <v>0</v>
      </c>
      <c r="I376" s="2183"/>
      <c r="J376" s="2213"/>
      <c r="K376" s="2213"/>
      <c r="L376" s="2213"/>
      <c r="M376" s="2213"/>
      <c r="N376" s="2213"/>
      <c r="O376" s="2213"/>
      <c r="P376" s="2213"/>
      <c r="Q376" s="2216"/>
      <c r="R376" s="2217"/>
      <c r="S376" s="2183"/>
      <c r="T376" s="2183"/>
      <c r="U376" s="2183"/>
      <c r="V376" s="374">
        <f>'بند3-5و3-6مقاله علمی کامل وخلاص'!J190</f>
        <v>0</v>
      </c>
      <c r="W376" s="374">
        <f>'بند3-5و3-6مقاله علمی کامل وخلاص'!J190</f>
        <v>0</v>
      </c>
      <c r="X376" s="375">
        <f>'بند3-5و3-6مقاله علمی کامل وخلاص'!G190</f>
        <v>0</v>
      </c>
      <c r="Y376" s="385">
        <f ca="1">'بند3-5و3-6مقاله علمی کامل وخلاص'!R186</f>
        <v>0</v>
      </c>
    </row>
    <row r="377" spans="1:25" ht="42.75" customHeight="1">
      <c r="A377" s="2196">
        <f>'بند3-5و3-6مقاله علمی کامل وخلاص'!A191</f>
        <v>0</v>
      </c>
      <c r="B377" s="2341">
        <f>'بند3-5و3-6مقاله علمی کامل وخلاص'!B191</f>
        <v>0</v>
      </c>
      <c r="C377" s="2342"/>
      <c r="D377" s="2342"/>
      <c r="E377" s="2198">
        <f>'بند3-5و3-6مقاله علمی کامل وخلاص'!E191</f>
        <v>0</v>
      </c>
      <c r="F377" s="2199"/>
      <c r="G377" s="2200"/>
      <c r="H377" s="2202">
        <f>'بند3-5و3-6مقاله علمی کامل وخلاص'!H191</f>
        <v>0</v>
      </c>
      <c r="I377" s="2203"/>
      <c r="J377" s="2211">
        <f>'بند3-5و3-6مقاله علمی کامل وخلاص'!J191</f>
        <v>0</v>
      </c>
      <c r="K377" s="2212"/>
      <c r="L377" s="2212"/>
      <c r="M377" s="2212"/>
      <c r="N377" s="2212"/>
      <c r="O377" s="2212"/>
      <c r="P377" s="2212"/>
      <c r="Q377" s="2214">
        <f>'بند3-5و3-6مقاله علمی کامل وخلاص'!P191</f>
        <v>0</v>
      </c>
      <c r="R377" s="2215"/>
      <c r="S377" s="2202">
        <f>'بند3-5و3-6مقاله علمی کامل وخلاص'!M191</f>
        <v>0</v>
      </c>
      <c r="T377" s="2203"/>
      <c r="U377" s="2203"/>
      <c r="V377" s="382" t="s">
        <v>762</v>
      </c>
      <c r="W377" s="382" t="s">
        <v>763</v>
      </c>
      <c r="X377" s="382" t="s">
        <v>769</v>
      </c>
      <c r="Y377" s="383" t="s">
        <v>767</v>
      </c>
    </row>
    <row r="378" spans="1:25" ht="42.75" customHeight="1">
      <c r="A378" s="2230"/>
      <c r="B378" s="386">
        <f>'بند3-5و3-6مقاله علمی کامل وخلاص'!B193</f>
        <v>0</v>
      </c>
      <c r="C378" s="386">
        <f>'بند3-5و3-6مقاله علمی کامل وخلاص'!C193</f>
        <v>0</v>
      </c>
      <c r="D378" s="386">
        <f>'بند3-5و3-6مقاله علمی کامل وخلاص'!D193</f>
        <v>0</v>
      </c>
      <c r="E378" s="2218"/>
      <c r="F378" s="2219"/>
      <c r="G378" s="2220"/>
      <c r="H378" s="2182">
        <f>'بند3-5و3-6مقاله علمی کامل وخلاص'!I191</f>
        <v>0</v>
      </c>
      <c r="I378" s="2183"/>
      <c r="J378" s="2213"/>
      <c r="K378" s="2213"/>
      <c r="L378" s="2213"/>
      <c r="M378" s="2213"/>
      <c r="N378" s="2213"/>
      <c r="O378" s="2213"/>
      <c r="P378" s="2213"/>
      <c r="Q378" s="2216"/>
      <c r="R378" s="2217"/>
      <c r="S378" s="2183"/>
      <c r="T378" s="2183"/>
      <c r="U378" s="2183"/>
      <c r="V378" s="374">
        <f>'بند3-5و3-6مقاله علمی کامل وخلاص'!J195</f>
        <v>0</v>
      </c>
      <c r="W378" s="374">
        <f>'بند3-5و3-6مقاله علمی کامل وخلاص'!J195</f>
        <v>0</v>
      </c>
      <c r="X378" s="375">
        <f>'بند3-5و3-6مقاله علمی کامل وخلاص'!G195</f>
        <v>0</v>
      </c>
      <c r="Y378" s="385">
        <f ca="1">'بند3-5و3-6مقاله علمی کامل وخلاص'!R191</f>
        <v>0</v>
      </c>
    </row>
    <row r="379" spans="1:25" ht="42.75" customHeight="1">
      <c r="A379" s="2196">
        <f>'بند3-5و3-6مقاله علمی کامل وخلاص'!A196</f>
        <v>0</v>
      </c>
      <c r="B379" s="2341">
        <f>'بند3-5و3-6مقاله علمی کامل وخلاص'!B196</f>
        <v>0</v>
      </c>
      <c r="C379" s="2342"/>
      <c r="D379" s="2342"/>
      <c r="E379" s="2198">
        <f>'بند3-5و3-6مقاله علمی کامل وخلاص'!E196</f>
        <v>0</v>
      </c>
      <c r="F379" s="2199"/>
      <c r="G379" s="2200"/>
      <c r="H379" s="2202">
        <f>'بند3-5و3-6مقاله علمی کامل وخلاص'!H196</f>
        <v>0</v>
      </c>
      <c r="I379" s="2203"/>
      <c r="J379" s="2211">
        <f>'بند3-5و3-6مقاله علمی کامل وخلاص'!J196</f>
        <v>0</v>
      </c>
      <c r="K379" s="2212"/>
      <c r="L379" s="2212"/>
      <c r="M379" s="2212"/>
      <c r="N379" s="2212"/>
      <c r="O379" s="2212"/>
      <c r="P379" s="2212"/>
      <c r="Q379" s="2214">
        <f>'بند3-5و3-6مقاله علمی کامل وخلاص'!P196</f>
        <v>0</v>
      </c>
      <c r="R379" s="2215"/>
      <c r="S379" s="2202">
        <f>'بند3-5و3-6مقاله علمی کامل وخلاص'!M196</f>
        <v>0</v>
      </c>
      <c r="T379" s="2203"/>
      <c r="U379" s="2203"/>
      <c r="V379" s="382" t="s">
        <v>762</v>
      </c>
      <c r="W379" s="382" t="s">
        <v>763</v>
      </c>
      <c r="X379" s="382" t="s">
        <v>769</v>
      </c>
      <c r="Y379" s="383" t="s">
        <v>767</v>
      </c>
    </row>
    <row r="380" spans="1:25" ht="42.75" customHeight="1">
      <c r="A380" s="2230"/>
      <c r="B380" s="386">
        <f>'بند3-5و3-6مقاله علمی کامل وخلاص'!B198</f>
        <v>0</v>
      </c>
      <c r="C380" s="386">
        <f>'بند3-5و3-6مقاله علمی کامل وخلاص'!C198</f>
        <v>0</v>
      </c>
      <c r="D380" s="386">
        <f>'بند3-5و3-6مقاله علمی کامل وخلاص'!D198</f>
        <v>0</v>
      </c>
      <c r="E380" s="2218"/>
      <c r="F380" s="2219"/>
      <c r="G380" s="2220"/>
      <c r="H380" s="2182">
        <f>'بند3-5و3-6مقاله علمی کامل وخلاص'!I196</f>
        <v>0</v>
      </c>
      <c r="I380" s="2183"/>
      <c r="J380" s="2213"/>
      <c r="K380" s="2213"/>
      <c r="L380" s="2213"/>
      <c r="M380" s="2213"/>
      <c r="N380" s="2213"/>
      <c r="O380" s="2213"/>
      <c r="P380" s="2213"/>
      <c r="Q380" s="2216"/>
      <c r="R380" s="2217"/>
      <c r="S380" s="2183"/>
      <c r="T380" s="2183"/>
      <c r="U380" s="2183"/>
      <c r="V380" s="374">
        <f>'بند3-5و3-6مقاله علمی کامل وخلاص'!J200</f>
        <v>0</v>
      </c>
      <c r="W380" s="374">
        <f>'بند3-5و3-6مقاله علمی کامل وخلاص'!J200</f>
        <v>0</v>
      </c>
      <c r="X380" s="375">
        <f>'بند3-5و3-6مقاله علمی کامل وخلاص'!G200</f>
        <v>0</v>
      </c>
      <c r="Y380" s="385">
        <f ca="1">'بند3-5و3-6مقاله علمی کامل وخلاص'!R196</f>
        <v>0</v>
      </c>
    </row>
    <row r="381" spans="1:25" ht="42.75" customHeight="1">
      <c r="A381" s="2196">
        <f>'بند3-5و3-6مقاله علمی کامل وخلاص'!A201</f>
        <v>0</v>
      </c>
      <c r="B381" s="2341">
        <f>'بند3-5و3-6مقاله علمی کامل وخلاص'!B201</f>
        <v>0</v>
      </c>
      <c r="C381" s="2342"/>
      <c r="D381" s="2342"/>
      <c r="E381" s="2198">
        <f>'بند3-5و3-6مقاله علمی کامل وخلاص'!E201</f>
        <v>0</v>
      </c>
      <c r="F381" s="2199"/>
      <c r="G381" s="2200"/>
      <c r="H381" s="2202">
        <f>'بند3-5و3-6مقاله علمی کامل وخلاص'!H201</f>
        <v>0</v>
      </c>
      <c r="I381" s="2203"/>
      <c r="J381" s="2211">
        <f>'بند3-5و3-6مقاله علمی کامل وخلاص'!J201</f>
        <v>0</v>
      </c>
      <c r="K381" s="2212"/>
      <c r="L381" s="2212"/>
      <c r="M381" s="2212"/>
      <c r="N381" s="2212"/>
      <c r="O381" s="2212"/>
      <c r="P381" s="2212"/>
      <c r="Q381" s="2214">
        <f>'بند3-5و3-6مقاله علمی کامل وخلاص'!P201</f>
        <v>0</v>
      </c>
      <c r="R381" s="2215"/>
      <c r="S381" s="2202">
        <f>'بند3-5و3-6مقاله علمی کامل وخلاص'!M201</f>
        <v>0</v>
      </c>
      <c r="T381" s="2203"/>
      <c r="U381" s="2203"/>
      <c r="V381" s="382" t="s">
        <v>762</v>
      </c>
      <c r="W381" s="382" t="s">
        <v>763</v>
      </c>
      <c r="X381" s="382" t="s">
        <v>769</v>
      </c>
      <c r="Y381" s="383" t="s">
        <v>767</v>
      </c>
    </row>
    <row r="382" spans="1:25" ht="42.75" customHeight="1">
      <c r="A382" s="2230"/>
      <c r="B382" s="386">
        <f>'بند3-5و3-6مقاله علمی کامل وخلاص'!B203</f>
        <v>0</v>
      </c>
      <c r="C382" s="386">
        <f>'بند3-5و3-6مقاله علمی کامل وخلاص'!C203</f>
        <v>0</v>
      </c>
      <c r="D382" s="386">
        <f>'بند3-5و3-6مقاله علمی کامل وخلاص'!D203</f>
        <v>0</v>
      </c>
      <c r="E382" s="2218"/>
      <c r="F382" s="2219"/>
      <c r="G382" s="2220"/>
      <c r="H382" s="2182">
        <f>'بند3-5و3-6مقاله علمی کامل وخلاص'!I201</f>
        <v>0</v>
      </c>
      <c r="I382" s="2183"/>
      <c r="J382" s="2213"/>
      <c r="K382" s="2213"/>
      <c r="L382" s="2213"/>
      <c r="M382" s="2213"/>
      <c r="N382" s="2213"/>
      <c r="O382" s="2213"/>
      <c r="P382" s="2213"/>
      <c r="Q382" s="2216"/>
      <c r="R382" s="2217"/>
      <c r="S382" s="2183"/>
      <c r="T382" s="2183"/>
      <c r="U382" s="2183"/>
      <c r="V382" s="374">
        <f>'بند3-5و3-6مقاله علمی کامل وخلاص'!J205</f>
        <v>0</v>
      </c>
      <c r="W382" s="374">
        <f>'بند3-5و3-6مقاله علمی کامل وخلاص'!J205</f>
        <v>0</v>
      </c>
      <c r="X382" s="375">
        <f>'بند3-5و3-6مقاله علمی کامل وخلاص'!G205</f>
        <v>0</v>
      </c>
      <c r="Y382" s="385">
        <f ca="1">'بند3-5و3-6مقاله علمی کامل وخلاص'!R201</f>
        <v>0</v>
      </c>
    </row>
    <row r="383" spans="1:25" ht="42.75" customHeight="1">
      <c r="A383" s="2196">
        <f>'بند3-5و3-6مقاله علمی کامل وخلاص'!A206</f>
        <v>0</v>
      </c>
      <c r="B383" s="2341">
        <f>'بند3-5و3-6مقاله علمی کامل وخلاص'!B206</f>
        <v>0</v>
      </c>
      <c r="C383" s="2342"/>
      <c r="D383" s="2342"/>
      <c r="E383" s="2198">
        <f>'بند3-5و3-6مقاله علمی کامل وخلاص'!E206</f>
        <v>0</v>
      </c>
      <c r="F383" s="2199"/>
      <c r="G383" s="2200"/>
      <c r="H383" s="2202">
        <f>'بند3-5و3-6مقاله علمی کامل وخلاص'!H206</f>
        <v>0</v>
      </c>
      <c r="I383" s="2203"/>
      <c r="J383" s="2211">
        <f>'بند3-5و3-6مقاله علمی کامل وخلاص'!J206</f>
        <v>0</v>
      </c>
      <c r="K383" s="2212"/>
      <c r="L383" s="2212"/>
      <c r="M383" s="2212"/>
      <c r="N383" s="2212"/>
      <c r="O383" s="2212"/>
      <c r="P383" s="2212"/>
      <c r="Q383" s="2214">
        <f>'بند3-5و3-6مقاله علمی کامل وخلاص'!P206</f>
        <v>0</v>
      </c>
      <c r="R383" s="2215"/>
      <c r="S383" s="2202">
        <f>'بند3-5و3-6مقاله علمی کامل وخلاص'!M206</f>
        <v>0</v>
      </c>
      <c r="T383" s="2203"/>
      <c r="U383" s="2203"/>
      <c r="V383" s="382" t="s">
        <v>762</v>
      </c>
      <c r="W383" s="382" t="s">
        <v>763</v>
      </c>
      <c r="X383" s="382" t="s">
        <v>769</v>
      </c>
      <c r="Y383" s="383" t="s">
        <v>767</v>
      </c>
    </row>
    <row r="384" spans="1:25" ht="42.75" customHeight="1">
      <c r="A384" s="2230"/>
      <c r="B384" s="386">
        <f>'بند3-5و3-6مقاله علمی کامل وخلاص'!B208</f>
        <v>0</v>
      </c>
      <c r="C384" s="386">
        <f>'بند3-5و3-6مقاله علمی کامل وخلاص'!C208</f>
        <v>0</v>
      </c>
      <c r="D384" s="386">
        <f>'بند3-5و3-6مقاله علمی کامل وخلاص'!D208</f>
        <v>0</v>
      </c>
      <c r="E384" s="2218"/>
      <c r="F384" s="2219"/>
      <c r="G384" s="2220"/>
      <c r="H384" s="2182">
        <f>'بند3-5و3-6مقاله علمی کامل وخلاص'!I206</f>
        <v>0</v>
      </c>
      <c r="I384" s="2183"/>
      <c r="J384" s="2213"/>
      <c r="K384" s="2213"/>
      <c r="L384" s="2213"/>
      <c r="M384" s="2213"/>
      <c r="N384" s="2213"/>
      <c r="O384" s="2213"/>
      <c r="P384" s="2213"/>
      <c r="Q384" s="2216"/>
      <c r="R384" s="2217"/>
      <c r="S384" s="2183"/>
      <c r="T384" s="2183"/>
      <c r="U384" s="2183"/>
      <c r="V384" s="374">
        <f>'بند3-5و3-6مقاله علمی کامل وخلاص'!J210</f>
        <v>0</v>
      </c>
      <c r="W384" s="374">
        <f>'بند3-5و3-6مقاله علمی کامل وخلاص'!J210</f>
        <v>0</v>
      </c>
      <c r="X384" s="375">
        <f>'بند3-5و3-6مقاله علمی کامل وخلاص'!G210</f>
        <v>0</v>
      </c>
      <c r="Y384" s="385">
        <f ca="1">'بند3-5و3-6مقاله علمی کامل وخلاص'!R206</f>
        <v>0</v>
      </c>
    </row>
    <row r="385" spans="1:25" ht="42.75" customHeight="1">
      <c r="A385" s="2196">
        <f>'بند3-5و3-6مقاله علمی کامل وخلاص'!A211</f>
        <v>0</v>
      </c>
      <c r="B385" s="2341">
        <f>'بند3-5و3-6مقاله علمی کامل وخلاص'!B211</f>
        <v>0</v>
      </c>
      <c r="C385" s="2342"/>
      <c r="D385" s="2342"/>
      <c r="E385" s="2198">
        <f>'بند3-5و3-6مقاله علمی کامل وخلاص'!E211</f>
        <v>0</v>
      </c>
      <c r="F385" s="2199"/>
      <c r="G385" s="2200"/>
      <c r="H385" s="2202">
        <f>'بند3-5و3-6مقاله علمی کامل وخلاص'!H211</f>
        <v>0</v>
      </c>
      <c r="I385" s="2203"/>
      <c r="J385" s="2211">
        <f>'بند3-5و3-6مقاله علمی کامل وخلاص'!J211</f>
        <v>0</v>
      </c>
      <c r="K385" s="2212"/>
      <c r="L385" s="2212"/>
      <c r="M385" s="2212"/>
      <c r="N385" s="2212"/>
      <c r="O385" s="2212"/>
      <c r="P385" s="2212"/>
      <c r="Q385" s="2214">
        <f>'بند3-5و3-6مقاله علمی کامل وخلاص'!P211</f>
        <v>0</v>
      </c>
      <c r="R385" s="2215"/>
      <c r="S385" s="2202">
        <f>'بند3-5و3-6مقاله علمی کامل وخلاص'!M211</f>
        <v>0</v>
      </c>
      <c r="T385" s="2203"/>
      <c r="U385" s="2203"/>
      <c r="V385" s="382" t="s">
        <v>762</v>
      </c>
      <c r="W385" s="382" t="s">
        <v>763</v>
      </c>
      <c r="X385" s="382" t="s">
        <v>769</v>
      </c>
      <c r="Y385" s="383" t="s">
        <v>767</v>
      </c>
    </row>
    <row r="386" spans="1:25" ht="42.75" customHeight="1">
      <c r="A386" s="2230"/>
      <c r="B386" s="386">
        <f>'بند3-5و3-6مقاله علمی کامل وخلاص'!B213</f>
        <v>0</v>
      </c>
      <c r="C386" s="386">
        <f>'بند3-5و3-6مقاله علمی کامل وخلاص'!C213</f>
        <v>0</v>
      </c>
      <c r="D386" s="386">
        <f>'بند3-5و3-6مقاله علمی کامل وخلاص'!D213</f>
        <v>0</v>
      </c>
      <c r="E386" s="2218"/>
      <c r="F386" s="2219"/>
      <c r="G386" s="2220"/>
      <c r="H386" s="2182">
        <f>'بند3-5و3-6مقاله علمی کامل وخلاص'!I211</f>
        <v>0</v>
      </c>
      <c r="I386" s="2183"/>
      <c r="J386" s="2213"/>
      <c r="K386" s="2213"/>
      <c r="L386" s="2213"/>
      <c r="M386" s="2213"/>
      <c r="N386" s="2213"/>
      <c r="O386" s="2213"/>
      <c r="P386" s="2213"/>
      <c r="Q386" s="2216"/>
      <c r="R386" s="2217"/>
      <c r="S386" s="2183"/>
      <c r="T386" s="2183"/>
      <c r="U386" s="2183"/>
      <c r="V386" s="374">
        <f>'بند3-5و3-6مقاله علمی کامل وخلاص'!J215</f>
        <v>0</v>
      </c>
      <c r="W386" s="374">
        <f>'بند3-5و3-6مقاله علمی کامل وخلاص'!J215</f>
        <v>0</v>
      </c>
      <c r="X386" s="375">
        <f>'بند3-5و3-6مقاله علمی کامل وخلاص'!G215</f>
        <v>0</v>
      </c>
      <c r="Y386" s="385">
        <f ca="1">'بند3-5و3-6مقاله علمی کامل وخلاص'!R211</f>
        <v>0</v>
      </c>
    </row>
    <row r="387" spans="1:25" ht="42.75" customHeight="1">
      <c r="A387" s="2196">
        <f>'بند3-5و3-6مقاله علمی کامل وخلاص'!A216</f>
        <v>0</v>
      </c>
      <c r="B387" s="2341">
        <f>'بند3-5و3-6مقاله علمی کامل وخلاص'!B216</f>
        <v>0</v>
      </c>
      <c r="C387" s="2342"/>
      <c r="D387" s="2342"/>
      <c r="E387" s="2198">
        <f>'بند3-5و3-6مقاله علمی کامل وخلاص'!E216</f>
        <v>0</v>
      </c>
      <c r="F387" s="2199"/>
      <c r="G387" s="2200"/>
      <c r="H387" s="2202">
        <f>'بند3-5و3-6مقاله علمی کامل وخلاص'!H216</f>
        <v>0</v>
      </c>
      <c r="I387" s="2203"/>
      <c r="J387" s="2211">
        <f>'بند3-5و3-6مقاله علمی کامل وخلاص'!J216</f>
        <v>0</v>
      </c>
      <c r="K387" s="2212"/>
      <c r="L387" s="2212"/>
      <c r="M387" s="2212"/>
      <c r="N387" s="2212"/>
      <c r="O387" s="2212"/>
      <c r="P387" s="2212"/>
      <c r="Q387" s="2214">
        <f>'بند3-5و3-6مقاله علمی کامل وخلاص'!P216</f>
        <v>0</v>
      </c>
      <c r="R387" s="2215"/>
      <c r="S387" s="2202">
        <f>'بند3-5و3-6مقاله علمی کامل وخلاص'!M216</f>
        <v>0</v>
      </c>
      <c r="T387" s="2203"/>
      <c r="U387" s="2203"/>
      <c r="V387" s="382" t="s">
        <v>762</v>
      </c>
      <c r="W387" s="382" t="s">
        <v>763</v>
      </c>
      <c r="X387" s="382" t="s">
        <v>769</v>
      </c>
      <c r="Y387" s="383" t="s">
        <v>767</v>
      </c>
    </row>
    <row r="388" spans="1:25" ht="42.75" customHeight="1">
      <c r="A388" s="2230"/>
      <c r="B388" s="386">
        <f>'بند3-5و3-6مقاله علمی کامل وخلاص'!B218</f>
        <v>0</v>
      </c>
      <c r="C388" s="386">
        <f>'بند3-5و3-6مقاله علمی کامل وخلاص'!C218</f>
        <v>0</v>
      </c>
      <c r="D388" s="386">
        <f>'بند3-5و3-6مقاله علمی کامل وخلاص'!D218</f>
        <v>0</v>
      </c>
      <c r="E388" s="2218"/>
      <c r="F388" s="2219"/>
      <c r="G388" s="2220"/>
      <c r="H388" s="2182">
        <f>'بند3-5و3-6مقاله علمی کامل وخلاص'!I216</f>
        <v>0</v>
      </c>
      <c r="I388" s="2183"/>
      <c r="J388" s="2213"/>
      <c r="K388" s="2213"/>
      <c r="L388" s="2213"/>
      <c r="M388" s="2213"/>
      <c r="N388" s="2213"/>
      <c r="O388" s="2213"/>
      <c r="P388" s="2213"/>
      <c r="Q388" s="2216"/>
      <c r="R388" s="2217"/>
      <c r="S388" s="2183"/>
      <c r="T388" s="2183"/>
      <c r="U388" s="2183"/>
      <c r="V388" s="374">
        <f>'بند3-5و3-6مقاله علمی کامل وخلاص'!J220</f>
        <v>0</v>
      </c>
      <c r="W388" s="374">
        <f>'بند3-5و3-6مقاله علمی کامل وخلاص'!J220</f>
        <v>0</v>
      </c>
      <c r="X388" s="375">
        <f>'بند3-5و3-6مقاله علمی کامل وخلاص'!G220</f>
        <v>0</v>
      </c>
      <c r="Y388" s="385">
        <f ca="1">'بند3-5و3-6مقاله علمی کامل وخلاص'!R216</f>
        <v>0</v>
      </c>
    </row>
    <row r="389" spans="1:25" ht="42.75" customHeight="1">
      <c r="A389" s="2196">
        <f>'بند3-5و3-6مقاله علمی کامل وخلاص'!A221</f>
        <v>0</v>
      </c>
      <c r="B389" s="2341">
        <f>'بند3-5و3-6مقاله علمی کامل وخلاص'!B221</f>
        <v>0</v>
      </c>
      <c r="C389" s="2342"/>
      <c r="D389" s="2342"/>
      <c r="E389" s="2198">
        <f>'بند3-5و3-6مقاله علمی کامل وخلاص'!E221</f>
        <v>0</v>
      </c>
      <c r="F389" s="2199"/>
      <c r="G389" s="2200"/>
      <c r="H389" s="2202">
        <f>'بند3-5و3-6مقاله علمی کامل وخلاص'!H221</f>
        <v>0</v>
      </c>
      <c r="I389" s="2203"/>
      <c r="J389" s="2211">
        <f>'بند3-5و3-6مقاله علمی کامل وخلاص'!J221</f>
        <v>0</v>
      </c>
      <c r="K389" s="2212"/>
      <c r="L389" s="2212"/>
      <c r="M389" s="2212"/>
      <c r="N389" s="2212"/>
      <c r="O389" s="2212"/>
      <c r="P389" s="2212"/>
      <c r="Q389" s="2214">
        <f>'بند3-5و3-6مقاله علمی کامل وخلاص'!P221</f>
        <v>0</v>
      </c>
      <c r="R389" s="2215"/>
      <c r="S389" s="2202">
        <f>'بند3-5و3-6مقاله علمی کامل وخلاص'!M221</f>
        <v>0</v>
      </c>
      <c r="T389" s="2203"/>
      <c r="U389" s="2203"/>
      <c r="V389" s="382" t="s">
        <v>762</v>
      </c>
      <c r="W389" s="382" t="s">
        <v>763</v>
      </c>
      <c r="X389" s="382" t="s">
        <v>769</v>
      </c>
      <c r="Y389" s="383" t="s">
        <v>767</v>
      </c>
    </row>
    <row r="390" spans="1:25" ht="42.75" customHeight="1">
      <c r="A390" s="2230"/>
      <c r="B390" s="386">
        <f>'بند3-5و3-6مقاله علمی کامل وخلاص'!B223</f>
        <v>0</v>
      </c>
      <c r="C390" s="386">
        <f>'بند3-5و3-6مقاله علمی کامل وخلاص'!C223</f>
        <v>0</v>
      </c>
      <c r="D390" s="386">
        <f>'بند3-5و3-6مقاله علمی کامل وخلاص'!D223</f>
        <v>0</v>
      </c>
      <c r="E390" s="2218"/>
      <c r="F390" s="2219"/>
      <c r="G390" s="2220"/>
      <c r="H390" s="2182">
        <f>'بند3-5و3-6مقاله علمی کامل وخلاص'!I221</f>
        <v>0</v>
      </c>
      <c r="I390" s="2183"/>
      <c r="J390" s="2213"/>
      <c r="K390" s="2213"/>
      <c r="L390" s="2213"/>
      <c r="M390" s="2213"/>
      <c r="N390" s="2213"/>
      <c r="O390" s="2213"/>
      <c r="P390" s="2213"/>
      <c r="Q390" s="2216"/>
      <c r="R390" s="2217"/>
      <c r="S390" s="2183"/>
      <c r="T390" s="2183"/>
      <c r="U390" s="2183"/>
      <c r="V390" s="374">
        <f>'بند3-5و3-6مقاله علمی کامل وخلاص'!J225</f>
        <v>0</v>
      </c>
      <c r="W390" s="374">
        <f>'بند3-5و3-6مقاله علمی کامل وخلاص'!J225</f>
        <v>0</v>
      </c>
      <c r="X390" s="375">
        <f>'بند3-5و3-6مقاله علمی کامل وخلاص'!G225</f>
        <v>0</v>
      </c>
      <c r="Y390" s="385">
        <f ca="1">'بند3-5و3-6مقاله علمی کامل وخلاص'!R221</f>
        <v>0</v>
      </c>
    </row>
    <row r="391" spans="1:25" ht="42.75" customHeight="1">
      <c r="A391" s="2196">
        <f>'بند3-5و3-6مقاله علمی کامل وخلاص'!A226</f>
        <v>0</v>
      </c>
      <c r="B391" s="2341">
        <f>'بند3-5و3-6مقاله علمی کامل وخلاص'!B226</f>
        <v>0</v>
      </c>
      <c r="C391" s="2342"/>
      <c r="D391" s="2342"/>
      <c r="E391" s="2198">
        <f>'بند3-5و3-6مقاله علمی کامل وخلاص'!E226</f>
        <v>0</v>
      </c>
      <c r="F391" s="2199"/>
      <c r="G391" s="2200"/>
      <c r="H391" s="2202">
        <f>'بند3-5و3-6مقاله علمی کامل وخلاص'!H226</f>
        <v>0</v>
      </c>
      <c r="I391" s="2203"/>
      <c r="J391" s="2211">
        <f>'بند3-5و3-6مقاله علمی کامل وخلاص'!J226</f>
        <v>0</v>
      </c>
      <c r="K391" s="2212"/>
      <c r="L391" s="2212"/>
      <c r="M391" s="2212"/>
      <c r="N391" s="2212"/>
      <c r="O391" s="2212"/>
      <c r="P391" s="2212"/>
      <c r="Q391" s="2214">
        <f>'بند3-5و3-6مقاله علمی کامل وخلاص'!P226</f>
        <v>0</v>
      </c>
      <c r="R391" s="2215"/>
      <c r="S391" s="2202">
        <f>'بند3-5و3-6مقاله علمی کامل وخلاص'!M226</f>
        <v>0</v>
      </c>
      <c r="T391" s="2203"/>
      <c r="U391" s="2203"/>
      <c r="V391" s="382" t="s">
        <v>762</v>
      </c>
      <c r="W391" s="382" t="s">
        <v>763</v>
      </c>
      <c r="X391" s="382" t="s">
        <v>769</v>
      </c>
      <c r="Y391" s="383" t="s">
        <v>767</v>
      </c>
    </row>
    <row r="392" spans="1:25" ht="42.75" customHeight="1">
      <c r="A392" s="2230"/>
      <c r="B392" s="386">
        <f>'بند3-5و3-6مقاله علمی کامل وخلاص'!B228</f>
        <v>0</v>
      </c>
      <c r="C392" s="386">
        <f>'بند3-5و3-6مقاله علمی کامل وخلاص'!C228</f>
        <v>0</v>
      </c>
      <c r="D392" s="386">
        <f>'بند3-5و3-6مقاله علمی کامل وخلاص'!D228</f>
        <v>0</v>
      </c>
      <c r="E392" s="2218"/>
      <c r="F392" s="2219"/>
      <c r="G392" s="2220"/>
      <c r="H392" s="2182">
        <f>'بند3-5و3-6مقاله علمی کامل وخلاص'!I226</f>
        <v>0</v>
      </c>
      <c r="I392" s="2183"/>
      <c r="J392" s="2213"/>
      <c r="K392" s="2213"/>
      <c r="L392" s="2213"/>
      <c r="M392" s="2213"/>
      <c r="N392" s="2213"/>
      <c r="O392" s="2213"/>
      <c r="P392" s="2213"/>
      <c r="Q392" s="2216"/>
      <c r="R392" s="2217"/>
      <c r="S392" s="2183"/>
      <c r="T392" s="2183"/>
      <c r="U392" s="2183"/>
      <c r="V392" s="374">
        <f>'بند3-5و3-6مقاله علمی کامل وخلاص'!J230</f>
        <v>0</v>
      </c>
      <c r="W392" s="374">
        <f>'بند3-5و3-6مقاله علمی کامل وخلاص'!J230</f>
        <v>0</v>
      </c>
      <c r="X392" s="375">
        <f>'بند3-5و3-6مقاله علمی کامل وخلاص'!G230</f>
        <v>0</v>
      </c>
      <c r="Y392" s="385">
        <f ca="1">'بند3-5و3-6مقاله علمی کامل وخلاص'!R226</f>
        <v>0</v>
      </c>
    </row>
    <row r="393" spans="1:25" ht="42.75" customHeight="1">
      <c r="A393" s="2196">
        <f>'بند3-5و3-6مقاله علمی کامل وخلاص'!A231</f>
        <v>0</v>
      </c>
      <c r="B393" s="2341">
        <f>'بند3-5و3-6مقاله علمی کامل وخلاص'!B231</f>
        <v>0</v>
      </c>
      <c r="C393" s="2342"/>
      <c r="D393" s="2342"/>
      <c r="E393" s="2198">
        <f>'بند3-5و3-6مقاله علمی کامل وخلاص'!E231</f>
        <v>0</v>
      </c>
      <c r="F393" s="2199"/>
      <c r="G393" s="2200"/>
      <c r="H393" s="2202">
        <f>'بند3-5و3-6مقاله علمی کامل وخلاص'!H231</f>
        <v>0</v>
      </c>
      <c r="I393" s="2203"/>
      <c r="J393" s="2211">
        <f>'بند3-5و3-6مقاله علمی کامل وخلاص'!J231</f>
        <v>0</v>
      </c>
      <c r="K393" s="2212"/>
      <c r="L393" s="2212"/>
      <c r="M393" s="2212"/>
      <c r="N393" s="2212"/>
      <c r="O393" s="2212"/>
      <c r="P393" s="2212"/>
      <c r="Q393" s="2214">
        <f>'بند3-5و3-6مقاله علمی کامل وخلاص'!P231</f>
        <v>0</v>
      </c>
      <c r="R393" s="2215"/>
      <c r="S393" s="2202">
        <f>'بند3-5و3-6مقاله علمی کامل وخلاص'!M231</f>
        <v>0</v>
      </c>
      <c r="T393" s="2203"/>
      <c r="U393" s="2203"/>
      <c r="V393" s="382" t="s">
        <v>762</v>
      </c>
      <c r="W393" s="382" t="s">
        <v>763</v>
      </c>
      <c r="X393" s="382" t="s">
        <v>769</v>
      </c>
      <c r="Y393" s="383" t="s">
        <v>767</v>
      </c>
    </row>
    <row r="394" spans="1:25" ht="42.75" customHeight="1">
      <c r="A394" s="2230"/>
      <c r="B394" s="386">
        <f>'بند3-5و3-6مقاله علمی کامل وخلاص'!B233</f>
        <v>0</v>
      </c>
      <c r="C394" s="386">
        <f>'بند3-5و3-6مقاله علمی کامل وخلاص'!C233</f>
        <v>0</v>
      </c>
      <c r="D394" s="386">
        <f>'بند3-5و3-6مقاله علمی کامل وخلاص'!D233</f>
        <v>0</v>
      </c>
      <c r="E394" s="2218"/>
      <c r="F394" s="2219"/>
      <c r="G394" s="2220"/>
      <c r="H394" s="2182">
        <f>'بند3-5و3-6مقاله علمی کامل وخلاص'!I231</f>
        <v>0</v>
      </c>
      <c r="I394" s="2183"/>
      <c r="J394" s="2213"/>
      <c r="K394" s="2213"/>
      <c r="L394" s="2213"/>
      <c r="M394" s="2213"/>
      <c r="N394" s="2213"/>
      <c r="O394" s="2213"/>
      <c r="P394" s="2213"/>
      <c r="Q394" s="2216"/>
      <c r="R394" s="2217"/>
      <c r="S394" s="2183"/>
      <c r="T394" s="2183"/>
      <c r="U394" s="2183"/>
      <c r="V394" s="374">
        <f>'بند3-5و3-6مقاله علمی کامل وخلاص'!J235</f>
        <v>0</v>
      </c>
      <c r="W394" s="374">
        <f>'بند3-5و3-6مقاله علمی کامل وخلاص'!J235</f>
        <v>0</v>
      </c>
      <c r="X394" s="375">
        <f>'بند3-5و3-6مقاله علمی کامل وخلاص'!G235</f>
        <v>0</v>
      </c>
      <c r="Y394" s="385">
        <f ca="1">'بند3-5و3-6مقاله علمی کامل وخلاص'!R231</f>
        <v>0</v>
      </c>
    </row>
    <row r="395" spans="1:25" ht="42.75" customHeight="1">
      <c r="A395" s="2196">
        <f>'بند3-5و3-6مقاله علمی کامل وخلاص'!A236</f>
        <v>0</v>
      </c>
      <c r="B395" s="2341">
        <f>'بند3-5و3-6مقاله علمی کامل وخلاص'!B236</f>
        <v>0</v>
      </c>
      <c r="C395" s="2342"/>
      <c r="D395" s="2342"/>
      <c r="E395" s="2198">
        <f>'بند3-5و3-6مقاله علمی کامل وخلاص'!E236</f>
        <v>0</v>
      </c>
      <c r="F395" s="2199"/>
      <c r="G395" s="2200"/>
      <c r="H395" s="2202">
        <f>'بند3-5و3-6مقاله علمی کامل وخلاص'!H236</f>
        <v>0</v>
      </c>
      <c r="I395" s="2203"/>
      <c r="J395" s="2211">
        <f>'بند3-5و3-6مقاله علمی کامل وخلاص'!J236</f>
        <v>0</v>
      </c>
      <c r="K395" s="2212"/>
      <c r="L395" s="2212"/>
      <c r="M395" s="2212"/>
      <c r="N395" s="2212"/>
      <c r="O395" s="2212"/>
      <c r="P395" s="2212"/>
      <c r="Q395" s="2214">
        <f>'بند3-5و3-6مقاله علمی کامل وخلاص'!P236</f>
        <v>0</v>
      </c>
      <c r="R395" s="2215"/>
      <c r="S395" s="2202">
        <f>'بند3-5و3-6مقاله علمی کامل وخلاص'!M236</f>
        <v>0</v>
      </c>
      <c r="T395" s="2203"/>
      <c r="U395" s="2203"/>
      <c r="V395" s="382" t="s">
        <v>762</v>
      </c>
      <c r="W395" s="382" t="s">
        <v>763</v>
      </c>
      <c r="X395" s="382" t="s">
        <v>769</v>
      </c>
      <c r="Y395" s="383" t="s">
        <v>767</v>
      </c>
    </row>
    <row r="396" spans="1:25" ht="42.75" customHeight="1">
      <c r="A396" s="2230"/>
      <c r="B396" s="386">
        <f>'بند3-5و3-6مقاله علمی کامل وخلاص'!B238</f>
        <v>0</v>
      </c>
      <c r="C396" s="386">
        <f>'بند3-5و3-6مقاله علمی کامل وخلاص'!C238</f>
        <v>0</v>
      </c>
      <c r="D396" s="386">
        <f>'بند3-5و3-6مقاله علمی کامل وخلاص'!D238</f>
        <v>0</v>
      </c>
      <c r="E396" s="2218"/>
      <c r="F396" s="2219"/>
      <c r="G396" s="2220"/>
      <c r="H396" s="2182">
        <f>'بند3-5و3-6مقاله علمی کامل وخلاص'!I236</f>
        <v>0</v>
      </c>
      <c r="I396" s="2183"/>
      <c r="J396" s="2213"/>
      <c r="K396" s="2213"/>
      <c r="L396" s="2213"/>
      <c r="M396" s="2213"/>
      <c r="N396" s="2213"/>
      <c r="O396" s="2213"/>
      <c r="P396" s="2213"/>
      <c r="Q396" s="2216"/>
      <c r="R396" s="2217"/>
      <c r="S396" s="2183"/>
      <c r="T396" s="2183"/>
      <c r="U396" s="2183"/>
      <c r="V396" s="374">
        <f>'بند3-5و3-6مقاله علمی کامل وخلاص'!J240</f>
        <v>0</v>
      </c>
      <c r="W396" s="374">
        <f>'بند3-5و3-6مقاله علمی کامل وخلاص'!J240</f>
        <v>0</v>
      </c>
      <c r="X396" s="375">
        <f>'بند3-5و3-6مقاله علمی کامل وخلاص'!G240</f>
        <v>0</v>
      </c>
      <c r="Y396" s="385">
        <f ca="1">'بند3-5و3-6مقاله علمی کامل وخلاص'!R236</f>
        <v>0</v>
      </c>
    </row>
    <row r="397" spans="1:25" ht="42.75" customHeight="1">
      <c r="A397" s="2196">
        <f>'بند3-5و3-6مقاله علمی کامل وخلاص'!A241</f>
        <v>0</v>
      </c>
      <c r="B397" s="2341">
        <f>'بند3-5و3-6مقاله علمی کامل وخلاص'!B241</f>
        <v>0</v>
      </c>
      <c r="C397" s="2342"/>
      <c r="D397" s="2342"/>
      <c r="E397" s="2198">
        <f>'بند3-5و3-6مقاله علمی کامل وخلاص'!E241</f>
        <v>0</v>
      </c>
      <c r="F397" s="2199"/>
      <c r="G397" s="2200"/>
      <c r="H397" s="2202">
        <f>'بند3-5و3-6مقاله علمی کامل وخلاص'!H241</f>
        <v>0</v>
      </c>
      <c r="I397" s="2203"/>
      <c r="J397" s="2211">
        <f>'بند3-5و3-6مقاله علمی کامل وخلاص'!J241</f>
        <v>0</v>
      </c>
      <c r="K397" s="2212"/>
      <c r="L397" s="2212"/>
      <c r="M397" s="2212"/>
      <c r="N397" s="2212"/>
      <c r="O397" s="2212"/>
      <c r="P397" s="2212"/>
      <c r="Q397" s="2214">
        <f>'بند3-5و3-6مقاله علمی کامل وخلاص'!P241</f>
        <v>0</v>
      </c>
      <c r="R397" s="2215"/>
      <c r="S397" s="2202">
        <f>'بند3-5و3-6مقاله علمی کامل وخلاص'!M241</f>
        <v>0</v>
      </c>
      <c r="T397" s="2203"/>
      <c r="U397" s="2203"/>
      <c r="V397" s="382" t="s">
        <v>762</v>
      </c>
      <c r="W397" s="382" t="s">
        <v>763</v>
      </c>
      <c r="X397" s="382" t="s">
        <v>769</v>
      </c>
      <c r="Y397" s="383" t="s">
        <v>767</v>
      </c>
    </row>
    <row r="398" spans="1:25" ht="42.75" customHeight="1">
      <c r="A398" s="2230"/>
      <c r="B398" s="386">
        <f>'بند3-5و3-6مقاله علمی کامل وخلاص'!B243</f>
        <v>0</v>
      </c>
      <c r="C398" s="386">
        <f>'بند3-5و3-6مقاله علمی کامل وخلاص'!C243</f>
        <v>0</v>
      </c>
      <c r="D398" s="386">
        <f>'بند3-5و3-6مقاله علمی کامل وخلاص'!D243</f>
        <v>0</v>
      </c>
      <c r="E398" s="2218"/>
      <c r="F398" s="2219"/>
      <c r="G398" s="2220"/>
      <c r="H398" s="2182">
        <f>'بند3-5و3-6مقاله علمی کامل وخلاص'!I241</f>
        <v>0</v>
      </c>
      <c r="I398" s="2183"/>
      <c r="J398" s="2213"/>
      <c r="K398" s="2213"/>
      <c r="L398" s="2213"/>
      <c r="M398" s="2213"/>
      <c r="N398" s="2213"/>
      <c r="O398" s="2213"/>
      <c r="P398" s="2213"/>
      <c r="Q398" s="2216"/>
      <c r="R398" s="2217"/>
      <c r="S398" s="2183"/>
      <c r="T398" s="2183"/>
      <c r="U398" s="2183"/>
      <c r="V398" s="374">
        <f>'بند3-5و3-6مقاله علمی کامل وخلاص'!J245</f>
        <v>0</v>
      </c>
      <c r="W398" s="374">
        <f>'بند3-5و3-6مقاله علمی کامل وخلاص'!J245</f>
        <v>0</v>
      </c>
      <c r="X398" s="375">
        <f>'بند3-5و3-6مقاله علمی کامل وخلاص'!G245</f>
        <v>0</v>
      </c>
      <c r="Y398" s="385">
        <f ca="1">'بند3-5و3-6مقاله علمی کامل وخلاص'!R241</f>
        <v>0</v>
      </c>
    </row>
    <row r="399" spans="1:25" ht="42.75" customHeight="1">
      <c r="A399" s="2196">
        <f>'بند3-5و3-6مقاله علمی کامل وخلاص'!A246</f>
        <v>0</v>
      </c>
      <c r="B399" s="2341">
        <f>'بند3-5و3-6مقاله علمی کامل وخلاص'!B246</f>
        <v>0</v>
      </c>
      <c r="C399" s="2342"/>
      <c r="D399" s="2342"/>
      <c r="E399" s="2198">
        <f>'بند3-5و3-6مقاله علمی کامل وخلاص'!E246</f>
        <v>0</v>
      </c>
      <c r="F399" s="2199"/>
      <c r="G399" s="2200"/>
      <c r="H399" s="2202">
        <f>'بند3-5و3-6مقاله علمی کامل وخلاص'!H246</f>
        <v>0</v>
      </c>
      <c r="I399" s="2203"/>
      <c r="J399" s="2211">
        <f>'بند3-5و3-6مقاله علمی کامل وخلاص'!J246</f>
        <v>0</v>
      </c>
      <c r="K399" s="2212"/>
      <c r="L399" s="2212"/>
      <c r="M399" s="2212"/>
      <c r="N399" s="2212"/>
      <c r="O399" s="2212"/>
      <c r="P399" s="2212"/>
      <c r="Q399" s="2214">
        <f>'بند3-5و3-6مقاله علمی کامل وخلاص'!P246</f>
        <v>0</v>
      </c>
      <c r="R399" s="2215"/>
      <c r="S399" s="2202">
        <f>'بند3-5و3-6مقاله علمی کامل وخلاص'!M246</f>
        <v>0</v>
      </c>
      <c r="T399" s="2203"/>
      <c r="U399" s="2203"/>
      <c r="V399" s="382" t="s">
        <v>762</v>
      </c>
      <c r="W399" s="382" t="s">
        <v>763</v>
      </c>
      <c r="X399" s="382" t="s">
        <v>769</v>
      </c>
      <c r="Y399" s="383" t="s">
        <v>767</v>
      </c>
    </row>
    <row r="400" spans="1:25" ht="42.75" customHeight="1">
      <c r="A400" s="2230"/>
      <c r="B400" s="386">
        <f>'بند3-5و3-6مقاله علمی کامل وخلاص'!B248</f>
        <v>0</v>
      </c>
      <c r="C400" s="386">
        <f>'بند3-5و3-6مقاله علمی کامل وخلاص'!C248</f>
        <v>0</v>
      </c>
      <c r="D400" s="386">
        <f>'بند3-5و3-6مقاله علمی کامل وخلاص'!D248</f>
        <v>0</v>
      </c>
      <c r="E400" s="2218"/>
      <c r="F400" s="2219"/>
      <c r="G400" s="2220"/>
      <c r="H400" s="2182">
        <f>'بند3-5و3-6مقاله علمی کامل وخلاص'!I246</f>
        <v>0</v>
      </c>
      <c r="I400" s="2183"/>
      <c r="J400" s="2213"/>
      <c r="K400" s="2213"/>
      <c r="L400" s="2213"/>
      <c r="M400" s="2213"/>
      <c r="N400" s="2213"/>
      <c r="O400" s="2213"/>
      <c r="P400" s="2213"/>
      <c r="Q400" s="2216"/>
      <c r="R400" s="2217"/>
      <c r="S400" s="2183"/>
      <c r="T400" s="2183"/>
      <c r="U400" s="2183"/>
      <c r="V400" s="374">
        <f>'بند3-5و3-6مقاله علمی کامل وخلاص'!J250</f>
        <v>0</v>
      </c>
      <c r="W400" s="374">
        <f>'بند3-5و3-6مقاله علمی کامل وخلاص'!J250</f>
        <v>0</v>
      </c>
      <c r="X400" s="375">
        <f>'بند3-5و3-6مقاله علمی کامل وخلاص'!G250</f>
        <v>0</v>
      </c>
      <c r="Y400" s="385">
        <f ca="1">'بند3-5و3-6مقاله علمی کامل وخلاص'!R246</f>
        <v>0</v>
      </c>
    </row>
    <row r="401" spans="1:25" ht="42.75" customHeight="1">
      <c r="A401" s="2196">
        <f>'بند3-5و3-6مقاله علمی کامل وخلاص'!A251</f>
        <v>0</v>
      </c>
      <c r="B401" s="2341">
        <f>'بند3-5و3-6مقاله علمی کامل وخلاص'!B251</f>
        <v>0</v>
      </c>
      <c r="C401" s="2342"/>
      <c r="D401" s="2342"/>
      <c r="E401" s="2198">
        <f>'بند3-5و3-6مقاله علمی کامل وخلاص'!E251</f>
        <v>0</v>
      </c>
      <c r="F401" s="2199"/>
      <c r="G401" s="2200"/>
      <c r="H401" s="2202">
        <f>'بند3-5و3-6مقاله علمی کامل وخلاص'!H251</f>
        <v>0</v>
      </c>
      <c r="I401" s="2203"/>
      <c r="J401" s="2211">
        <f>'بند3-5و3-6مقاله علمی کامل وخلاص'!J251</f>
        <v>0</v>
      </c>
      <c r="K401" s="2212"/>
      <c r="L401" s="2212"/>
      <c r="M401" s="2212"/>
      <c r="N401" s="2212"/>
      <c r="O401" s="2212"/>
      <c r="P401" s="2212"/>
      <c r="Q401" s="2214">
        <f>'بند3-5و3-6مقاله علمی کامل وخلاص'!P251</f>
        <v>0</v>
      </c>
      <c r="R401" s="2215"/>
      <c r="S401" s="2202">
        <f>'بند3-5و3-6مقاله علمی کامل وخلاص'!M251</f>
        <v>0</v>
      </c>
      <c r="T401" s="2203"/>
      <c r="U401" s="2203"/>
      <c r="V401" s="382" t="s">
        <v>762</v>
      </c>
      <c r="W401" s="382" t="s">
        <v>763</v>
      </c>
      <c r="X401" s="382" t="s">
        <v>769</v>
      </c>
      <c r="Y401" s="383" t="s">
        <v>767</v>
      </c>
    </row>
    <row r="402" spans="1:25" ht="42.75" customHeight="1">
      <c r="A402" s="2230"/>
      <c r="B402" s="386">
        <f>'بند3-5و3-6مقاله علمی کامل وخلاص'!B253</f>
        <v>0</v>
      </c>
      <c r="C402" s="386">
        <f>'بند3-5و3-6مقاله علمی کامل وخلاص'!C253</f>
        <v>0</v>
      </c>
      <c r="D402" s="386">
        <f>'بند3-5و3-6مقاله علمی کامل وخلاص'!D253</f>
        <v>0</v>
      </c>
      <c r="E402" s="2218"/>
      <c r="F402" s="2219"/>
      <c r="G402" s="2220"/>
      <c r="H402" s="2182">
        <f>'بند3-5و3-6مقاله علمی کامل وخلاص'!I251</f>
        <v>0</v>
      </c>
      <c r="I402" s="2183"/>
      <c r="J402" s="2213"/>
      <c r="K402" s="2213"/>
      <c r="L402" s="2213"/>
      <c r="M402" s="2213"/>
      <c r="N402" s="2213"/>
      <c r="O402" s="2213"/>
      <c r="P402" s="2213"/>
      <c r="Q402" s="2216"/>
      <c r="R402" s="2217"/>
      <c r="S402" s="2183"/>
      <c r="T402" s="2183"/>
      <c r="U402" s="2183"/>
      <c r="V402" s="374">
        <f>'بند3-5و3-6مقاله علمی کامل وخلاص'!J255</f>
        <v>0</v>
      </c>
      <c r="W402" s="374">
        <f>'بند3-5و3-6مقاله علمی کامل وخلاص'!J255</f>
        <v>0</v>
      </c>
      <c r="X402" s="375">
        <f>'بند3-5و3-6مقاله علمی کامل وخلاص'!G255</f>
        <v>0</v>
      </c>
      <c r="Y402" s="385">
        <f ca="1">'بند3-5و3-6مقاله علمی کامل وخلاص'!R251</f>
        <v>0</v>
      </c>
    </row>
    <row r="403" spans="1:25" ht="42.75" customHeight="1">
      <c r="A403" s="2196">
        <f>'بند3-5و3-6مقاله علمی کامل وخلاص'!A256</f>
        <v>0</v>
      </c>
      <c r="B403" s="2341">
        <f>'بند3-5و3-6مقاله علمی کامل وخلاص'!B256</f>
        <v>0</v>
      </c>
      <c r="C403" s="2342"/>
      <c r="D403" s="2342"/>
      <c r="E403" s="2198">
        <f>'بند3-5و3-6مقاله علمی کامل وخلاص'!E256</f>
        <v>0</v>
      </c>
      <c r="F403" s="2199"/>
      <c r="G403" s="2200"/>
      <c r="H403" s="2202">
        <f>'بند3-5و3-6مقاله علمی کامل وخلاص'!H256</f>
        <v>0</v>
      </c>
      <c r="I403" s="2203"/>
      <c r="J403" s="2211">
        <f>'بند3-5و3-6مقاله علمی کامل وخلاص'!J256</f>
        <v>0</v>
      </c>
      <c r="K403" s="2212"/>
      <c r="L403" s="2212"/>
      <c r="M403" s="2212"/>
      <c r="N403" s="2212"/>
      <c r="O403" s="2212"/>
      <c r="P403" s="2212"/>
      <c r="Q403" s="2214">
        <f>'بند3-5و3-6مقاله علمی کامل وخلاص'!P256</f>
        <v>0</v>
      </c>
      <c r="R403" s="2215"/>
      <c r="S403" s="2202">
        <f>'بند3-5و3-6مقاله علمی کامل وخلاص'!M256</f>
        <v>0</v>
      </c>
      <c r="T403" s="2203"/>
      <c r="U403" s="2203"/>
      <c r="V403" s="382" t="s">
        <v>762</v>
      </c>
      <c r="W403" s="382" t="s">
        <v>763</v>
      </c>
      <c r="X403" s="382" t="s">
        <v>769</v>
      </c>
      <c r="Y403" s="383" t="s">
        <v>767</v>
      </c>
    </row>
    <row r="404" spans="1:25" ht="42.75" customHeight="1">
      <c r="A404" s="2230"/>
      <c r="B404" s="386">
        <f>'بند3-5و3-6مقاله علمی کامل وخلاص'!B258</f>
        <v>0</v>
      </c>
      <c r="C404" s="386">
        <f>'بند3-5و3-6مقاله علمی کامل وخلاص'!C258</f>
        <v>0</v>
      </c>
      <c r="D404" s="386">
        <f>'بند3-5و3-6مقاله علمی کامل وخلاص'!D258</f>
        <v>0</v>
      </c>
      <c r="E404" s="2218"/>
      <c r="F404" s="2219"/>
      <c r="G404" s="2220"/>
      <c r="H404" s="2182">
        <f>'بند3-5و3-6مقاله علمی کامل وخلاص'!I256</f>
        <v>0</v>
      </c>
      <c r="I404" s="2183"/>
      <c r="J404" s="2213"/>
      <c r="K404" s="2213"/>
      <c r="L404" s="2213"/>
      <c r="M404" s="2213"/>
      <c r="N404" s="2213"/>
      <c r="O404" s="2213"/>
      <c r="P404" s="2213"/>
      <c r="Q404" s="2216"/>
      <c r="R404" s="2217"/>
      <c r="S404" s="2183"/>
      <c r="T404" s="2183"/>
      <c r="U404" s="2183"/>
      <c r="V404" s="374">
        <f>'بند3-5و3-6مقاله علمی کامل وخلاص'!J260</f>
        <v>0</v>
      </c>
      <c r="W404" s="374">
        <f>'بند3-5و3-6مقاله علمی کامل وخلاص'!J260</f>
        <v>0</v>
      </c>
      <c r="X404" s="375">
        <f>'بند3-5و3-6مقاله علمی کامل وخلاص'!G260</f>
        <v>0</v>
      </c>
      <c r="Y404" s="385">
        <f ca="1">'بند3-5و3-6مقاله علمی کامل وخلاص'!R256</f>
        <v>0</v>
      </c>
    </row>
    <row r="405" spans="1:25" ht="42.75" customHeight="1">
      <c r="A405" s="2196">
        <f>'بند3-5و3-6مقاله علمی کامل وخلاص'!A261</f>
        <v>0</v>
      </c>
      <c r="B405" s="2341">
        <f>'بند3-5و3-6مقاله علمی کامل وخلاص'!B261</f>
        <v>0</v>
      </c>
      <c r="C405" s="2342"/>
      <c r="D405" s="2342"/>
      <c r="E405" s="2198">
        <f>'بند3-5و3-6مقاله علمی کامل وخلاص'!E261</f>
        <v>0</v>
      </c>
      <c r="F405" s="2199"/>
      <c r="G405" s="2200"/>
      <c r="H405" s="2202">
        <f>'بند3-5و3-6مقاله علمی کامل وخلاص'!H261</f>
        <v>0</v>
      </c>
      <c r="I405" s="2203"/>
      <c r="J405" s="2211">
        <f>'بند3-5و3-6مقاله علمی کامل وخلاص'!J261</f>
        <v>0</v>
      </c>
      <c r="K405" s="2212"/>
      <c r="L405" s="2212"/>
      <c r="M405" s="2212"/>
      <c r="N405" s="2212"/>
      <c r="O405" s="2212"/>
      <c r="P405" s="2212"/>
      <c r="Q405" s="2214">
        <f>'بند3-5و3-6مقاله علمی کامل وخلاص'!P261</f>
        <v>0</v>
      </c>
      <c r="R405" s="2215"/>
      <c r="S405" s="2202">
        <f>'بند3-5و3-6مقاله علمی کامل وخلاص'!M261</f>
        <v>0</v>
      </c>
      <c r="T405" s="2203"/>
      <c r="U405" s="2203"/>
      <c r="V405" s="382" t="s">
        <v>762</v>
      </c>
      <c r="W405" s="382" t="s">
        <v>763</v>
      </c>
      <c r="X405" s="382" t="s">
        <v>769</v>
      </c>
      <c r="Y405" s="383" t="s">
        <v>767</v>
      </c>
    </row>
    <row r="406" spans="1:25" ht="42.75" customHeight="1">
      <c r="A406" s="2230"/>
      <c r="B406" s="386">
        <f>'بند3-5و3-6مقاله علمی کامل وخلاص'!B263</f>
        <v>0</v>
      </c>
      <c r="C406" s="386">
        <f>'بند3-5و3-6مقاله علمی کامل وخلاص'!C263</f>
        <v>0</v>
      </c>
      <c r="D406" s="386">
        <f>'بند3-5و3-6مقاله علمی کامل وخلاص'!D263</f>
        <v>0</v>
      </c>
      <c r="E406" s="2218"/>
      <c r="F406" s="2219"/>
      <c r="G406" s="2220"/>
      <c r="H406" s="2182">
        <f>'بند3-5و3-6مقاله علمی کامل وخلاص'!I261</f>
        <v>0</v>
      </c>
      <c r="I406" s="2183"/>
      <c r="J406" s="2213"/>
      <c r="K406" s="2213"/>
      <c r="L406" s="2213"/>
      <c r="M406" s="2213"/>
      <c r="N406" s="2213"/>
      <c r="O406" s="2213"/>
      <c r="P406" s="2213"/>
      <c r="Q406" s="2216"/>
      <c r="R406" s="2217"/>
      <c r="S406" s="2183"/>
      <c r="T406" s="2183"/>
      <c r="U406" s="2183"/>
      <c r="V406" s="374">
        <f>'بند3-5و3-6مقاله علمی کامل وخلاص'!J265</f>
        <v>0</v>
      </c>
      <c r="W406" s="374">
        <f>'بند3-5و3-6مقاله علمی کامل وخلاص'!J265</f>
        <v>0</v>
      </c>
      <c r="X406" s="375">
        <f>'بند3-5و3-6مقاله علمی کامل وخلاص'!G265</f>
        <v>0</v>
      </c>
      <c r="Y406" s="385">
        <f ca="1">'بند3-5و3-6مقاله علمی کامل وخلاص'!R261</f>
        <v>0</v>
      </c>
    </row>
    <row r="407" spans="1:25" ht="42.75" customHeight="1">
      <c r="A407" s="2196">
        <f>'بند3-5و3-6مقاله علمی کامل وخلاص'!A266</f>
        <v>0</v>
      </c>
      <c r="B407" s="2341">
        <f>'بند3-5و3-6مقاله علمی کامل وخلاص'!B266</f>
        <v>0</v>
      </c>
      <c r="C407" s="2342"/>
      <c r="D407" s="2342"/>
      <c r="E407" s="2198">
        <f>'بند3-5و3-6مقاله علمی کامل وخلاص'!E266</f>
        <v>0</v>
      </c>
      <c r="F407" s="2199"/>
      <c r="G407" s="2200"/>
      <c r="H407" s="2202">
        <f>'بند3-5و3-6مقاله علمی کامل وخلاص'!H266</f>
        <v>0</v>
      </c>
      <c r="I407" s="2203"/>
      <c r="J407" s="2211">
        <f>'بند3-5و3-6مقاله علمی کامل وخلاص'!J266</f>
        <v>0</v>
      </c>
      <c r="K407" s="2212"/>
      <c r="L407" s="2212"/>
      <c r="M407" s="2212"/>
      <c r="N407" s="2212"/>
      <c r="O407" s="2212"/>
      <c r="P407" s="2212"/>
      <c r="Q407" s="2214">
        <f>'بند3-5و3-6مقاله علمی کامل وخلاص'!P266</f>
        <v>0</v>
      </c>
      <c r="R407" s="2215"/>
      <c r="S407" s="2202">
        <f>'بند3-5و3-6مقاله علمی کامل وخلاص'!M266</f>
        <v>0</v>
      </c>
      <c r="T407" s="2203"/>
      <c r="U407" s="2203"/>
      <c r="V407" s="382" t="s">
        <v>762</v>
      </c>
      <c r="W407" s="382" t="s">
        <v>763</v>
      </c>
      <c r="X407" s="382" t="s">
        <v>769</v>
      </c>
      <c r="Y407" s="383" t="s">
        <v>767</v>
      </c>
    </row>
    <row r="408" spans="1:25" ht="42.75" customHeight="1">
      <c r="A408" s="2230"/>
      <c r="B408" s="386">
        <f>'بند3-5و3-6مقاله علمی کامل وخلاص'!B268</f>
        <v>0</v>
      </c>
      <c r="C408" s="386">
        <f>'بند3-5و3-6مقاله علمی کامل وخلاص'!C268</f>
        <v>0</v>
      </c>
      <c r="D408" s="386">
        <f>'بند3-5و3-6مقاله علمی کامل وخلاص'!D268</f>
        <v>0</v>
      </c>
      <c r="E408" s="2218"/>
      <c r="F408" s="2219"/>
      <c r="G408" s="2220"/>
      <c r="H408" s="2182">
        <f>'بند3-5و3-6مقاله علمی کامل وخلاص'!I266</f>
        <v>0</v>
      </c>
      <c r="I408" s="2183"/>
      <c r="J408" s="2213"/>
      <c r="K408" s="2213"/>
      <c r="L408" s="2213"/>
      <c r="M408" s="2213"/>
      <c r="N408" s="2213"/>
      <c r="O408" s="2213"/>
      <c r="P408" s="2213"/>
      <c r="Q408" s="2216"/>
      <c r="R408" s="2217"/>
      <c r="S408" s="2183"/>
      <c r="T408" s="2183"/>
      <c r="U408" s="2183"/>
      <c r="V408" s="374">
        <f>'بند3-5و3-6مقاله علمی کامل وخلاص'!J270</f>
        <v>0</v>
      </c>
      <c r="W408" s="374">
        <f>'بند3-5و3-6مقاله علمی کامل وخلاص'!J270</f>
        <v>0</v>
      </c>
      <c r="X408" s="375">
        <f>'بند3-5و3-6مقاله علمی کامل وخلاص'!G270</f>
        <v>0</v>
      </c>
      <c r="Y408" s="385">
        <f ca="1">'بند3-5و3-6مقاله علمی کامل وخلاص'!R266</f>
        <v>0</v>
      </c>
    </row>
    <row r="409" spans="1:25" ht="42.75" customHeight="1">
      <c r="A409" s="2196">
        <f>'بند3-5و3-6مقاله علمی کامل وخلاص'!A271</f>
        <v>0</v>
      </c>
      <c r="B409" s="2341">
        <f>'بند3-5و3-6مقاله علمی کامل وخلاص'!B271</f>
        <v>0</v>
      </c>
      <c r="C409" s="2342"/>
      <c r="D409" s="2342"/>
      <c r="E409" s="2198">
        <f>'بند3-5و3-6مقاله علمی کامل وخلاص'!E271</f>
        <v>0</v>
      </c>
      <c r="F409" s="2199"/>
      <c r="G409" s="2200"/>
      <c r="H409" s="2202">
        <f>'بند3-5و3-6مقاله علمی کامل وخلاص'!H271</f>
        <v>0</v>
      </c>
      <c r="I409" s="2203"/>
      <c r="J409" s="2211">
        <f>'بند3-5و3-6مقاله علمی کامل وخلاص'!J271</f>
        <v>0</v>
      </c>
      <c r="K409" s="2212"/>
      <c r="L409" s="2212"/>
      <c r="M409" s="2212"/>
      <c r="N409" s="2212"/>
      <c r="O409" s="2212"/>
      <c r="P409" s="2212"/>
      <c r="Q409" s="2214">
        <f>'بند3-5و3-6مقاله علمی کامل وخلاص'!P271</f>
        <v>0</v>
      </c>
      <c r="R409" s="2215"/>
      <c r="S409" s="2202">
        <f>'بند3-5و3-6مقاله علمی کامل وخلاص'!M271</f>
        <v>0</v>
      </c>
      <c r="T409" s="2203"/>
      <c r="U409" s="2203"/>
      <c r="V409" s="382" t="s">
        <v>762</v>
      </c>
      <c r="W409" s="382" t="s">
        <v>763</v>
      </c>
      <c r="X409" s="382" t="s">
        <v>769</v>
      </c>
      <c r="Y409" s="383" t="s">
        <v>767</v>
      </c>
    </row>
    <row r="410" spans="1:25" ht="42.75" customHeight="1">
      <c r="A410" s="2230"/>
      <c r="B410" s="386">
        <f>'بند3-5و3-6مقاله علمی کامل وخلاص'!B273</f>
        <v>0</v>
      </c>
      <c r="C410" s="386">
        <f>'بند3-5و3-6مقاله علمی کامل وخلاص'!C273</f>
        <v>0</v>
      </c>
      <c r="D410" s="386">
        <f>'بند3-5و3-6مقاله علمی کامل وخلاص'!D273</f>
        <v>0</v>
      </c>
      <c r="E410" s="2218"/>
      <c r="F410" s="2219"/>
      <c r="G410" s="2220"/>
      <c r="H410" s="2182">
        <f>'بند3-5و3-6مقاله علمی کامل وخلاص'!I271</f>
        <v>0</v>
      </c>
      <c r="I410" s="2183"/>
      <c r="J410" s="2213"/>
      <c r="K410" s="2213"/>
      <c r="L410" s="2213"/>
      <c r="M410" s="2213"/>
      <c r="N410" s="2213"/>
      <c r="O410" s="2213"/>
      <c r="P410" s="2213"/>
      <c r="Q410" s="2216"/>
      <c r="R410" s="2217"/>
      <c r="S410" s="2183"/>
      <c r="T410" s="2183"/>
      <c r="U410" s="2183"/>
      <c r="V410" s="374">
        <f>'بند3-5و3-6مقاله علمی کامل وخلاص'!J275</f>
        <v>0</v>
      </c>
      <c r="W410" s="374">
        <f>'بند3-5و3-6مقاله علمی کامل وخلاص'!J275</f>
        <v>0</v>
      </c>
      <c r="X410" s="375">
        <f>'بند3-5و3-6مقاله علمی کامل وخلاص'!G275</f>
        <v>0</v>
      </c>
      <c r="Y410" s="385">
        <f ca="1">'بند3-5و3-6مقاله علمی کامل وخلاص'!R271</f>
        <v>0</v>
      </c>
    </row>
    <row r="411" spans="1:25" ht="42.75" customHeight="1">
      <c r="A411" s="2196">
        <f>'بند3-5و3-6مقاله علمی کامل وخلاص'!A276</f>
        <v>0</v>
      </c>
      <c r="B411" s="2341">
        <f>'بند3-5و3-6مقاله علمی کامل وخلاص'!B276</f>
        <v>0</v>
      </c>
      <c r="C411" s="2342"/>
      <c r="D411" s="2342"/>
      <c r="E411" s="2198">
        <f>'بند3-5و3-6مقاله علمی کامل وخلاص'!E276</f>
        <v>0</v>
      </c>
      <c r="F411" s="2199"/>
      <c r="G411" s="2200"/>
      <c r="H411" s="2202">
        <f>'بند3-5و3-6مقاله علمی کامل وخلاص'!H276</f>
        <v>0</v>
      </c>
      <c r="I411" s="2203"/>
      <c r="J411" s="2211">
        <f>'بند3-5و3-6مقاله علمی کامل وخلاص'!J276</f>
        <v>0</v>
      </c>
      <c r="K411" s="2212"/>
      <c r="L411" s="2212"/>
      <c r="M411" s="2212"/>
      <c r="N411" s="2212"/>
      <c r="O411" s="2212"/>
      <c r="P411" s="2212"/>
      <c r="Q411" s="2214">
        <f>'بند3-5و3-6مقاله علمی کامل وخلاص'!P276</f>
        <v>0</v>
      </c>
      <c r="R411" s="2215"/>
      <c r="S411" s="2202">
        <f>'بند3-5و3-6مقاله علمی کامل وخلاص'!M276</f>
        <v>0</v>
      </c>
      <c r="T411" s="2203"/>
      <c r="U411" s="2203"/>
      <c r="V411" s="382" t="s">
        <v>762</v>
      </c>
      <c r="W411" s="382" t="s">
        <v>763</v>
      </c>
      <c r="X411" s="382" t="s">
        <v>769</v>
      </c>
      <c r="Y411" s="383" t="s">
        <v>767</v>
      </c>
    </row>
    <row r="412" spans="1:25" ht="42.75" customHeight="1">
      <c r="A412" s="2230"/>
      <c r="B412" s="386">
        <f>'بند3-5و3-6مقاله علمی کامل وخلاص'!B278</f>
        <v>0</v>
      </c>
      <c r="C412" s="386">
        <f>'بند3-5و3-6مقاله علمی کامل وخلاص'!C278</f>
        <v>0</v>
      </c>
      <c r="D412" s="386">
        <f>'بند3-5و3-6مقاله علمی کامل وخلاص'!D278</f>
        <v>0</v>
      </c>
      <c r="E412" s="2218"/>
      <c r="F412" s="2219"/>
      <c r="G412" s="2220"/>
      <c r="H412" s="2182">
        <f>'بند3-5و3-6مقاله علمی کامل وخلاص'!I276</f>
        <v>0</v>
      </c>
      <c r="I412" s="2183"/>
      <c r="J412" s="2213"/>
      <c r="K412" s="2213"/>
      <c r="L412" s="2213"/>
      <c r="M412" s="2213"/>
      <c r="N412" s="2213"/>
      <c r="O412" s="2213"/>
      <c r="P412" s="2213"/>
      <c r="Q412" s="2216"/>
      <c r="R412" s="2217"/>
      <c r="S412" s="2183"/>
      <c r="T412" s="2183"/>
      <c r="U412" s="2183"/>
      <c r="V412" s="374">
        <f>'بند3-5و3-6مقاله علمی کامل وخلاص'!J280</f>
        <v>0</v>
      </c>
      <c r="W412" s="374">
        <f>'بند3-5و3-6مقاله علمی کامل وخلاص'!J280</f>
        <v>0</v>
      </c>
      <c r="X412" s="375">
        <f>'بند3-5و3-6مقاله علمی کامل وخلاص'!G280</f>
        <v>0</v>
      </c>
      <c r="Y412" s="385">
        <f ca="1">'بند3-5و3-6مقاله علمی کامل وخلاص'!R276</f>
        <v>0</v>
      </c>
    </row>
    <row r="413" spans="1:25" ht="42.75" customHeight="1">
      <c r="A413" s="2196">
        <f>'بند3-5و3-6مقاله علمی کامل وخلاص'!A281</f>
        <v>0</v>
      </c>
      <c r="B413" s="2341">
        <f>'بند3-5و3-6مقاله علمی کامل وخلاص'!B281</f>
        <v>0</v>
      </c>
      <c r="C413" s="2342"/>
      <c r="D413" s="2342"/>
      <c r="E413" s="2198">
        <f>'بند3-5و3-6مقاله علمی کامل وخلاص'!E281</f>
        <v>0</v>
      </c>
      <c r="F413" s="2199"/>
      <c r="G413" s="2200"/>
      <c r="H413" s="2202">
        <f>'بند3-5و3-6مقاله علمی کامل وخلاص'!H281</f>
        <v>0</v>
      </c>
      <c r="I413" s="2203"/>
      <c r="J413" s="2211">
        <f>'بند3-5و3-6مقاله علمی کامل وخلاص'!J281</f>
        <v>0</v>
      </c>
      <c r="K413" s="2212"/>
      <c r="L413" s="2212"/>
      <c r="M413" s="2212"/>
      <c r="N413" s="2212"/>
      <c r="O413" s="2212"/>
      <c r="P413" s="2212"/>
      <c r="Q413" s="2214">
        <f>'بند3-5و3-6مقاله علمی کامل وخلاص'!P281</f>
        <v>0</v>
      </c>
      <c r="R413" s="2215"/>
      <c r="S413" s="2202">
        <f>'بند3-5و3-6مقاله علمی کامل وخلاص'!M281</f>
        <v>0</v>
      </c>
      <c r="T413" s="2203"/>
      <c r="U413" s="2203"/>
      <c r="V413" s="382" t="s">
        <v>762</v>
      </c>
      <c r="W413" s="382" t="s">
        <v>763</v>
      </c>
      <c r="X413" s="382" t="s">
        <v>769</v>
      </c>
      <c r="Y413" s="383" t="s">
        <v>767</v>
      </c>
    </row>
    <row r="414" spans="1:25" ht="42.75" customHeight="1">
      <c r="A414" s="2230"/>
      <c r="B414" s="386">
        <f>'بند3-5و3-6مقاله علمی کامل وخلاص'!B283</f>
        <v>0</v>
      </c>
      <c r="C414" s="386">
        <f>'بند3-5و3-6مقاله علمی کامل وخلاص'!C283</f>
        <v>0</v>
      </c>
      <c r="D414" s="386">
        <f>'بند3-5و3-6مقاله علمی کامل وخلاص'!D283</f>
        <v>0</v>
      </c>
      <c r="E414" s="2218"/>
      <c r="F414" s="2219"/>
      <c r="G414" s="2220"/>
      <c r="H414" s="2182">
        <f>'بند3-5و3-6مقاله علمی کامل وخلاص'!I281</f>
        <v>0</v>
      </c>
      <c r="I414" s="2183"/>
      <c r="J414" s="2213"/>
      <c r="K414" s="2213"/>
      <c r="L414" s="2213"/>
      <c r="M414" s="2213"/>
      <c r="N414" s="2213"/>
      <c r="O414" s="2213"/>
      <c r="P414" s="2213"/>
      <c r="Q414" s="2216"/>
      <c r="R414" s="2217"/>
      <c r="S414" s="2183"/>
      <c r="T414" s="2183"/>
      <c r="U414" s="2183"/>
      <c r="V414" s="374">
        <f>'بند3-5و3-6مقاله علمی کامل وخلاص'!J285</f>
        <v>0</v>
      </c>
      <c r="W414" s="374">
        <f>'بند3-5و3-6مقاله علمی کامل وخلاص'!J285</f>
        <v>0</v>
      </c>
      <c r="X414" s="375">
        <f>'بند3-5و3-6مقاله علمی کامل وخلاص'!G285</f>
        <v>0</v>
      </c>
      <c r="Y414" s="385">
        <f ca="1">'بند3-5و3-6مقاله علمی کامل وخلاص'!R281</f>
        <v>0</v>
      </c>
    </row>
    <row r="415" spans="1:25" ht="42.75" customHeight="1">
      <c r="A415" s="2196">
        <f>'بند3-5و3-6مقاله علمی کامل وخلاص'!A286</f>
        <v>0</v>
      </c>
      <c r="B415" s="2341">
        <f>'بند3-5و3-6مقاله علمی کامل وخلاص'!B286</f>
        <v>0</v>
      </c>
      <c r="C415" s="2342"/>
      <c r="D415" s="2342"/>
      <c r="E415" s="2198">
        <f>'بند3-5و3-6مقاله علمی کامل وخلاص'!E286</f>
        <v>0</v>
      </c>
      <c r="F415" s="2199"/>
      <c r="G415" s="2200"/>
      <c r="H415" s="2202">
        <f>'بند3-5و3-6مقاله علمی کامل وخلاص'!H286</f>
        <v>0</v>
      </c>
      <c r="I415" s="2203"/>
      <c r="J415" s="2211">
        <f>'بند3-5و3-6مقاله علمی کامل وخلاص'!J286</f>
        <v>0</v>
      </c>
      <c r="K415" s="2212"/>
      <c r="L415" s="2212"/>
      <c r="M415" s="2212"/>
      <c r="N415" s="2212"/>
      <c r="O415" s="2212"/>
      <c r="P415" s="2212"/>
      <c r="Q415" s="2214">
        <f>'بند3-5و3-6مقاله علمی کامل وخلاص'!P286</f>
        <v>0</v>
      </c>
      <c r="R415" s="2215"/>
      <c r="S415" s="2202">
        <f>'بند3-5و3-6مقاله علمی کامل وخلاص'!M286</f>
        <v>0</v>
      </c>
      <c r="T415" s="2203"/>
      <c r="U415" s="2203"/>
      <c r="V415" s="382" t="s">
        <v>762</v>
      </c>
      <c r="W415" s="382" t="s">
        <v>763</v>
      </c>
      <c r="X415" s="382" t="s">
        <v>769</v>
      </c>
      <c r="Y415" s="383" t="s">
        <v>767</v>
      </c>
    </row>
    <row r="416" spans="1:25" ht="42.75" customHeight="1">
      <c r="A416" s="2230"/>
      <c r="B416" s="386">
        <f>'بند3-5و3-6مقاله علمی کامل وخلاص'!B288</f>
        <v>0</v>
      </c>
      <c r="C416" s="386">
        <f>'بند3-5و3-6مقاله علمی کامل وخلاص'!C288</f>
        <v>0</v>
      </c>
      <c r="D416" s="386">
        <f>'بند3-5و3-6مقاله علمی کامل وخلاص'!D288</f>
        <v>0</v>
      </c>
      <c r="E416" s="2218"/>
      <c r="F416" s="2219"/>
      <c r="G416" s="2220"/>
      <c r="H416" s="2182">
        <f>'بند3-5و3-6مقاله علمی کامل وخلاص'!I286</f>
        <v>0</v>
      </c>
      <c r="I416" s="2183"/>
      <c r="J416" s="2213"/>
      <c r="K416" s="2213"/>
      <c r="L416" s="2213"/>
      <c r="M416" s="2213"/>
      <c r="N416" s="2213"/>
      <c r="O416" s="2213"/>
      <c r="P416" s="2213"/>
      <c r="Q416" s="2216"/>
      <c r="R416" s="2217"/>
      <c r="S416" s="2183"/>
      <c r="T416" s="2183"/>
      <c r="U416" s="2183"/>
      <c r="V416" s="374">
        <f>'بند3-5و3-6مقاله علمی کامل وخلاص'!J290</f>
        <v>0</v>
      </c>
      <c r="W416" s="374">
        <f>'بند3-5و3-6مقاله علمی کامل وخلاص'!J290</f>
        <v>0</v>
      </c>
      <c r="X416" s="375">
        <f>'بند3-5و3-6مقاله علمی کامل وخلاص'!G290</f>
        <v>0</v>
      </c>
      <c r="Y416" s="385">
        <f ca="1">'بند3-5و3-6مقاله علمی کامل وخلاص'!R286</f>
        <v>0</v>
      </c>
    </row>
    <row r="417" spans="1:25" ht="42.75" customHeight="1">
      <c r="A417" s="2196">
        <f>'بند3-5و3-6مقاله علمی کامل وخلاص'!A291</f>
        <v>0</v>
      </c>
      <c r="B417" s="2341">
        <f>'بند3-5و3-6مقاله علمی کامل وخلاص'!B291</f>
        <v>0</v>
      </c>
      <c r="C417" s="2342"/>
      <c r="D417" s="2342"/>
      <c r="E417" s="2198">
        <f>'بند3-5و3-6مقاله علمی کامل وخلاص'!E291</f>
        <v>0</v>
      </c>
      <c r="F417" s="2199"/>
      <c r="G417" s="2200"/>
      <c r="H417" s="2202">
        <f>'بند3-5و3-6مقاله علمی کامل وخلاص'!H291</f>
        <v>0</v>
      </c>
      <c r="I417" s="2203"/>
      <c r="J417" s="2211">
        <f>'بند3-5و3-6مقاله علمی کامل وخلاص'!J291</f>
        <v>0</v>
      </c>
      <c r="K417" s="2212"/>
      <c r="L417" s="2212"/>
      <c r="M417" s="2212"/>
      <c r="N417" s="2212"/>
      <c r="O417" s="2212"/>
      <c r="P417" s="2212"/>
      <c r="Q417" s="2214">
        <f>'بند3-5و3-6مقاله علمی کامل وخلاص'!P291</f>
        <v>0</v>
      </c>
      <c r="R417" s="2215"/>
      <c r="S417" s="2202">
        <f>'بند3-5و3-6مقاله علمی کامل وخلاص'!M291</f>
        <v>0</v>
      </c>
      <c r="T417" s="2203"/>
      <c r="U417" s="2203"/>
      <c r="V417" s="382" t="s">
        <v>762</v>
      </c>
      <c r="W417" s="382" t="s">
        <v>763</v>
      </c>
      <c r="X417" s="382" t="s">
        <v>769</v>
      </c>
      <c r="Y417" s="383" t="s">
        <v>767</v>
      </c>
    </row>
    <row r="418" spans="1:25" ht="42.75" customHeight="1">
      <c r="A418" s="2230"/>
      <c r="B418" s="386">
        <f>'بند3-5و3-6مقاله علمی کامل وخلاص'!B293</f>
        <v>0</v>
      </c>
      <c r="C418" s="386">
        <f>'بند3-5و3-6مقاله علمی کامل وخلاص'!C293</f>
        <v>0</v>
      </c>
      <c r="D418" s="386">
        <f>'بند3-5و3-6مقاله علمی کامل وخلاص'!D293</f>
        <v>0</v>
      </c>
      <c r="E418" s="2218"/>
      <c r="F418" s="2219"/>
      <c r="G418" s="2220"/>
      <c r="H418" s="2182">
        <f>'بند3-5و3-6مقاله علمی کامل وخلاص'!I291</f>
        <v>0</v>
      </c>
      <c r="I418" s="2183"/>
      <c r="J418" s="2213"/>
      <c r="K418" s="2213"/>
      <c r="L418" s="2213"/>
      <c r="M418" s="2213"/>
      <c r="N418" s="2213"/>
      <c r="O418" s="2213"/>
      <c r="P418" s="2213"/>
      <c r="Q418" s="2216"/>
      <c r="R418" s="2217"/>
      <c r="S418" s="2183"/>
      <c r="T418" s="2183"/>
      <c r="U418" s="2183"/>
      <c r="V418" s="374">
        <f>'بند3-5و3-6مقاله علمی کامل وخلاص'!J295</f>
        <v>0</v>
      </c>
      <c r="W418" s="374">
        <f>'بند3-5و3-6مقاله علمی کامل وخلاص'!J295</f>
        <v>0</v>
      </c>
      <c r="X418" s="375">
        <f>'بند3-5و3-6مقاله علمی کامل وخلاص'!G295</f>
        <v>0</v>
      </c>
      <c r="Y418" s="385">
        <f ca="1">'بند3-5و3-6مقاله علمی کامل وخلاص'!R291</f>
        <v>0</v>
      </c>
    </row>
    <row r="419" spans="1:25" ht="42.75" customHeight="1">
      <c r="A419" s="2196">
        <f>'بند3-5و3-6مقاله علمی کامل وخلاص'!A296</f>
        <v>0</v>
      </c>
      <c r="B419" s="2341">
        <f>'بند3-5و3-6مقاله علمی کامل وخلاص'!B296</f>
        <v>0</v>
      </c>
      <c r="C419" s="2342"/>
      <c r="D419" s="2342"/>
      <c r="E419" s="2198">
        <f>'بند3-5و3-6مقاله علمی کامل وخلاص'!E296</f>
        <v>0</v>
      </c>
      <c r="F419" s="2199"/>
      <c r="G419" s="2200"/>
      <c r="H419" s="2202">
        <f>'بند3-5و3-6مقاله علمی کامل وخلاص'!H296</f>
        <v>0</v>
      </c>
      <c r="I419" s="2203"/>
      <c r="J419" s="2211">
        <f>'بند3-5و3-6مقاله علمی کامل وخلاص'!J296</f>
        <v>0</v>
      </c>
      <c r="K419" s="2212"/>
      <c r="L419" s="2212"/>
      <c r="M419" s="2212"/>
      <c r="N419" s="2212"/>
      <c r="O419" s="2212"/>
      <c r="P419" s="2212"/>
      <c r="Q419" s="2214">
        <f>'بند3-5و3-6مقاله علمی کامل وخلاص'!P296</f>
        <v>0</v>
      </c>
      <c r="R419" s="2215"/>
      <c r="S419" s="2202">
        <f>'بند3-5و3-6مقاله علمی کامل وخلاص'!M296</f>
        <v>0</v>
      </c>
      <c r="T419" s="2203"/>
      <c r="U419" s="2203"/>
      <c r="V419" s="382" t="s">
        <v>762</v>
      </c>
      <c r="W419" s="382" t="s">
        <v>763</v>
      </c>
      <c r="X419" s="382" t="s">
        <v>769</v>
      </c>
      <c r="Y419" s="383" t="s">
        <v>767</v>
      </c>
    </row>
    <row r="420" spans="1:25" ht="42.75" customHeight="1">
      <c r="A420" s="2230"/>
      <c r="B420" s="386">
        <f>'بند3-5و3-6مقاله علمی کامل وخلاص'!B298</f>
        <v>0</v>
      </c>
      <c r="C420" s="386">
        <f>'بند3-5و3-6مقاله علمی کامل وخلاص'!C298</f>
        <v>0</v>
      </c>
      <c r="D420" s="386">
        <f>'بند3-5و3-6مقاله علمی کامل وخلاص'!D298</f>
        <v>0</v>
      </c>
      <c r="E420" s="2218"/>
      <c r="F420" s="2219"/>
      <c r="G420" s="2220"/>
      <c r="H420" s="2182">
        <f>'بند3-5و3-6مقاله علمی کامل وخلاص'!I296</f>
        <v>0</v>
      </c>
      <c r="I420" s="2183"/>
      <c r="J420" s="2213"/>
      <c r="K420" s="2213"/>
      <c r="L420" s="2213"/>
      <c r="M420" s="2213"/>
      <c r="N420" s="2213"/>
      <c r="O420" s="2213"/>
      <c r="P420" s="2213"/>
      <c r="Q420" s="2216"/>
      <c r="R420" s="2217"/>
      <c r="S420" s="2183"/>
      <c r="T420" s="2183"/>
      <c r="U420" s="2183"/>
      <c r="V420" s="374">
        <f>'بند3-5و3-6مقاله علمی کامل وخلاص'!J300</f>
        <v>0</v>
      </c>
      <c r="W420" s="374">
        <f>'بند3-5و3-6مقاله علمی کامل وخلاص'!J300</f>
        <v>0</v>
      </c>
      <c r="X420" s="375">
        <f>'بند3-5و3-6مقاله علمی کامل وخلاص'!G300</f>
        <v>0</v>
      </c>
      <c r="Y420" s="385">
        <f ca="1">'بند3-5و3-6مقاله علمی کامل وخلاص'!R296</f>
        <v>0</v>
      </c>
    </row>
    <row r="421" spans="1:25" ht="42.75" customHeight="1">
      <c r="A421" s="2196">
        <f>'بند3-5و3-6مقاله علمی کامل وخلاص'!A301</f>
        <v>0</v>
      </c>
      <c r="B421" s="2341">
        <f>'بند3-5و3-6مقاله علمی کامل وخلاص'!B301</f>
        <v>0</v>
      </c>
      <c r="C421" s="2342"/>
      <c r="D421" s="2342"/>
      <c r="E421" s="2198">
        <f>'بند3-5و3-6مقاله علمی کامل وخلاص'!E301</f>
        <v>0</v>
      </c>
      <c r="F421" s="2199"/>
      <c r="G421" s="2200"/>
      <c r="H421" s="2202">
        <f>'بند3-5و3-6مقاله علمی کامل وخلاص'!H301</f>
        <v>0</v>
      </c>
      <c r="I421" s="2203"/>
      <c r="J421" s="2211">
        <f>'بند3-5و3-6مقاله علمی کامل وخلاص'!J301</f>
        <v>0</v>
      </c>
      <c r="K421" s="2212"/>
      <c r="L421" s="2212"/>
      <c r="M421" s="2212"/>
      <c r="N421" s="2212"/>
      <c r="O421" s="2212"/>
      <c r="P421" s="2212"/>
      <c r="Q421" s="2214">
        <f>'بند3-5و3-6مقاله علمی کامل وخلاص'!P301</f>
        <v>0</v>
      </c>
      <c r="R421" s="2215"/>
      <c r="S421" s="2202">
        <f>'بند3-5و3-6مقاله علمی کامل وخلاص'!M301</f>
        <v>0</v>
      </c>
      <c r="T421" s="2203"/>
      <c r="U421" s="2203"/>
      <c r="V421" s="382" t="s">
        <v>762</v>
      </c>
      <c r="W421" s="382" t="s">
        <v>763</v>
      </c>
      <c r="X421" s="382" t="s">
        <v>769</v>
      </c>
      <c r="Y421" s="383" t="s">
        <v>767</v>
      </c>
    </row>
    <row r="422" spans="1:25" ht="42.75" customHeight="1">
      <c r="A422" s="2230"/>
      <c r="B422" s="386">
        <f>'بند3-5و3-6مقاله علمی کامل وخلاص'!B303</f>
        <v>0</v>
      </c>
      <c r="C422" s="386">
        <f>'بند3-5و3-6مقاله علمی کامل وخلاص'!C303</f>
        <v>0</v>
      </c>
      <c r="D422" s="386">
        <f>'بند3-5و3-6مقاله علمی کامل وخلاص'!D303</f>
        <v>0</v>
      </c>
      <c r="E422" s="2218"/>
      <c r="F422" s="2219"/>
      <c r="G422" s="2220"/>
      <c r="H422" s="2182">
        <f>'بند3-5و3-6مقاله علمی کامل وخلاص'!I301</f>
        <v>0</v>
      </c>
      <c r="I422" s="2183"/>
      <c r="J422" s="2213"/>
      <c r="K422" s="2213"/>
      <c r="L422" s="2213"/>
      <c r="M422" s="2213"/>
      <c r="N422" s="2213"/>
      <c r="O422" s="2213"/>
      <c r="P422" s="2213"/>
      <c r="Q422" s="2216"/>
      <c r="R422" s="2217"/>
      <c r="S422" s="2183"/>
      <c r="T422" s="2183"/>
      <c r="U422" s="2183"/>
      <c r="V422" s="374">
        <f>'بند3-5و3-6مقاله علمی کامل وخلاص'!J305</f>
        <v>0</v>
      </c>
      <c r="W422" s="374">
        <f>'بند3-5و3-6مقاله علمی کامل وخلاص'!J305</f>
        <v>0</v>
      </c>
      <c r="X422" s="375">
        <f>'بند3-5و3-6مقاله علمی کامل وخلاص'!G305</f>
        <v>0</v>
      </c>
      <c r="Y422" s="385">
        <f ca="1">'بند3-5و3-6مقاله علمی کامل وخلاص'!R301</f>
        <v>0</v>
      </c>
    </row>
    <row r="423" spans="1:25" ht="42.75" customHeight="1">
      <c r="A423" s="2196">
        <f>'بند3-5و3-6مقاله علمی کامل وخلاص'!A306</f>
        <v>0</v>
      </c>
      <c r="B423" s="2341">
        <f>'بند3-5و3-6مقاله علمی کامل وخلاص'!B306</f>
        <v>0</v>
      </c>
      <c r="C423" s="2342"/>
      <c r="D423" s="2342"/>
      <c r="E423" s="2198">
        <f>'بند3-5و3-6مقاله علمی کامل وخلاص'!E306</f>
        <v>0</v>
      </c>
      <c r="F423" s="2199"/>
      <c r="G423" s="2200"/>
      <c r="H423" s="2202">
        <f>'بند3-5و3-6مقاله علمی کامل وخلاص'!H306</f>
        <v>0</v>
      </c>
      <c r="I423" s="2203"/>
      <c r="J423" s="2211">
        <f>'بند3-5و3-6مقاله علمی کامل وخلاص'!J306</f>
        <v>0</v>
      </c>
      <c r="K423" s="2212"/>
      <c r="L423" s="2212"/>
      <c r="M423" s="2212"/>
      <c r="N423" s="2212"/>
      <c r="O423" s="2212"/>
      <c r="P423" s="2212"/>
      <c r="Q423" s="2214">
        <f>'بند3-5و3-6مقاله علمی کامل وخلاص'!P306</f>
        <v>0</v>
      </c>
      <c r="R423" s="2215"/>
      <c r="S423" s="2202">
        <f>'بند3-5و3-6مقاله علمی کامل وخلاص'!M306</f>
        <v>0</v>
      </c>
      <c r="T423" s="2203"/>
      <c r="U423" s="2203"/>
      <c r="V423" s="382" t="s">
        <v>762</v>
      </c>
      <c r="W423" s="382" t="s">
        <v>763</v>
      </c>
      <c r="X423" s="382" t="s">
        <v>769</v>
      </c>
      <c r="Y423" s="383" t="s">
        <v>767</v>
      </c>
    </row>
    <row r="424" spans="1:25" ht="42.75" customHeight="1">
      <c r="A424" s="2230"/>
      <c r="B424" s="386">
        <f>'بند3-5و3-6مقاله علمی کامل وخلاص'!B308</f>
        <v>0</v>
      </c>
      <c r="C424" s="386">
        <f>'بند3-5و3-6مقاله علمی کامل وخلاص'!C308</f>
        <v>0</v>
      </c>
      <c r="D424" s="386">
        <f>'بند3-5و3-6مقاله علمی کامل وخلاص'!D308</f>
        <v>0</v>
      </c>
      <c r="E424" s="2218"/>
      <c r="F424" s="2219"/>
      <c r="G424" s="2220"/>
      <c r="H424" s="2182">
        <f>'بند3-5و3-6مقاله علمی کامل وخلاص'!I306</f>
        <v>0</v>
      </c>
      <c r="I424" s="2183"/>
      <c r="J424" s="2213"/>
      <c r="K424" s="2213"/>
      <c r="L424" s="2213"/>
      <c r="M424" s="2213"/>
      <c r="N424" s="2213"/>
      <c r="O424" s="2213"/>
      <c r="P424" s="2213"/>
      <c r="Q424" s="2216"/>
      <c r="R424" s="2217"/>
      <c r="S424" s="2183"/>
      <c r="T424" s="2183"/>
      <c r="U424" s="2183"/>
      <c r="V424" s="374">
        <f>'بند3-5و3-6مقاله علمی کامل وخلاص'!J310</f>
        <v>0</v>
      </c>
      <c r="W424" s="374">
        <f>'بند3-5و3-6مقاله علمی کامل وخلاص'!J310</f>
        <v>0</v>
      </c>
      <c r="X424" s="375">
        <f>'بند3-5و3-6مقاله علمی کامل وخلاص'!G310</f>
        <v>0</v>
      </c>
      <c r="Y424" s="385">
        <f ca="1">'بند3-5و3-6مقاله علمی کامل وخلاص'!R306</f>
        <v>0</v>
      </c>
    </row>
    <row r="425" spans="1:25" ht="42.75" customHeight="1">
      <c r="A425" s="2196">
        <f>'بند3-5و3-6مقاله علمی کامل وخلاص'!A311</f>
        <v>0</v>
      </c>
      <c r="B425" s="2341">
        <f>'بند3-5و3-6مقاله علمی کامل وخلاص'!B311</f>
        <v>0</v>
      </c>
      <c r="C425" s="2342"/>
      <c r="D425" s="2342"/>
      <c r="E425" s="2198">
        <f>'بند3-5و3-6مقاله علمی کامل وخلاص'!E311</f>
        <v>0</v>
      </c>
      <c r="F425" s="2199"/>
      <c r="G425" s="2200"/>
      <c r="H425" s="2202">
        <f>'بند3-5و3-6مقاله علمی کامل وخلاص'!H311</f>
        <v>0</v>
      </c>
      <c r="I425" s="2203"/>
      <c r="J425" s="2211">
        <f>'بند3-5و3-6مقاله علمی کامل وخلاص'!J311</f>
        <v>0</v>
      </c>
      <c r="K425" s="2212"/>
      <c r="L425" s="2212"/>
      <c r="M425" s="2212"/>
      <c r="N425" s="2212"/>
      <c r="O425" s="2212"/>
      <c r="P425" s="2212"/>
      <c r="Q425" s="2214">
        <f>'بند3-5و3-6مقاله علمی کامل وخلاص'!P311</f>
        <v>0</v>
      </c>
      <c r="R425" s="2215"/>
      <c r="S425" s="2202">
        <f>'بند3-5و3-6مقاله علمی کامل وخلاص'!M311</f>
        <v>0</v>
      </c>
      <c r="T425" s="2203"/>
      <c r="U425" s="2203"/>
      <c r="V425" s="382" t="s">
        <v>762</v>
      </c>
      <c r="W425" s="382" t="s">
        <v>763</v>
      </c>
      <c r="X425" s="382" t="s">
        <v>769</v>
      </c>
      <c r="Y425" s="383" t="s">
        <v>767</v>
      </c>
    </row>
    <row r="426" spans="1:25" ht="42.75" customHeight="1">
      <c r="A426" s="2230"/>
      <c r="B426" s="386">
        <f>'بند3-5و3-6مقاله علمی کامل وخلاص'!B313</f>
        <v>0</v>
      </c>
      <c r="C426" s="386">
        <f>'بند3-5و3-6مقاله علمی کامل وخلاص'!C313</f>
        <v>0</v>
      </c>
      <c r="D426" s="386">
        <f>'بند3-5و3-6مقاله علمی کامل وخلاص'!D313</f>
        <v>0</v>
      </c>
      <c r="E426" s="2218"/>
      <c r="F426" s="2219"/>
      <c r="G426" s="2220"/>
      <c r="H426" s="2182">
        <f>'بند3-5و3-6مقاله علمی کامل وخلاص'!I311</f>
        <v>0</v>
      </c>
      <c r="I426" s="2183"/>
      <c r="J426" s="2213"/>
      <c r="K426" s="2213"/>
      <c r="L426" s="2213"/>
      <c r="M426" s="2213"/>
      <c r="N426" s="2213"/>
      <c r="O426" s="2213"/>
      <c r="P426" s="2213"/>
      <c r="Q426" s="2216"/>
      <c r="R426" s="2217"/>
      <c r="S426" s="2183"/>
      <c r="T426" s="2183"/>
      <c r="U426" s="2183"/>
      <c r="V426" s="374">
        <f>'بند3-5و3-6مقاله علمی کامل وخلاص'!J315</f>
        <v>0</v>
      </c>
      <c r="W426" s="374">
        <f>'بند3-5و3-6مقاله علمی کامل وخلاص'!J315</f>
        <v>0</v>
      </c>
      <c r="X426" s="375">
        <f>'بند3-5و3-6مقاله علمی کامل وخلاص'!G315</f>
        <v>0</v>
      </c>
      <c r="Y426" s="385">
        <f ca="1">'بند3-5و3-6مقاله علمی کامل وخلاص'!R311</f>
        <v>0</v>
      </c>
    </row>
    <row r="427" spans="1:25" ht="42.75" customHeight="1">
      <c r="A427" s="2196">
        <f>'بند3-5و3-6مقاله علمی کامل وخلاص'!A316</f>
        <v>0</v>
      </c>
      <c r="B427" s="2341">
        <f>'بند3-5و3-6مقاله علمی کامل وخلاص'!B316</f>
        <v>0</v>
      </c>
      <c r="C427" s="2342"/>
      <c r="D427" s="2342"/>
      <c r="E427" s="2198">
        <f>'بند3-5و3-6مقاله علمی کامل وخلاص'!E316</f>
        <v>0</v>
      </c>
      <c r="F427" s="2199"/>
      <c r="G427" s="2200"/>
      <c r="H427" s="2202">
        <f>'بند3-5و3-6مقاله علمی کامل وخلاص'!H316</f>
        <v>0</v>
      </c>
      <c r="I427" s="2203"/>
      <c r="J427" s="2211">
        <f>'بند3-5و3-6مقاله علمی کامل وخلاص'!J316</f>
        <v>0</v>
      </c>
      <c r="K427" s="2212"/>
      <c r="L427" s="2212"/>
      <c r="M427" s="2212"/>
      <c r="N427" s="2212"/>
      <c r="O427" s="2212"/>
      <c r="P427" s="2212"/>
      <c r="Q427" s="2214">
        <f>'بند3-5و3-6مقاله علمی کامل وخلاص'!P316</f>
        <v>0</v>
      </c>
      <c r="R427" s="2215"/>
      <c r="S427" s="2202">
        <f>'بند3-5و3-6مقاله علمی کامل وخلاص'!M316</f>
        <v>0</v>
      </c>
      <c r="T427" s="2203"/>
      <c r="U427" s="2203"/>
      <c r="V427" s="382" t="s">
        <v>762</v>
      </c>
      <c r="W427" s="382" t="s">
        <v>763</v>
      </c>
      <c r="X427" s="382" t="s">
        <v>769</v>
      </c>
      <c r="Y427" s="383" t="s">
        <v>767</v>
      </c>
    </row>
    <row r="428" spans="1:25" ht="42.75" customHeight="1">
      <c r="A428" s="2230"/>
      <c r="B428" s="386">
        <f>'بند3-5و3-6مقاله علمی کامل وخلاص'!B318</f>
        <v>0</v>
      </c>
      <c r="C428" s="386">
        <f>'بند3-5و3-6مقاله علمی کامل وخلاص'!C318</f>
        <v>0</v>
      </c>
      <c r="D428" s="386">
        <f>'بند3-5و3-6مقاله علمی کامل وخلاص'!D318</f>
        <v>0</v>
      </c>
      <c r="E428" s="2218"/>
      <c r="F428" s="2219"/>
      <c r="G428" s="2220"/>
      <c r="H428" s="2182">
        <f>'بند3-5و3-6مقاله علمی کامل وخلاص'!I316</f>
        <v>0</v>
      </c>
      <c r="I428" s="2183"/>
      <c r="J428" s="2213"/>
      <c r="K428" s="2213"/>
      <c r="L428" s="2213"/>
      <c r="M428" s="2213"/>
      <c r="N428" s="2213"/>
      <c r="O428" s="2213"/>
      <c r="P428" s="2213"/>
      <c r="Q428" s="2216"/>
      <c r="R428" s="2217"/>
      <c r="S428" s="2183"/>
      <c r="T428" s="2183"/>
      <c r="U428" s="2183"/>
      <c r="V428" s="374">
        <f>'بند3-5و3-6مقاله علمی کامل وخلاص'!J320</f>
        <v>0</v>
      </c>
      <c r="W428" s="374">
        <f>'بند3-5و3-6مقاله علمی کامل وخلاص'!J320</f>
        <v>0</v>
      </c>
      <c r="X428" s="375">
        <f>'بند3-5و3-6مقاله علمی کامل وخلاص'!G320</f>
        <v>0</v>
      </c>
      <c r="Y428" s="385">
        <f ca="1">'بند3-5و3-6مقاله علمی کامل وخلاص'!R316</f>
        <v>0</v>
      </c>
    </row>
    <row r="429" spans="1:25" ht="42.75" customHeight="1">
      <c r="A429" s="2196">
        <f>'بند3-5و3-6مقاله علمی کامل وخلاص'!A321</f>
        <v>0</v>
      </c>
      <c r="B429" s="2341">
        <f>'بند3-5و3-6مقاله علمی کامل وخلاص'!B321</f>
        <v>0</v>
      </c>
      <c r="C429" s="2342"/>
      <c r="D429" s="2342"/>
      <c r="E429" s="2198">
        <f>'بند3-5و3-6مقاله علمی کامل وخلاص'!E321</f>
        <v>0</v>
      </c>
      <c r="F429" s="2199"/>
      <c r="G429" s="2200"/>
      <c r="H429" s="2202">
        <f>'بند3-5و3-6مقاله علمی کامل وخلاص'!H321</f>
        <v>0</v>
      </c>
      <c r="I429" s="2203"/>
      <c r="J429" s="2211">
        <f>'بند3-5و3-6مقاله علمی کامل وخلاص'!J321</f>
        <v>0</v>
      </c>
      <c r="K429" s="2212"/>
      <c r="L429" s="2212"/>
      <c r="M429" s="2212"/>
      <c r="N429" s="2212"/>
      <c r="O429" s="2212"/>
      <c r="P429" s="2212"/>
      <c r="Q429" s="2214">
        <f>'بند3-5و3-6مقاله علمی کامل وخلاص'!P321</f>
        <v>0</v>
      </c>
      <c r="R429" s="2215"/>
      <c r="S429" s="2202">
        <f>'بند3-5و3-6مقاله علمی کامل وخلاص'!M321</f>
        <v>0</v>
      </c>
      <c r="T429" s="2203"/>
      <c r="U429" s="2203"/>
      <c r="V429" s="382" t="s">
        <v>762</v>
      </c>
      <c r="W429" s="382" t="s">
        <v>763</v>
      </c>
      <c r="X429" s="382" t="s">
        <v>769</v>
      </c>
      <c r="Y429" s="383" t="s">
        <v>767</v>
      </c>
    </row>
    <row r="430" spans="1:25" ht="42.75" customHeight="1">
      <c r="A430" s="2230"/>
      <c r="B430" s="386">
        <f>'بند3-5و3-6مقاله علمی کامل وخلاص'!B323</f>
        <v>0</v>
      </c>
      <c r="C430" s="386">
        <f>'بند3-5و3-6مقاله علمی کامل وخلاص'!C323</f>
        <v>0</v>
      </c>
      <c r="D430" s="386">
        <f>'بند3-5و3-6مقاله علمی کامل وخلاص'!D323</f>
        <v>0</v>
      </c>
      <c r="E430" s="2218"/>
      <c r="F430" s="2219"/>
      <c r="G430" s="2220"/>
      <c r="H430" s="2182">
        <f>'بند3-5و3-6مقاله علمی کامل وخلاص'!I321</f>
        <v>0</v>
      </c>
      <c r="I430" s="2183"/>
      <c r="J430" s="2213"/>
      <c r="K430" s="2213"/>
      <c r="L430" s="2213"/>
      <c r="M430" s="2213"/>
      <c r="N430" s="2213"/>
      <c r="O430" s="2213"/>
      <c r="P430" s="2213"/>
      <c r="Q430" s="2216"/>
      <c r="R430" s="2217"/>
      <c r="S430" s="2183"/>
      <c r="T430" s="2183"/>
      <c r="U430" s="2183"/>
      <c r="V430" s="374">
        <f>'بند3-5و3-6مقاله علمی کامل وخلاص'!J325</f>
        <v>0</v>
      </c>
      <c r="W430" s="374">
        <f>'بند3-5و3-6مقاله علمی کامل وخلاص'!J325</f>
        <v>0</v>
      </c>
      <c r="X430" s="375">
        <f>'بند3-5و3-6مقاله علمی کامل وخلاص'!G325</f>
        <v>0</v>
      </c>
      <c r="Y430" s="385">
        <f ca="1">'بند3-5و3-6مقاله علمی کامل وخلاص'!R321</f>
        <v>0</v>
      </c>
    </row>
    <row r="431" spans="1:25" ht="42.75" customHeight="1">
      <c r="A431" s="2196">
        <f>'بند3-5و3-6مقاله علمی کامل وخلاص'!A326</f>
        <v>0</v>
      </c>
      <c r="B431" s="2341">
        <f>'بند3-5و3-6مقاله علمی کامل وخلاص'!B326</f>
        <v>0</v>
      </c>
      <c r="C431" s="2342"/>
      <c r="D431" s="2342"/>
      <c r="E431" s="2198">
        <f>'بند3-5و3-6مقاله علمی کامل وخلاص'!E326</f>
        <v>0</v>
      </c>
      <c r="F431" s="2199"/>
      <c r="G431" s="2200"/>
      <c r="H431" s="2202">
        <f>'بند3-5و3-6مقاله علمی کامل وخلاص'!H326</f>
        <v>0</v>
      </c>
      <c r="I431" s="2203"/>
      <c r="J431" s="2211">
        <f>'بند3-5و3-6مقاله علمی کامل وخلاص'!J326</f>
        <v>0</v>
      </c>
      <c r="K431" s="2212"/>
      <c r="L431" s="2212"/>
      <c r="M431" s="2212"/>
      <c r="N431" s="2212"/>
      <c r="O431" s="2212"/>
      <c r="P431" s="2212"/>
      <c r="Q431" s="2214">
        <f>'بند3-5و3-6مقاله علمی کامل وخلاص'!P326</f>
        <v>0</v>
      </c>
      <c r="R431" s="2215"/>
      <c r="S431" s="2202">
        <f>'بند3-5و3-6مقاله علمی کامل وخلاص'!M326</f>
        <v>0</v>
      </c>
      <c r="T431" s="2203"/>
      <c r="U431" s="2203"/>
      <c r="V431" s="382" t="s">
        <v>762</v>
      </c>
      <c r="W431" s="382" t="s">
        <v>763</v>
      </c>
      <c r="X431" s="382" t="s">
        <v>769</v>
      </c>
      <c r="Y431" s="383" t="s">
        <v>767</v>
      </c>
    </row>
    <row r="432" spans="1:25" ht="42.75" customHeight="1">
      <c r="A432" s="2230"/>
      <c r="B432" s="386">
        <f>'بند3-5و3-6مقاله علمی کامل وخلاص'!B328</f>
        <v>0</v>
      </c>
      <c r="C432" s="386">
        <f>'بند3-5و3-6مقاله علمی کامل وخلاص'!C328</f>
        <v>0</v>
      </c>
      <c r="D432" s="386">
        <f>'بند3-5و3-6مقاله علمی کامل وخلاص'!D328</f>
        <v>0</v>
      </c>
      <c r="E432" s="2218"/>
      <c r="F432" s="2219"/>
      <c r="G432" s="2220"/>
      <c r="H432" s="2182">
        <f>'بند3-5و3-6مقاله علمی کامل وخلاص'!I326</f>
        <v>0</v>
      </c>
      <c r="I432" s="2183"/>
      <c r="J432" s="2213"/>
      <c r="K432" s="2213"/>
      <c r="L432" s="2213"/>
      <c r="M432" s="2213"/>
      <c r="N432" s="2213"/>
      <c r="O432" s="2213"/>
      <c r="P432" s="2213"/>
      <c r="Q432" s="2216"/>
      <c r="R432" s="2217"/>
      <c r="S432" s="2183"/>
      <c r="T432" s="2183"/>
      <c r="U432" s="2183"/>
      <c r="V432" s="374">
        <f>'بند3-5و3-6مقاله علمی کامل وخلاص'!J330</f>
        <v>0</v>
      </c>
      <c r="W432" s="374">
        <f>'بند3-5و3-6مقاله علمی کامل وخلاص'!J330</f>
        <v>0</v>
      </c>
      <c r="X432" s="375">
        <f>'بند3-5و3-6مقاله علمی کامل وخلاص'!G330</f>
        <v>0</v>
      </c>
      <c r="Y432" s="385">
        <f ca="1">'بند3-5و3-6مقاله علمی کامل وخلاص'!R326</f>
        <v>0</v>
      </c>
    </row>
    <row r="433" spans="1:25" ht="42.75" customHeight="1">
      <c r="A433" s="2196">
        <f>'بند3-5و3-6مقاله علمی کامل وخلاص'!A331</f>
        <v>0</v>
      </c>
      <c r="B433" s="2341">
        <f>'بند3-5و3-6مقاله علمی کامل وخلاص'!B331</f>
        <v>0</v>
      </c>
      <c r="C433" s="2342"/>
      <c r="D433" s="2342"/>
      <c r="E433" s="2198">
        <f>'بند3-5و3-6مقاله علمی کامل وخلاص'!E331</f>
        <v>0</v>
      </c>
      <c r="F433" s="2199"/>
      <c r="G433" s="2200"/>
      <c r="H433" s="2202">
        <f>'بند3-5و3-6مقاله علمی کامل وخلاص'!H331</f>
        <v>0</v>
      </c>
      <c r="I433" s="2203"/>
      <c r="J433" s="2211">
        <f>'بند3-5و3-6مقاله علمی کامل وخلاص'!J331</f>
        <v>0</v>
      </c>
      <c r="K433" s="2212"/>
      <c r="L433" s="2212"/>
      <c r="M433" s="2212"/>
      <c r="N433" s="2212"/>
      <c r="O433" s="2212"/>
      <c r="P433" s="2212"/>
      <c r="Q433" s="2214">
        <f>'بند3-5و3-6مقاله علمی کامل وخلاص'!P331</f>
        <v>0</v>
      </c>
      <c r="R433" s="2215"/>
      <c r="S433" s="2202">
        <f>'بند3-5و3-6مقاله علمی کامل وخلاص'!M331</f>
        <v>0</v>
      </c>
      <c r="T433" s="2203"/>
      <c r="U433" s="2203"/>
      <c r="V433" s="382" t="s">
        <v>762</v>
      </c>
      <c r="W433" s="382" t="s">
        <v>763</v>
      </c>
      <c r="X433" s="382" t="s">
        <v>769</v>
      </c>
      <c r="Y433" s="383" t="s">
        <v>767</v>
      </c>
    </row>
    <row r="434" spans="1:25" ht="42.75" customHeight="1">
      <c r="A434" s="2230"/>
      <c r="B434" s="386">
        <f>'بند3-5و3-6مقاله علمی کامل وخلاص'!B333</f>
        <v>0</v>
      </c>
      <c r="C434" s="386">
        <f>'بند3-5و3-6مقاله علمی کامل وخلاص'!C333</f>
        <v>0</v>
      </c>
      <c r="D434" s="386">
        <f>'بند3-5و3-6مقاله علمی کامل وخلاص'!D333</f>
        <v>0</v>
      </c>
      <c r="E434" s="2218"/>
      <c r="F434" s="2219"/>
      <c r="G434" s="2220"/>
      <c r="H434" s="2182">
        <f>'بند3-5و3-6مقاله علمی کامل وخلاص'!I331</f>
        <v>0</v>
      </c>
      <c r="I434" s="2183"/>
      <c r="J434" s="2213"/>
      <c r="K434" s="2213"/>
      <c r="L434" s="2213"/>
      <c r="M434" s="2213"/>
      <c r="N434" s="2213"/>
      <c r="O434" s="2213"/>
      <c r="P434" s="2213"/>
      <c r="Q434" s="2216"/>
      <c r="R434" s="2217"/>
      <c r="S434" s="2183"/>
      <c r="T434" s="2183"/>
      <c r="U434" s="2183"/>
      <c r="V434" s="374">
        <f>'بند3-5و3-6مقاله علمی کامل وخلاص'!J335</f>
        <v>0</v>
      </c>
      <c r="W434" s="374">
        <f>'بند3-5و3-6مقاله علمی کامل وخلاص'!J335</f>
        <v>0</v>
      </c>
      <c r="X434" s="375">
        <f>'بند3-5و3-6مقاله علمی کامل وخلاص'!G335</f>
        <v>0</v>
      </c>
      <c r="Y434" s="385">
        <f ca="1">'بند3-5و3-6مقاله علمی کامل وخلاص'!R331</f>
        <v>0</v>
      </c>
    </row>
    <row r="435" spans="1:25" ht="42.75" customHeight="1">
      <c r="A435" s="2196">
        <f>'بند3-5و3-6مقاله علمی کامل وخلاص'!A336</f>
        <v>0</v>
      </c>
      <c r="B435" s="2341">
        <f>'بند3-5و3-6مقاله علمی کامل وخلاص'!B336</f>
        <v>0</v>
      </c>
      <c r="C435" s="2342"/>
      <c r="D435" s="2342"/>
      <c r="E435" s="2198">
        <f>'بند3-5و3-6مقاله علمی کامل وخلاص'!E336</f>
        <v>0</v>
      </c>
      <c r="F435" s="2199"/>
      <c r="G435" s="2200"/>
      <c r="H435" s="2202">
        <f>'بند3-5و3-6مقاله علمی کامل وخلاص'!H336</f>
        <v>0</v>
      </c>
      <c r="I435" s="2203"/>
      <c r="J435" s="2211">
        <f>'بند3-5و3-6مقاله علمی کامل وخلاص'!J336</f>
        <v>0</v>
      </c>
      <c r="K435" s="2212"/>
      <c r="L435" s="2212"/>
      <c r="M435" s="2212"/>
      <c r="N435" s="2212"/>
      <c r="O435" s="2212"/>
      <c r="P435" s="2212"/>
      <c r="Q435" s="2214">
        <f>'بند3-5و3-6مقاله علمی کامل وخلاص'!P336</f>
        <v>0</v>
      </c>
      <c r="R435" s="2215"/>
      <c r="S435" s="2202">
        <f>'بند3-5و3-6مقاله علمی کامل وخلاص'!M336</f>
        <v>0</v>
      </c>
      <c r="T435" s="2203"/>
      <c r="U435" s="2203"/>
      <c r="V435" s="382" t="s">
        <v>762</v>
      </c>
      <c r="W435" s="382" t="s">
        <v>763</v>
      </c>
      <c r="X435" s="382" t="s">
        <v>769</v>
      </c>
      <c r="Y435" s="383" t="s">
        <v>767</v>
      </c>
    </row>
    <row r="436" spans="1:25" ht="42.75" customHeight="1">
      <c r="A436" s="2230"/>
      <c r="B436" s="386">
        <f>'بند3-5و3-6مقاله علمی کامل وخلاص'!B338</f>
        <v>0</v>
      </c>
      <c r="C436" s="386">
        <f>'بند3-5و3-6مقاله علمی کامل وخلاص'!C338</f>
        <v>0</v>
      </c>
      <c r="D436" s="386">
        <f>'بند3-5و3-6مقاله علمی کامل وخلاص'!D338</f>
        <v>0</v>
      </c>
      <c r="E436" s="2218"/>
      <c r="F436" s="2219"/>
      <c r="G436" s="2220"/>
      <c r="H436" s="2182">
        <f>'بند3-5و3-6مقاله علمی کامل وخلاص'!I336</f>
        <v>0</v>
      </c>
      <c r="I436" s="2183"/>
      <c r="J436" s="2213"/>
      <c r="K436" s="2213"/>
      <c r="L436" s="2213"/>
      <c r="M436" s="2213"/>
      <c r="N436" s="2213"/>
      <c r="O436" s="2213"/>
      <c r="P436" s="2213"/>
      <c r="Q436" s="2216"/>
      <c r="R436" s="2217"/>
      <c r="S436" s="2183"/>
      <c r="T436" s="2183"/>
      <c r="U436" s="2183"/>
      <c r="V436" s="374">
        <f>'بند3-5و3-6مقاله علمی کامل وخلاص'!J340</f>
        <v>0</v>
      </c>
      <c r="W436" s="374">
        <f>'بند3-5و3-6مقاله علمی کامل وخلاص'!J340</f>
        <v>0</v>
      </c>
      <c r="X436" s="375">
        <f>'بند3-5و3-6مقاله علمی کامل وخلاص'!G340</f>
        <v>0</v>
      </c>
      <c r="Y436" s="385">
        <f ca="1">'بند3-5و3-6مقاله علمی کامل وخلاص'!R336</f>
        <v>0</v>
      </c>
    </row>
    <row r="437" spans="1:25" ht="42.75" customHeight="1">
      <c r="A437" s="2196">
        <f>'بند3-5و3-6مقاله علمی کامل وخلاص'!A341</f>
        <v>0</v>
      </c>
      <c r="B437" s="2341">
        <f>'بند3-5و3-6مقاله علمی کامل وخلاص'!B341</f>
        <v>0</v>
      </c>
      <c r="C437" s="2342"/>
      <c r="D437" s="2342"/>
      <c r="E437" s="2198">
        <f>'بند3-5و3-6مقاله علمی کامل وخلاص'!E341</f>
        <v>0</v>
      </c>
      <c r="F437" s="2199"/>
      <c r="G437" s="2200"/>
      <c r="H437" s="2202">
        <f>'بند3-5و3-6مقاله علمی کامل وخلاص'!H341</f>
        <v>0</v>
      </c>
      <c r="I437" s="2203"/>
      <c r="J437" s="2211">
        <f>'بند3-5و3-6مقاله علمی کامل وخلاص'!J341</f>
        <v>0</v>
      </c>
      <c r="K437" s="2212"/>
      <c r="L437" s="2212"/>
      <c r="M437" s="2212"/>
      <c r="N437" s="2212"/>
      <c r="O437" s="2212"/>
      <c r="P437" s="2212"/>
      <c r="Q437" s="2214">
        <f>'بند3-5و3-6مقاله علمی کامل وخلاص'!P341</f>
        <v>0</v>
      </c>
      <c r="R437" s="2215"/>
      <c r="S437" s="2202">
        <f>'بند3-5و3-6مقاله علمی کامل وخلاص'!M341</f>
        <v>0</v>
      </c>
      <c r="T437" s="2203"/>
      <c r="U437" s="2203"/>
      <c r="V437" s="382" t="s">
        <v>762</v>
      </c>
      <c r="W437" s="382" t="s">
        <v>763</v>
      </c>
      <c r="X437" s="382" t="s">
        <v>769</v>
      </c>
      <c r="Y437" s="383" t="s">
        <v>767</v>
      </c>
    </row>
    <row r="438" spans="1:25" ht="42.75" customHeight="1">
      <c r="A438" s="2230"/>
      <c r="B438" s="386">
        <f>'بند3-5و3-6مقاله علمی کامل وخلاص'!B343</f>
        <v>0</v>
      </c>
      <c r="C438" s="386">
        <f>'بند3-5و3-6مقاله علمی کامل وخلاص'!C343</f>
        <v>0</v>
      </c>
      <c r="D438" s="386">
        <f>'بند3-5و3-6مقاله علمی کامل وخلاص'!D343</f>
        <v>0</v>
      </c>
      <c r="E438" s="2218"/>
      <c r="F438" s="2219"/>
      <c r="G438" s="2220"/>
      <c r="H438" s="2182">
        <f>'بند3-5و3-6مقاله علمی کامل وخلاص'!I341</f>
        <v>0</v>
      </c>
      <c r="I438" s="2183"/>
      <c r="J438" s="2213"/>
      <c r="K438" s="2213"/>
      <c r="L438" s="2213"/>
      <c r="M438" s="2213"/>
      <c r="N438" s="2213"/>
      <c r="O438" s="2213"/>
      <c r="P438" s="2213"/>
      <c r="Q438" s="2216"/>
      <c r="R438" s="2217"/>
      <c r="S438" s="2183"/>
      <c r="T438" s="2183"/>
      <c r="U438" s="2183"/>
      <c r="V438" s="374">
        <f>'بند3-5و3-6مقاله علمی کامل وخلاص'!J345</f>
        <v>0</v>
      </c>
      <c r="W438" s="374">
        <f>'بند3-5و3-6مقاله علمی کامل وخلاص'!J345</f>
        <v>0</v>
      </c>
      <c r="X438" s="375">
        <f>'بند3-5و3-6مقاله علمی کامل وخلاص'!G345</f>
        <v>0</v>
      </c>
      <c r="Y438" s="385">
        <f ca="1">'بند3-5و3-6مقاله علمی کامل وخلاص'!R341</f>
        <v>0</v>
      </c>
    </row>
    <row r="439" spans="1:25" ht="42.75" customHeight="1">
      <c r="A439" s="2196">
        <f>'بند3-5و3-6مقاله علمی کامل وخلاص'!A346</f>
        <v>0</v>
      </c>
      <c r="B439" s="2341">
        <f>'بند3-5و3-6مقاله علمی کامل وخلاص'!B346</f>
        <v>0</v>
      </c>
      <c r="C439" s="2342"/>
      <c r="D439" s="2342"/>
      <c r="E439" s="2198">
        <f>'بند3-5و3-6مقاله علمی کامل وخلاص'!E346</f>
        <v>0</v>
      </c>
      <c r="F439" s="2199"/>
      <c r="G439" s="2200"/>
      <c r="H439" s="2202">
        <f>'بند3-5و3-6مقاله علمی کامل وخلاص'!H346</f>
        <v>0</v>
      </c>
      <c r="I439" s="2203"/>
      <c r="J439" s="2211">
        <f>'بند3-5و3-6مقاله علمی کامل وخلاص'!J346</f>
        <v>0</v>
      </c>
      <c r="K439" s="2212"/>
      <c r="L439" s="2212"/>
      <c r="M439" s="2212"/>
      <c r="N439" s="2212"/>
      <c r="O439" s="2212"/>
      <c r="P439" s="2212"/>
      <c r="Q439" s="2214">
        <f>'بند3-5و3-6مقاله علمی کامل وخلاص'!P346</f>
        <v>0</v>
      </c>
      <c r="R439" s="2215"/>
      <c r="S439" s="2202">
        <f>'بند3-5و3-6مقاله علمی کامل وخلاص'!M346</f>
        <v>0</v>
      </c>
      <c r="T439" s="2203"/>
      <c r="U439" s="2203"/>
      <c r="V439" s="382" t="s">
        <v>762</v>
      </c>
      <c r="W439" s="382" t="s">
        <v>763</v>
      </c>
      <c r="X439" s="382" t="s">
        <v>769</v>
      </c>
      <c r="Y439" s="383" t="s">
        <v>767</v>
      </c>
    </row>
    <row r="440" spans="1:25" ht="42.75" customHeight="1">
      <c r="A440" s="2230"/>
      <c r="B440" s="386">
        <f>'بند3-5و3-6مقاله علمی کامل وخلاص'!B348</f>
        <v>0</v>
      </c>
      <c r="C440" s="386">
        <f>'بند3-5و3-6مقاله علمی کامل وخلاص'!C348</f>
        <v>0</v>
      </c>
      <c r="D440" s="386">
        <f>'بند3-5و3-6مقاله علمی کامل وخلاص'!D348</f>
        <v>0</v>
      </c>
      <c r="E440" s="2218"/>
      <c r="F440" s="2219"/>
      <c r="G440" s="2220"/>
      <c r="H440" s="2182">
        <f>'بند3-5و3-6مقاله علمی کامل وخلاص'!I346</f>
        <v>0</v>
      </c>
      <c r="I440" s="2183"/>
      <c r="J440" s="2213"/>
      <c r="K440" s="2213"/>
      <c r="L440" s="2213"/>
      <c r="M440" s="2213"/>
      <c r="N440" s="2213"/>
      <c r="O440" s="2213"/>
      <c r="P440" s="2213"/>
      <c r="Q440" s="2216"/>
      <c r="R440" s="2217"/>
      <c r="S440" s="2183"/>
      <c r="T440" s="2183"/>
      <c r="U440" s="2183"/>
      <c r="V440" s="374">
        <f>'بند3-5و3-6مقاله علمی کامل وخلاص'!J350</f>
        <v>0</v>
      </c>
      <c r="W440" s="374">
        <f>'بند3-5و3-6مقاله علمی کامل وخلاص'!J350</f>
        <v>0</v>
      </c>
      <c r="X440" s="375">
        <f>'بند3-5و3-6مقاله علمی کامل وخلاص'!G350</f>
        <v>0</v>
      </c>
      <c r="Y440" s="385">
        <f ca="1">'بند3-5و3-6مقاله علمی کامل وخلاص'!R346</f>
        <v>0</v>
      </c>
    </row>
    <row r="441" spans="1:25" ht="42.75" customHeight="1">
      <c r="A441" s="2196">
        <f>'بند3-5و3-6مقاله علمی کامل وخلاص'!A351</f>
        <v>0</v>
      </c>
      <c r="B441" s="2341">
        <f>'بند3-5و3-6مقاله علمی کامل وخلاص'!B351</f>
        <v>0</v>
      </c>
      <c r="C441" s="2342"/>
      <c r="D441" s="2342"/>
      <c r="E441" s="2198">
        <f>'بند3-5و3-6مقاله علمی کامل وخلاص'!E351</f>
        <v>0</v>
      </c>
      <c r="F441" s="2199"/>
      <c r="G441" s="2200"/>
      <c r="H441" s="2202">
        <f>'بند3-5و3-6مقاله علمی کامل وخلاص'!H351</f>
        <v>0</v>
      </c>
      <c r="I441" s="2203"/>
      <c r="J441" s="2211">
        <f>'بند3-5و3-6مقاله علمی کامل وخلاص'!J351</f>
        <v>0</v>
      </c>
      <c r="K441" s="2212"/>
      <c r="L441" s="2212"/>
      <c r="M441" s="2212"/>
      <c r="N441" s="2212"/>
      <c r="O441" s="2212"/>
      <c r="P441" s="2212"/>
      <c r="Q441" s="2214">
        <f>'بند3-5و3-6مقاله علمی کامل وخلاص'!P351</f>
        <v>0</v>
      </c>
      <c r="R441" s="2215"/>
      <c r="S441" s="2202">
        <f>'بند3-5و3-6مقاله علمی کامل وخلاص'!M351</f>
        <v>0</v>
      </c>
      <c r="T441" s="2203"/>
      <c r="U441" s="2203"/>
      <c r="V441" s="382" t="s">
        <v>762</v>
      </c>
      <c r="W441" s="382" t="s">
        <v>763</v>
      </c>
      <c r="X441" s="382" t="s">
        <v>769</v>
      </c>
      <c r="Y441" s="383" t="s">
        <v>767</v>
      </c>
    </row>
    <row r="442" spans="1:25" ht="42.75" customHeight="1">
      <c r="A442" s="2230"/>
      <c r="B442" s="386">
        <f>'بند3-5و3-6مقاله علمی کامل وخلاص'!B353</f>
        <v>0</v>
      </c>
      <c r="C442" s="386">
        <f>'بند3-5و3-6مقاله علمی کامل وخلاص'!C353</f>
        <v>0</v>
      </c>
      <c r="D442" s="386">
        <f>'بند3-5و3-6مقاله علمی کامل وخلاص'!D353</f>
        <v>0</v>
      </c>
      <c r="E442" s="2218"/>
      <c r="F442" s="2219"/>
      <c r="G442" s="2220"/>
      <c r="H442" s="2182">
        <f>'بند3-5و3-6مقاله علمی کامل وخلاص'!I351</f>
        <v>0</v>
      </c>
      <c r="I442" s="2183"/>
      <c r="J442" s="2213"/>
      <c r="K442" s="2213"/>
      <c r="L442" s="2213"/>
      <c r="M442" s="2213"/>
      <c r="N442" s="2213"/>
      <c r="O442" s="2213"/>
      <c r="P442" s="2213"/>
      <c r="Q442" s="2216"/>
      <c r="R442" s="2217"/>
      <c r="S442" s="2183"/>
      <c r="T442" s="2183"/>
      <c r="U442" s="2183"/>
      <c r="V442" s="374">
        <f>'بند3-5و3-6مقاله علمی کامل وخلاص'!J355</f>
        <v>0</v>
      </c>
      <c r="W442" s="374">
        <f>'بند3-5و3-6مقاله علمی کامل وخلاص'!J355</f>
        <v>0</v>
      </c>
      <c r="X442" s="375">
        <f>'بند3-5و3-6مقاله علمی کامل وخلاص'!G355</f>
        <v>0</v>
      </c>
      <c r="Y442" s="385">
        <f ca="1">'بند3-5و3-6مقاله علمی کامل وخلاص'!R351</f>
        <v>0</v>
      </c>
    </row>
    <row r="443" spans="1:25" ht="42.75" customHeight="1">
      <c r="A443" s="2196">
        <f>'بند3-5و3-6مقاله علمی کامل وخلاص'!A356</f>
        <v>0</v>
      </c>
      <c r="B443" s="2341">
        <f>'بند3-5و3-6مقاله علمی کامل وخلاص'!B356</f>
        <v>0</v>
      </c>
      <c r="C443" s="2342"/>
      <c r="D443" s="2342"/>
      <c r="E443" s="2198">
        <f>'بند3-5و3-6مقاله علمی کامل وخلاص'!E356</f>
        <v>0</v>
      </c>
      <c r="F443" s="2199"/>
      <c r="G443" s="2200"/>
      <c r="H443" s="2202">
        <f>'بند3-5و3-6مقاله علمی کامل وخلاص'!H356</f>
        <v>0</v>
      </c>
      <c r="I443" s="2203"/>
      <c r="J443" s="2211">
        <f>'بند3-5و3-6مقاله علمی کامل وخلاص'!J356</f>
        <v>0</v>
      </c>
      <c r="K443" s="2212"/>
      <c r="L443" s="2212"/>
      <c r="M443" s="2212"/>
      <c r="N443" s="2212"/>
      <c r="O443" s="2212"/>
      <c r="P443" s="2212"/>
      <c r="Q443" s="2214">
        <f>'بند3-5و3-6مقاله علمی کامل وخلاص'!P356</f>
        <v>0</v>
      </c>
      <c r="R443" s="2215"/>
      <c r="S443" s="2202">
        <f>'بند3-5و3-6مقاله علمی کامل وخلاص'!M356</f>
        <v>0</v>
      </c>
      <c r="T443" s="2203"/>
      <c r="U443" s="2203"/>
      <c r="V443" s="382" t="s">
        <v>762</v>
      </c>
      <c r="W443" s="382" t="s">
        <v>763</v>
      </c>
      <c r="X443" s="382" t="s">
        <v>769</v>
      </c>
      <c r="Y443" s="383" t="s">
        <v>767</v>
      </c>
    </row>
    <row r="444" spans="1:25" ht="42.75" customHeight="1">
      <c r="A444" s="2230"/>
      <c r="B444" s="386">
        <f>'بند3-5و3-6مقاله علمی کامل وخلاص'!B358</f>
        <v>0</v>
      </c>
      <c r="C444" s="386">
        <f>'بند3-5و3-6مقاله علمی کامل وخلاص'!C358</f>
        <v>0</v>
      </c>
      <c r="D444" s="386">
        <f>'بند3-5و3-6مقاله علمی کامل وخلاص'!D358</f>
        <v>0</v>
      </c>
      <c r="E444" s="2218"/>
      <c r="F444" s="2219"/>
      <c r="G444" s="2220"/>
      <c r="H444" s="2182">
        <f>'بند3-5و3-6مقاله علمی کامل وخلاص'!I356</f>
        <v>0</v>
      </c>
      <c r="I444" s="2183"/>
      <c r="J444" s="2213"/>
      <c r="K444" s="2213"/>
      <c r="L444" s="2213"/>
      <c r="M444" s="2213"/>
      <c r="N444" s="2213"/>
      <c r="O444" s="2213"/>
      <c r="P444" s="2213"/>
      <c r="Q444" s="2216"/>
      <c r="R444" s="2217"/>
      <c r="S444" s="2183"/>
      <c r="T444" s="2183"/>
      <c r="U444" s="2183"/>
      <c r="V444" s="374">
        <f>'بند3-5و3-6مقاله علمی کامل وخلاص'!J360</f>
        <v>0</v>
      </c>
      <c r="W444" s="374">
        <f>'بند3-5و3-6مقاله علمی کامل وخلاص'!J360</f>
        <v>0</v>
      </c>
      <c r="X444" s="375">
        <f>'بند3-5و3-6مقاله علمی کامل وخلاص'!G360</f>
        <v>0</v>
      </c>
      <c r="Y444" s="385">
        <f ca="1">'بند3-5و3-6مقاله علمی کامل وخلاص'!R356</f>
        <v>0</v>
      </c>
    </row>
    <row r="445" spans="1:25" ht="42.75" customHeight="1">
      <c r="A445" s="2196">
        <f>'بند3-5و3-6مقاله علمی کامل وخلاص'!A361</f>
        <v>0</v>
      </c>
      <c r="B445" s="2341">
        <f>'بند3-5و3-6مقاله علمی کامل وخلاص'!B361</f>
        <v>0</v>
      </c>
      <c r="C445" s="2342"/>
      <c r="D445" s="2342"/>
      <c r="E445" s="2198">
        <f>'بند3-5و3-6مقاله علمی کامل وخلاص'!E361</f>
        <v>0</v>
      </c>
      <c r="F445" s="2199"/>
      <c r="G445" s="2200"/>
      <c r="H445" s="2202">
        <f>'بند3-5و3-6مقاله علمی کامل وخلاص'!H361</f>
        <v>0</v>
      </c>
      <c r="I445" s="2203"/>
      <c r="J445" s="2211">
        <f>'بند3-5و3-6مقاله علمی کامل وخلاص'!J361</f>
        <v>0</v>
      </c>
      <c r="K445" s="2212"/>
      <c r="L445" s="2212"/>
      <c r="M445" s="2212"/>
      <c r="N445" s="2212"/>
      <c r="O445" s="2212"/>
      <c r="P445" s="2212"/>
      <c r="Q445" s="2214">
        <f>'بند3-5و3-6مقاله علمی کامل وخلاص'!P361</f>
        <v>0</v>
      </c>
      <c r="R445" s="2215"/>
      <c r="S445" s="2202">
        <f>'بند3-5و3-6مقاله علمی کامل وخلاص'!M361</f>
        <v>0</v>
      </c>
      <c r="T445" s="2203"/>
      <c r="U445" s="2203"/>
      <c r="V445" s="382" t="s">
        <v>762</v>
      </c>
      <c r="W445" s="382" t="s">
        <v>763</v>
      </c>
      <c r="X445" s="382" t="s">
        <v>769</v>
      </c>
      <c r="Y445" s="383" t="s">
        <v>767</v>
      </c>
    </row>
    <row r="446" spans="1:25" ht="42.75" customHeight="1">
      <c r="A446" s="2230"/>
      <c r="B446" s="386">
        <f>'بند3-5و3-6مقاله علمی کامل وخلاص'!B363</f>
        <v>0</v>
      </c>
      <c r="C446" s="386">
        <f>'بند3-5و3-6مقاله علمی کامل وخلاص'!C363</f>
        <v>0</v>
      </c>
      <c r="D446" s="386">
        <f>'بند3-5و3-6مقاله علمی کامل وخلاص'!D363</f>
        <v>0</v>
      </c>
      <c r="E446" s="2218"/>
      <c r="F446" s="2219"/>
      <c r="G446" s="2220"/>
      <c r="H446" s="2182">
        <f>'بند3-5و3-6مقاله علمی کامل وخلاص'!I361</f>
        <v>0</v>
      </c>
      <c r="I446" s="2183"/>
      <c r="J446" s="2213"/>
      <c r="K446" s="2213"/>
      <c r="L446" s="2213"/>
      <c r="M446" s="2213"/>
      <c r="N446" s="2213"/>
      <c r="O446" s="2213"/>
      <c r="P446" s="2213"/>
      <c r="Q446" s="2216"/>
      <c r="R446" s="2217"/>
      <c r="S446" s="2183"/>
      <c r="T446" s="2183"/>
      <c r="U446" s="2183"/>
      <c r="V446" s="374">
        <f>'بند3-5و3-6مقاله علمی کامل وخلاص'!J365</f>
        <v>0</v>
      </c>
      <c r="W446" s="374">
        <f>'بند3-5و3-6مقاله علمی کامل وخلاص'!J365</f>
        <v>0</v>
      </c>
      <c r="X446" s="375">
        <f>'بند3-5و3-6مقاله علمی کامل وخلاص'!G365</f>
        <v>0</v>
      </c>
      <c r="Y446" s="385">
        <f ca="1">'بند3-5و3-6مقاله علمی کامل وخلاص'!R361</f>
        <v>0</v>
      </c>
    </row>
    <row r="447" spans="1:25" ht="42.75" customHeight="1">
      <c r="A447" s="2196">
        <f>'بند3-5و3-6مقاله علمی کامل وخلاص'!A366</f>
        <v>0</v>
      </c>
      <c r="B447" s="2341">
        <f>'بند3-5و3-6مقاله علمی کامل وخلاص'!B366</f>
        <v>0</v>
      </c>
      <c r="C447" s="2342"/>
      <c r="D447" s="2342"/>
      <c r="E447" s="2198">
        <f>'بند3-5و3-6مقاله علمی کامل وخلاص'!E366</f>
        <v>0</v>
      </c>
      <c r="F447" s="2199"/>
      <c r="G447" s="2200"/>
      <c r="H447" s="2202">
        <f>'بند3-5و3-6مقاله علمی کامل وخلاص'!H366</f>
        <v>0</v>
      </c>
      <c r="I447" s="2203"/>
      <c r="J447" s="2211">
        <f>'بند3-5و3-6مقاله علمی کامل وخلاص'!J366</f>
        <v>0</v>
      </c>
      <c r="K447" s="2212"/>
      <c r="L447" s="2212"/>
      <c r="M447" s="2212"/>
      <c r="N447" s="2212"/>
      <c r="O447" s="2212"/>
      <c r="P447" s="2212"/>
      <c r="Q447" s="2214">
        <f>'بند3-5و3-6مقاله علمی کامل وخلاص'!P366</f>
        <v>0</v>
      </c>
      <c r="R447" s="2215"/>
      <c r="S447" s="2202">
        <f>'بند3-5و3-6مقاله علمی کامل وخلاص'!M366</f>
        <v>0</v>
      </c>
      <c r="T447" s="2203"/>
      <c r="U447" s="2203"/>
      <c r="V447" s="382" t="s">
        <v>762</v>
      </c>
      <c r="W447" s="382" t="s">
        <v>763</v>
      </c>
      <c r="X447" s="382" t="s">
        <v>769</v>
      </c>
      <c r="Y447" s="383" t="s">
        <v>767</v>
      </c>
    </row>
    <row r="448" spans="1:25" ht="42.75" customHeight="1">
      <c r="A448" s="2230"/>
      <c r="B448" s="386">
        <f>'بند3-5و3-6مقاله علمی کامل وخلاص'!B368</f>
        <v>0</v>
      </c>
      <c r="C448" s="386">
        <f>'بند3-5و3-6مقاله علمی کامل وخلاص'!C368</f>
        <v>0</v>
      </c>
      <c r="D448" s="386">
        <f>'بند3-5و3-6مقاله علمی کامل وخلاص'!D368</f>
        <v>0</v>
      </c>
      <c r="E448" s="2218"/>
      <c r="F448" s="2219"/>
      <c r="G448" s="2220"/>
      <c r="H448" s="2182">
        <f>'بند3-5و3-6مقاله علمی کامل وخلاص'!I366</f>
        <v>0</v>
      </c>
      <c r="I448" s="2183"/>
      <c r="J448" s="2213"/>
      <c r="K448" s="2213"/>
      <c r="L448" s="2213"/>
      <c r="M448" s="2213"/>
      <c r="N448" s="2213"/>
      <c r="O448" s="2213"/>
      <c r="P448" s="2213"/>
      <c r="Q448" s="2216"/>
      <c r="R448" s="2217"/>
      <c r="S448" s="2183"/>
      <c r="T448" s="2183"/>
      <c r="U448" s="2183"/>
      <c r="V448" s="374">
        <f>'بند3-5و3-6مقاله علمی کامل وخلاص'!J370</f>
        <v>0</v>
      </c>
      <c r="W448" s="374">
        <f>'بند3-5و3-6مقاله علمی کامل وخلاص'!J370</f>
        <v>0</v>
      </c>
      <c r="X448" s="375">
        <f>'بند3-5و3-6مقاله علمی کامل وخلاص'!G370</f>
        <v>0</v>
      </c>
      <c r="Y448" s="385">
        <f ca="1">'بند3-5و3-6مقاله علمی کامل وخلاص'!R366</f>
        <v>0</v>
      </c>
    </row>
    <row r="449" spans="1:25" ht="42.75" customHeight="1">
      <c r="A449" s="2196">
        <f>'بند3-5و3-6مقاله علمی کامل وخلاص'!A371</f>
        <v>0</v>
      </c>
      <c r="B449" s="2341">
        <f>'بند3-5و3-6مقاله علمی کامل وخلاص'!B371</f>
        <v>0</v>
      </c>
      <c r="C449" s="2342"/>
      <c r="D449" s="2342"/>
      <c r="E449" s="2198">
        <f>'بند3-5و3-6مقاله علمی کامل وخلاص'!E371</f>
        <v>0</v>
      </c>
      <c r="F449" s="2199"/>
      <c r="G449" s="2200"/>
      <c r="H449" s="2202">
        <f>'بند3-5و3-6مقاله علمی کامل وخلاص'!H371</f>
        <v>0</v>
      </c>
      <c r="I449" s="2203"/>
      <c r="J449" s="2211">
        <f>'بند3-5و3-6مقاله علمی کامل وخلاص'!J371</f>
        <v>0</v>
      </c>
      <c r="K449" s="2212"/>
      <c r="L449" s="2212"/>
      <c r="M449" s="2212"/>
      <c r="N449" s="2212"/>
      <c r="O449" s="2212"/>
      <c r="P449" s="2212"/>
      <c r="Q449" s="2214">
        <f>'بند3-5و3-6مقاله علمی کامل وخلاص'!P371</f>
        <v>0</v>
      </c>
      <c r="R449" s="2215"/>
      <c r="S449" s="2202">
        <f>'بند3-5و3-6مقاله علمی کامل وخلاص'!M371</f>
        <v>0</v>
      </c>
      <c r="T449" s="2203"/>
      <c r="U449" s="2203"/>
      <c r="V449" s="382" t="s">
        <v>762</v>
      </c>
      <c r="W449" s="382" t="s">
        <v>763</v>
      </c>
      <c r="X449" s="382" t="s">
        <v>769</v>
      </c>
      <c r="Y449" s="383" t="s">
        <v>767</v>
      </c>
    </row>
    <row r="450" spans="1:25" ht="42.75" customHeight="1">
      <c r="A450" s="2230"/>
      <c r="B450" s="386">
        <f>'بند3-5و3-6مقاله علمی کامل وخلاص'!B373</f>
        <v>0</v>
      </c>
      <c r="C450" s="386">
        <f>'بند3-5و3-6مقاله علمی کامل وخلاص'!C373</f>
        <v>0</v>
      </c>
      <c r="D450" s="386">
        <f>'بند3-5و3-6مقاله علمی کامل وخلاص'!D373</f>
        <v>0</v>
      </c>
      <c r="E450" s="2218"/>
      <c r="F450" s="2219"/>
      <c r="G450" s="2220"/>
      <c r="H450" s="2182">
        <f>'بند3-5و3-6مقاله علمی کامل وخلاص'!I371</f>
        <v>0</v>
      </c>
      <c r="I450" s="2183"/>
      <c r="J450" s="2213"/>
      <c r="K450" s="2213"/>
      <c r="L450" s="2213"/>
      <c r="M450" s="2213"/>
      <c r="N450" s="2213"/>
      <c r="O450" s="2213"/>
      <c r="P450" s="2213"/>
      <c r="Q450" s="2216"/>
      <c r="R450" s="2217"/>
      <c r="S450" s="2183"/>
      <c r="T450" s="2183"/>
      <c r="U450" s="2183"/>
      <c r="V450" s="374">
        <f>'بند3-5و3-6مقاله علمی کامل وخلاص'!J375</f>
        <v>0</v>
      </c>
      <c r="W450" s="374">
        <f>'بند3-5و3-6مقاله علمی کامل وخلاص'!J375</f>
        <v>0</v>
      </c>
      <c r="X450" s="375">
        <f>'بند3-5و3-6مقاله علمی کامل وخلاص'!G375</f>
        <v>0</v>
      </c>
      <c r="Y450" s="385">
        <f ca="1">'بند3-5و3-6مقاله علمی کامل وخلاص'!R371</f>
        <v>0</v>
      </c>
    </row>
    <row r="451" spans="1:25" ht="42.75" customHeight="1">
      <c r="A451" s="2196">
        <f>'بند3-5و3-6مقاله علمی کامل وخلاص'!A376</f>
        <v>0</v>
      </c>
      <c r="B451" s="2341">
        <f>'بند3-5و3-6مقاله علمی کامل وخلاص'!B376</f>
        <v>0</v>
      </c>
      <c r="C451" s="2342"/>
      <c r="D451" s="2342"/>
      <c r="E451" s="2198">
        <f>'بند3-5و3-6مقاله علمی کامل وخلاص'!E376</f>
        <v>0</v>
      </c>
      <c r="F451" s="2199"/>
      <c r="G451" s="2200"/>
      <c r="H451" s="2202">
        <f>'بند3-5و3-6مقاله علمی کامل وخلاص'!H376</f>
        <v>0</v>
      </c>
      <c r="I451" s="2203"/>
      <c r="J451" s="2211">
        <f>'بند3-5و3-6مقاله علمی کامل وخلاص'!J376</f>
        <v>0</v>
      </c>
      <c r="K451" s="2212"/>
      <c r="L451" s="2212"/>
      <c r="M451" s="2212"/>
      <c r="N451" s="2212"/>
      <c r="O451" s="2212"/>
      <c r="P451" s="2212"/>
      <c r="Q451" s="2214">
        <f>'بند3-5و3-6مقاله علمی کامل وخلاص'!P376</f>
        <v>0</v>
      </c>
      <c r="R451" s="2215"/>
      <c r="S451" s="2202">
        <f>'بند3-5و3-6مقاله علمی کامل وخلاص'!M376</f>
        <v>0</v>
      </c>
      <c r="T451" s="2203"/>
      <c r="U451" s="2203"/>
      <c r="V451" s="382" t="s">
        <v>762</v>
      </c>
      <c r="W451" s="382" t="s">
        <v>763</v>
      </c>
      <c r="X451" s="382" t="s">
        <v>769</v>
      </c>
      <c r="Y451" s="383" t="s">
        <v>767</v>
      </c>
    </row>
    <row r="452" spans="1:25" ht="42.75" customHeight="1">
      <c r="A452" s="2230"/>
      <c r="B452" s="386">
        <f>'بند3-5و3-6مقاله علمی کامل وخلاص'!B378</f>
        <v>0</v>
      </c>
      <c r="C452" s="386">
        <f>'بند3-5و3-6مقاله علمی کامل وخلاص'!C378</f>
        <v>0</v>
      </c>
      <c r="D452" s="386">
        <f>'بند3-5و3-6مقاله علمی کامل وخلاص'!D378</f>
        <v>0</v>
      </c>
      <c r="E452" s="2218"/>
      <c r="F452" s="2219"/>
      <c r="G452" s="2220"/>
      <c r="H452" s="2182">
        <f>'بند3-5و3-6مقاله علمی کامل وخلاص'!I376</f>
        <v>0</v>
      </c>
      <c r="I452" s="2183"/>
      <c r="J452" s="2213"/>
      <c r="K452" s="2213"/>
      <c r="L452" s="2213"/>
      <c r="M452" s="2213"/>
      <c r="N452" s="2213"/>
      <c r="O452" s="2213"/>
      <c r="P452" s="2213"/>
      <c r="Q452" s="2216"/>
      <c r="R452" s="2217"/>
      <c r="S452" s="2183"/>
      <c r="T452" s="2183"/>
      <c r="U452" s="2183"/>
      <c r="V452" s="374">
        <f>'بند3-5و3-6مقاله علمی کامل وخلاص'!J380</f>
        <v>0</v>
      </c>
      <c r="W452" s="374">
        <f>'بند3-5و3-6مقاله علمی کامل وخلاص'!J380</f>
        <v>0</v>
      </c>
      <c r="X452" s="375">
        <f>'بند3-5و3-6مقاله علمی کامل وخلاص'!G380</f>
        <v>0</v>
      </c>
      <c r="Y452" s="385">
        <f ca="1">'بند3-5و3-6مقاله علمی کامل وخلاص'!R376</f>
        <v>0</v>
      </c>
    </row>
    <row r="453" spans="1:25" ht="42.75" customHeight="1">
      <c r="A453" s="2196">
        <f>'بند3-5و3-6مقاله علمی کامل وخلاص'!A381</f>
        <v>0</v>
      </c>
      <c r="B453" s="2341">
        <f>'بند3-5و3-6مقاله علمی کامل وخلاص'!B381</f>
        <v>0</v>
      </c>
      <c r="C453" s="2342"/>
      <c r="D453" s="2342"/>
      <c r="E453" s="2198">
        <f>'بند3-5و3-6مقاله علمی کامل وخلاص'!E381</f>
        <v>0</v>
      </c>
      <c r="F453" s="2199"/>
      <c r="G453" s="2200"/>
      <c r="H453" s="2202">
        <f>'بند3-5و3-6مقاله علمی کامل وخلاص'!H381</f>
        <v>0</v>
      </c>
      <c r="I453" s="2203"/>
      <c r="J453" s="2211">
        <f>'بند3-5و3-6مقاله علمی کامل وخلاص'!J381</f>
        <v>0</v>
      </c>
      <c r="K453" s="2212"/>
      <c r="L453" s="2212"/>
      <c r="M453" s="2212"/>
      <c r="N453" s="2212"/>
      <c r="O453" s="2212"/>
      <c r="P453" s="2212"/>
      <c r="Q453" s="2214">
        <f>'بند3-5و3-6مقاله علمی کامل وخلاص'!P381</f>
        <v>0</v>
      </c>
      <c r="R453" s="2215"/>
      <c r="S453" s="2202">
        <f>'بند3-5و3-6مقاله علمی کامل وخلاص'!M381</f>
        <v>0</v>
      </c>
      <c r="T453" s="2203"/>
      <c r="U453" s="2203"/>
      <c r="V453" s="382" t="s">
        <v>762</v>
      </c>
      <c r="W453" s="382" t="s">
        <v>763</v>
      </c>
      <c r="X453" s="382" t="s">
        <v>769</v>
      </c>
      <c r="Y453" s="383" t="s">
        <v>767</v>
      </c>
    </row>
    <row r="454" spans="1:25" ht="42.75" customHeight="1">
      <c r="A454" s="2230"/>
      <c r="B454" s="386">
        <f>'بند3-5و3-6مقاله علمی کامل وخلاص'!B383</f>
        <v>0</v>
      </c>
      <c r="C454" s="386">
        <f>'بند3-5و3-6مقاله علمی کامل وخلاص'!C383</f>
        <v>0</v>
      </c>
      <c r="D454" s="386">
        <f>'بند3-5و3-6مقاله علمی کامل وخلاص'!D383</f>
        <v>0</v>
      </c>
      <c r="E454" s="2218"/>
      <c r="F454" s="2219"/>
      <c r="G454" s="2220"/>
      <c r="H454" s="2182">
        <f>'بند3-5و3-6مقاله علمی کامل وخلاص'!I381</f>
        <v>0</v>
      </c>
      <c r="I454" s="2183"/>
      <c r="J454" s="2213"/>
      <c r="K454" s="2213"/>
      <c r="L454" s="2213"/>
      <c r="M454" s="2213"/>
      <c r="N454" s="2213"/>
      <c r="O454" s="2213"/>
      <c r="P454" s="2213"/>
      <c r="Q454" s="2216"/>
      <c r="R454" s="2217"/>
      <c r="S454" s="2183"/>
      <c r="T454" s="2183"/>
      <c r="U454" s="2183"/>
      <c r="V454" s="374">
        <f>'بند3-5و3-6مقاله علمی کامل وخلاص'!J385</f>
        <v>0</v>
      </c>
      <c r="W454" s="374">
        <f>'بند3-5و3-6مقاله علمی کامل وخلاص'!J385</f>
        <v>0</v>
      </c>
      <c r="X454" s="375">
        <f>'بند3-5و3-6مقاله علمی کامل وخلاص'!G385</f>
        <v>0</v>
      </c>
      <c r="Y454" s="385">
        <f ca="1">'بند3-5و3-6مقاله علمی کامل وخلاص'!R381</f>
        <v>0</v>
      </c>
    </row>
    <row r="455" spans="1:25" ht="42.75" customHeight="1">
      <c r="A455" s="2196">
        <f>'بند3-5و3-6مقاله علمی کامل وخلاص'!A386</f>
        <v>0</v>
      </c>
      <c r="B455" s="2341">
        <f>'بند3-5و3-6مقاله علمی کامل وخلاص'!B386</f>
        <v>0</v>
      </c>
      <c r="C455" s="2342"/>
      <c r="D455" s="2342"/>
      <c r="E455" s="2198">
        <f>'بند3-5و3-6مقاله علمی کامل وخلاص'!E386</f>
        <v>0</v>
      </c>
      <c r="F455" s="2199"/>
      <c r="G455" s="2200"/>
      <c r="H455" s="2202">
        <f>'بند3-5و3-6مقاله علمی کامل وخلاص'!H386</f>
        <v>0</v>
      </c>
      <c r="I455" s="2203"/>
      <c r="J455" s="2211">
        <f>'بند3-5و3-6مقاله علمی کامل وخلاص'!J386</f>
        <v>0</v>
      </c>
      <c r="K455" s="2212"/>
      <c r="L455" s="2212"/>
      <c r="M455" s="2212"/>
      <c r="N455" s="2212"/>
      <c r="O455" s="2212"/>
      <c r="P455" s="2212"/>
      <c r="Q455" s="2214">
        <f>'بند3-5و3-6مقاله علمی کامل وخلاص'!P386</f>
        <v>0</v>
      </c>
      <c r="R455" s="2215"/>
      <c r="S455" s="2202">
        <f>'بند3-5و3-6مقاله علمی کامل وخلاص'!M386</f>
        <v>0</v>
      </c>
      <c r="T455" s="2203"/>
      <c r="U455" s="2203"/>
      <c r="V455" s="382" t="s">
        <v>762</v>
      </c>
      <c r="W455" s="382" t="s">
        <v>763</v>
      </c>
      <c r="X455" s="382" t="s">
        <v>769</v>
      </c>
      <c r="Y455" s="383" t="s">
        <v>767</v>
      </c>
    </row>
    <row r="456" spans="1:25" ht="42.75" customHeight="1">
      <c r="A456" s="2230"/>
      <c r="B456" s="386">
        <f>'بند3-5و3-6مقاله علمی کامل وخلاص'!B388</f>
        <v>0</v>
      </c>
      <c r="C456" s="386">
        <f>'بند3-5و3-6مقاله علمی کامل وخلاص'!C388</f>
        <v>0</v>
      </c>
      <c r="D456" s="386">
        <f>'بند3-5و3-6مقاله علمی کامل وخلاص'!D388</f>
        <v>0</v>
      </c>
      <c r="E456" s="2218"/>
      <c r="F456" s="2219"/>
      <c r="G456" s="2220"/>
      <c r="H456" s="2182">
        <f>'بند3-5و3-6مقاله علمی کامل وخلاص'!I386</f>
        <v>0</v>
      </c>
      <c r="I456" s="2183"/>
      <c r="J456" s="2213"/>
      <c r="K456" s="2213"/>
      <c r="L456" s="2213"/>
      <c r="M456" s="2213"/>
      <c r="N456" s="2213"/>
      <c r="O456" s="2213"/>
      <c r="P456" s="2213"/>
      <c r="Q456" s="2216"/>
      <c r="R456" s="2217"/>
      <c r="S456" s="2183"/>
      <c r="T456" s="2183"/>
      <c r="U456" s="2183"/>
      <c r="V456" s="374">
        <f>'بند3-5و3-6مقاله علمی کامل وخلاص'!J390</f>
        <v>0</v>
      </c>
      <c r="W456" s="374">
        <f>'بند3-5و3-6مقاله علمی کامل وخلاص'!J390</f>
        <v>0</v>
      </c>
      <c r="X456" s="375">
        <f>'بند3-5و3-6مقاله علمی کامل وخلاص'!G390</f>
        <v>0</v>
      </c>
      <c r="Y456" s="385">
        <f ca="1">'بند3-5و3-6مقاله علمی کامل وخلاص'!R386</f>
        <v>0</v>
      </c>
    </row>
    <row r="457" spans="1:25" ht="42.75" customHeight="1">
      <c r="A457" s="2196">
        <f>'بند3-5و3-6مقاله علمی کامل وخلاص'!A391</f>
        <v>0</v>
      </c>
      <c r="B457" s="2341">
        <f>'بند3-5و3-6مقاله علمی کامل وخلاص'!B391</f>
        <v>0</v>
      </c>
      <c r="C457" s="2342"/>
      <c r="D457" s="2342"/>
      <c r="E457" s="2198">
        <f>'بند3-5و3-6مقاله علمی کامل وخلاص'!E391</f>
        <v>0</v>
      </c>
      <c r="F457" s="2199"/>
      <c r="G457" s="2200"/>
      <c r="H457" s="2202">
        <f>'بند3-5و3-6مقاله علمی کامل وخلاص'!H391</f>
        <v>0</v>
      </c>
      <c r="I457" s="2203"/>
      <c r="J457" s="2211">
        <f>'بند3-5و3-6مقاله علمی کامل وخلاص'!J391</f>
        <v>0</v>
      </c>
      <c r="K457" s="2212"/>
      <c r="L457" s="2212"/>
      <c r="M457" s="2212"/>
      <c r="N457" s="2212"/>
      <c r="O457" s="2212"/>
      <c r="P457" s="2212"/>
      <c r="Q457" s="2214">
        <f>'بند3-5و3-6مقاله علمی کامل وخلاص'!P391</f>
        <v>0</v>
      </c>
      <c r="R457" s="2215"/>
      <c r="S457" s="2202">
        <f>'بند3-5و3-6مقاله علمی کامل وخلاص'!M391</f>
        <v>0</v>
      </c>
      <c r="T457" s="2203"/>
      <c r="U457" s="2203"/>
      <c r="V457" s="382" t="s">
        <v>762</v>
      </c>
      <c r="W457" s="382" t="s">
        <v>763</v>
      </c>
      <c r="X457" s="382" t="s">
        <v>769</v>
      </c>
      <c r="Y457" s="383" t="s">
        <v>767</v>
      </c>
    </row>
    <row r="458" spans="1:25" ht="42.75" customHeight="1">
      <c r="A458" s="2230"/>
      <c r="B458" s="386">
        <f>'بند3-5و3-6مقاله علمی کامل وخلاص'!B393</f>
        <v>0</v>
      </c>
      <c r="C458" s="386">
        <f>'بند3-5و3-6مقاله علمی کامل وخلاص'!C393</f>
        <v>0</v>
      </c>
      <c r="D458" s="386">
        <f>'بند3-5و3-6مقاله علمی کامل وخلاص'!D393</f>
        <v>0</v>
      </c>
      <c r="E458" s="2218"/>
      <c r="F458" s="2219"/>
      <c r="G458" s="2220"/>
      <c r="H458" s="2182">
        <f>'بند3-5و3-6مقاله علمی کامل وخلاص'!I391</f>
        <v>0</v>
      </c>
      <c r="I458" s="2183"/>
      <c r="J458" s="2213"/>
      <c r="K458" s="2213"/>
      <c r="L458" s="2213"/>
      <c r="M458" s="2213"/>
      <c r="N458" s="2213"/>
      <c r="O458" s="2213"/>
      <c r="P458" s="2213"/>
      <c r="Q458" s="2216"/>
      <c r="R458" s="2217"/>
      <c r="S458" s="2183"/>
      <c r="T458" s="2183"/>
      <c r="U458" s="2183"/>
      <c r="V458" s="374">
        <f>'بند3-5و3-6مقاله علمی کامل وخلاص'!J395</f>
        <v>0</v>
      </c>
      <c r="W458" s="374">
        <f>'بند3-5و3-6مقاله علمی کامل وخلاص'!J395</f>
        <v>0</v>
      </c>
      <c r="X458" s="375">
        <f>'بند3-5و3-6مقاله علمی کامل وخلاص'!G395</f>
        <v>0</v>
      </c>
      <c r="Y458" s="385">
        <f ca="1">'بند3-5و3-6مقاله علمی کامل وخلاص'!R391</f>
        <v>0</v>
      </c>
    </row>
    <row r="459" spans="1:25" ht="42.75" customHeight="1">
      <c r="A459" s="2196">
        <f>'بند3-5و3-6مقاله علمی کامل وخلاص'!A396</f>
        <v>0</v>
      </c>
      <c r="B459" s="2341">
        <f>'بند3-5و3-6مقاله علمی کامل وخلاص'!B396</f>
        <v>0</v>
      </c>
      <c r="C459" s="2342"/>
      <c r="D459" s="2342"/>
      <c r="E459" s="2198">
        <f>'بند3-5و3-6مقاله علمی کامل وخلاص'!E396</f>
        <v>0</v>
      </c>
      <c r="F459" s="2199"/>
      <c r="G459" s="2200"/>
      <c r="H459" s="2202">
        <f>'بند3-5و3-6مقاله علمی کامل وخلاص'!H396</f>
        <v>0</v>
      </c>
      <c r="I459" s="2203"/>
      <c r="J459" s="2211">
        <f>'بند3-5و3-6مقاله علمی کامل وخلاص'!J396</f>
        <v>0</v>
      </c>
      <c r="K459" s="2212"/>
      <c r="L459" s="2212"/>
      <c r="M459" s="2212"/>
      <c r="N459" s="2212"/>
      <c r="O459" s="2212"/>
      <c r="P459" s="2212"/>
      <c r="Q459" s="2214">
        <f>'بند3-5و3-6مقاله علمی کامل وخلاص'!P396</f>
        <v>0</v>
      </c>
      <c r="R459" s="2215"/>
      <c r="S459" s="2202">
        <f>'بند3-5و3-6مقاله علمی کامل وخلاص'!M396</f>
        <v>0</v>
      </c>
      <c r="T459" s="2203"/>
      <c r="U459" s="2203"/>
      <c r="V459" s="382" t="s">
        <v>762</v>
      </c>
      <c r="W459" s="382" t="s">
        <v>763</v>
      </c>
      <c r="X459" s="382" t="s">
        <v>769</v>
      </c>
      <c r="Y459" s="383" t="s">
        <v>767</v>
      </c>
    </row>
    <row r="460" spans="1:25" ht="42.75" customHeight="1">
      <c r="A460" s="2230"/>
      <c r="B460" s="386">
        <f>'بند3-5و3-6مقاله علمی کامل وخلاص'!B398</f>
        <v>0</v>
      </c>
      <c r="C460" s="386">
        <f>'بند3-5و3-6مقاله علمی کامل وخلاص'!C398</f>
        <v>0</v>
      </c>
      <c r="D460" s="386">
        <f>'بند3-5و3-6مقاله علمی کامل وخلاص'!D398</f>
        <v>0</v>
      </c>
      <c r="E460" s="2218"/>
      <c r="F460" s="2219"/>
      <c r="G460" s="2220"/>
      <c r="H460" s="2182">
        <f>'بند3-5و3-6مقاله علمی کامل وخلاص'!I396</f>
        <v>0</v>
      </c>
      <c r="I460" s="2183"/>
      <c r="J460" s="2213"/>
      <c r="K460" s="2213"/>
      <c r="L460" s="2213"/>
      <c r="M460" s="2213"/>
      <c r="N460" s="2213"/>
      <c r="O460" s="2213"/>
      <c r="P460" s="2213"/>
      <c r="Q460" s="2216"/>
      <c r="R460" s="2217"/>
      <c r="S460" s="2183"/>
      <c r="T460" s="2183"/>
      <c r="U460" s="2183"/>
      <c r="V460" s="374">
        <f>'بند3-5و3-6مقاله علمی کامل وخلاص'!J400</f>
        <v>0</v>
      </c>
      <c r="W460" s="374">
        <f>'بند3-5و3-6مقاله علمی کامل وخلاص'!J400</f>
        <v>0</v>
      </c>
      <c r="X460" s="375">
        <f>'بند3-5و3-6مقاله علمی کامل وخلاص'!G400</f>
        <v>0</v>
      </c>
      <c r="Y460" s="385">
        <f ca="1">'بند3-5و3-6مقاله علمی کامل وخلاص'!R396</f>
        <v>0</v>
      </c>
    </row>
    <row r="461" spans="1:25" ht="42.75" customHeight="1">
      <c r="A461" s="2196">
        <f>'بند3-5و3-6مقاله علمی کامل وخلاص'!A401</f>
        <v>0</v>
      </c>
      <c r="B461" s="2341">
        <f>'بند3-5و3-6مقاله علمی کامل وخلاص'!B401</f>
        <v>0</v>
      </c>
      <c r="C461" s="2342"/>
      <c r="D461" s="2342"/>
      <c r="E461" s="2198">
        <f>'بند3-5و3-6مقاله علمی کامل وخلاص'!E401</f>
        <v>0</v>
      </c>
      <c r="F461" s="2199"/>
      <c r="G461" s="2200"/>
      <c r="H461" s="2202">
        <f>'بند3-5و3-6مقاله علمی کامل وخلاص'!H401</f>
        <v>0</v>
      </c>
      <c r="I461" s="2203"/>
      <c r="J461" s="2211">
        <f>'بند3-5و3-6مقاله علمی کامل وخلاص'!J401</f>
        <v>0</v>
      </c>
      <c r="K461" s="2212"/>
      <c r="L461" s="2212"/>
      <c r="M461" s="2212"/>
      <c r="N461" s="2212"/>
      <c r="O461" s="2212"/>
      <c r="P461" s="2212"/>
      <c r="Q461" s="2214">
        <f>'بند3-5و3-6مقاله علمی کامل وخلاص'!P401</f>
        <v>0</v>
      </c>
      <c r="R461" s="2215"/>
      <c r="S461" s="2202">
        <f>'بند3-5و3-6مقاله علمی کامل وخلاص'!M401</f>
        <v>0</v>
      </c>
      <c r="T461" s="2203"/>
      <c r="U461" s="2203"/>
      <c r="V461" s="382" t="s">
        <v>762</v>
      </c>
      <c r="W461" s="382" t="s">
        <v>763</v>
      </c>
      <c r="X461" s="382" t="s">
        <v>769</v>
      </c>
      <c r="Y461" s="383" t="s">
        <v>767</v>
      </c>
    </row>
    <row r="462" spans="1:25" ht="42.75" customHeight="1">
      <c r="A462" s="2230"/>
      <c r="B462" s="386">
        <f>'بند3-5و3-6مقاله علمی کامل وخلاص'!B403</f>
        <v>0</v>
      </c>
      <c r="C462" s="386">
        <f>'بند3-5و3-6مقاله علمی کامل وخلاص'!C403</f>
        <v>0</v>
      </c>
      <c r="D462" s="386">
        <f>'بند3-5و3-6مقاله علمی کامل وخلاص'!D403</f>
        <v>0</v>
      </c>
      <c r="E462" s="2218"/>
      <c r="F462" s="2219"/>
      <c r="G462" s="2220"/>
      <c r="H462" s="2182">
        <f>'بند3-5و3-6مقاله علمی کامل وخلاص'!I401</f>
        <v>0</v>
      </c>
      <c r="I462" s="2183"/>
      <c r="J462" s="2213"/>
      <c r="K462" s="2213"/>
      <c r="L462" s="2213"/>
      <c r="M462" s="2213"/>
      <c r="N462" s="2213"/>
      <c r="O462" s="2213"/>
      <c r="P462" s="2213"/>
      <c r="Q462" s="2216"/>
      <c r="R462" s="2217"/>
      <c r="S462" s="2183"/>
      <c r="T462" s="2183"/>
      <c r="U462" s="2183"/>
      <c r="V462" s="374">
        <f>'بند3-5و3-6مقاله علمی کامل وخلاص'!J405</f>
        <v>0</v>
      </c>
      <c r="W462" s="374">
        <f>'بند3-5و3-6مقاله علمی کامل وخلاص'!J405</f>
        <v>0</v>
      </c>
      <c r="X462" s="375">
        <f>'بند3-5و3-6مقاله علمی کامل وخلاص'!G405</f>
        <v>0</v>
      </c>
      <c r="Y462" s="385">
        <f ca="1">'بند3-5و3-6مقاله علمی کامل وخلاص'!R401</f>
        <v>0</v>
      </c>
    </row>
    <row r="463" spans="1:25" ht="42.75" customHeight="1">
      <c r="A463" s="2196">
        <f>'بند3-5و3-6مقاله علمی کامل وخلاص'!A406</f>
        <v>0</v>
      </c>
      <c r="B463" s="2341">
        <f>'بند3-5و3-6مقاله علمی کامل وخلاص'!B406</f>
        <v>0</v>
      </c>
      <c r="C463" s="2342"/>
      <c r="D463" s="2342"/>
      <c r="E463" s="2198">
        <f>'بند3-5و3-6مقاله علمی کامل وخلاص'!E406</f>
        <v>0</v>
      </c>
      <c r="F463" s="2199"/>
      <c r="G463" s="2200"/>
      <c r="H463" s="2202">
        <f>'بند3-5و3-6مقاله علمی کامل وخلاص'!H406</f>
        <v>0</v>
      </c>
      <c r="I463" s="2203"/>
      <c r="J463" s="2211">
        <f>'بند3-5و3-6مقاله علمی کامل وخلاص'!J406</f>
        <v>0</v>
      </c>
      <c r="K463" s="2212"/>
      <c r="L463" s="2212"/>
      <c r="M463" s="2212"/>
      <c r="N463" s="2212"/>
      <c r="O463" s="2212"/>
      <c r="P463" s="2212"/>
      <c r="Q463" s="2214">
        <f>'بند3-5و3-6مقاله علمی کامل وخلاص'!P406</f>
        <v>0</v>
      </c>
      <c r="R463" s="2215"/>
      <c r="S463" s="2202">
        <f>'بند3-5و3-6مقاله علمی کامل وخلاص'!M406</f>
        <v>0</v>
      </c>
      <c r="T463" s="2203"/>
      <c r="U463" s="2203"/>
      <c r="V463" s="382" t="s">
        <v>762</v>
      </c>
      <c r="W463" s="382" t="s">
        <v>763</v>
      </c>
      <c r="X463" s="382" t="s">
        <v>769</v>
      </c>
      <c r="Y463" s="383" t="s">
        <v>767</v>
      </c>
    </row>
    <row r="464" spans="1:25" ht="42.75" customHeight="1">
      <c r="A464" s="2230"/>
      <c r="B464" s="386">
        <f>'بند3-5و3-6مقاله علمی کامل وخلاص'!B408</f>
        <v>0</v>
      </c>
      <c r="C464" s="386">
        <f>'بند3-5و3-6مقاله علمی کامل وخلاص'!C408</f>
        <v>0</v>
      </c>
      <c r="D464" s="386">
        <f>'بند3-5و3-6مقاله علمی کامل وخلاص'!D408</f>
        <v>0</v>
      </c>
      <c r="E464" s="2218"/>
      <c r="F464" s="2219"/>
      <c r="G464" s="2220"/>
      <c r="H464" s="2182">
        <f>'بند3-5و3-6مقاله علمی کامل وخلاص'!I406</f>
        <v>0</v>
      </c>
      <c r="I464" s="2183"/>
      <c r="J464" s="2213"/>
      <c r="K464" s="2213"/>
      <c r="L464" s="2213"/>
      <c r="M464" s="2213"/>
      <c r="N464" s="2213"/>
      <c r="O464" s="2213"/>
      <c r="P464" s="2213"/>
      <c r="Q464" s="2216"/>
      <c r="R464" s="2217"/>
      <c r="S464" s="2183"/>
      <c r="T464" s="2183"/>
      <c r="U464" s="2183"/>
      <c r="V464" s="374">
        <f>'بند3-5و3-6مقاله علمی کامل وخلاص'!J410</f>
        <v>0</v>
      </c>
      <c r="W464" s="374">
        <f>'بند3-5و3-6مقاله علمی کامل وخلاص'!J410</f>
        <v>0</v>
      </c>
      <c r="X464" s="375">
        <f>'بند3-5و3-6مقاله علمی کامل وخلاص'!G410</f>
        <v>0</v>
      </c>
      <c r="Y464" s="385">
        <f ca="1">'بند3-5و3-6مقاله علمی کامل وخلاص'!R406</f>
        <v>0</v>
      </c>
    </row>
    <row r="465" spans="1:25" ht="42.75" customHeight="1">
      <c r="A465" s="2196">
        <f>'بند3-5و3-6مقاله علمی کامل وخلاص'!A411</f>
        <v>0</v>
      </c>
      <c r="B465" s="2341">
        <f>'بند3-5و3-6مقاله علمی کامل وخلاص'!B411</f>
        <v>0</v>
      </c>
      <c r="C465" s="2342"/>
      <c r="D465" s="2342"/>
      <c r="E465" s="2198">
        <f>'بند3-5و3-6مقاله علمی کامل وخلاص'!E411</f>
        <v>0</v>
      </c>
      <c r="F465" s="2199"/>
      <c r="G465" s="2200"/>
      <c r="H465" s="2202">
        <f>'بند3-5و3-6مقاله علمی کامل وخلاص'!H411</f>
        <v>0</v>
      </c>
      <c r="I465" s="2203"/>
      <c r="J465" s="2211">
        <f>'بند3-5و3-6مقاله علمی کامل وخلاص'!J411</f>
        <v>0</v>
      </c>
      <c r="K465" s="2212"/>
      <c r="L465" s="2212"/>
      <c r="M465" s="2212"/>
      <c r="N465" s="2212"/>
      <c r="O465" s="2212"/>
      <c r="P465" s="2212"/>
      <c r="Q465" s="2214">
        <f>'بند3-5و3-6مقاله علمی کامل وخلاص'!P411</f>
        <v>0</v>
      </c>
      <c r="R465" s="2215"/>
      <c r="S465" s="2202">
        <f>'بند3-5و3-6مقاله علمی کامل وخلاص'!M411</f>
        <v>0</v>
      </c>
      <c r="T465" s="2203"/>
      <c r="U465" s="2203"/>
      <c r="V465" s="382" t="s">
        <v>762</v>
      </c>
      <c r="W465" s="382" t="s">
        <v>763</v>
      </c>
      <c r="X465" s="382" t="s">
        <v>769</v>
      </c>
      <c r="Y465" s="383" t="s">
        <v>767</v>
      </c>
    </row>
    <row r="466" spans="1:25" ht="42.75" customHeight="1">
      <c r="A466" s="2230"/>
      <c r="B466" s="386">
        <f>'بند3-5و3-6مقاله علمی کامل وخلاص'!B413</f>
        <v>0</v>
      </c>
      <c r="C466" s="386">
        <f>'بند3-5و3-6مقاله علمی کامل وخلاص'!C413</f>
        <v>0</v>
      </c>
      <c r="D466" s="386">
        <f>'بند3-5و3-6مقاله علمی کامل وخلاص'!D413</f>
        <v>0</v>
      </c>
      <c r="E466" s="2218"/>
      <c r="F466" s="2219"/>
      <c r="G466" s="2220"/>
      <c r="H466" s="2182">
        <f>'بند3-5و3-6مقاله علمی کامل وخلاص'!I411</f>
        <v>0</v>
      </c>
      <c r="I466" s="2183"/>
      <c r="J466" s="2213"/>
      <c r="K466" s="2213"/>
      <c r="L466" s="2213"/>
      <c r="M466" s="2213"/>
      <c r="N466" s="2213"/>
      <c r="O466" s="2213"/>
      <c r="P466" s="2213"/>
      <c r="Q466" s="2216"/>
      <c r="R466" s="2217"/>
      <c r="S466" s="2183"/>
      <c r="T466" s="2183"/>
      <c r="U466" s="2183"/>
      <c r="V466" s="374">
        <f>'بند3-5و3-6مقاله علمی کامل وخلاص'!J415</f>
        <v>0</v>
      </c>
      <c r="W466" s="374">
        <f>'بند3-5و3-6مقاله علمی کامل وخلاص'!J415</f>
        <v>0</v>
      </c>
      <c r="X466" s="375">
        <f>'بند3-5و3-6مقاله علمی کامل وخلاص'!G415</f>
        <v>0</v>
      </c>
      <c r="Y466" s="385">
        <f ca="1">'بند3-5و3-6مقاله علمی کامل وخلاص'!R411</f>
        <v>0</v>
      </c>
    </row>
    <row r="467" spans="1:25" ht="42.75" customHeight="1">
      <c r="A467" s="2196">
        <f>'بند3-5و3-6مقاله علمی کامل وخلاص'!A416</f>
        <v>0</v>
      </c>
      <c r="B467" s="2341">
        <f>'بند3-5و3-6مقاله علمی کامل وخلاص'!B416</f>
        <v>0</v>
      </c>
      <c r="C467" s="2342"/>
      <c r="D467" s="2342"/>
      <c r="E467" s="2198">
        <f>'بند3-5و3-6مقاله علمی کامل وخلاص'!E416</f>
        <v>0</v>
      </c>
      <c r="F467" s="2199"/>
      <c r="G467" s="2200"/>
      <c r="H467" s="2202">
        <f>'بند3-5و3-6مقاله علمی کامل وخلاص'!H416</f>
        <v>0</v>
      </c>
      <c r="I467" s="2203"/>
      <c r="J467" s="2211">
        <f>'بند3-5و3-6مقاله علمی کامل وخلاص'!J416</f>
        <v>0</v>
      </c>
      <c r="K467" s="2212"/>
      <c r="L467" s="2212"/>
      <c r="M467" s="2212"/>
      <c r="N467" s="2212"/>
      <c r="O467" s="2212"/>
      <c r="P467" s="2212"/>
      <c r="Q467" s="2214">
        <f>'بند3-5و3-6مقاله علمی کامل وخلاص'!P416</f>
        <v>0</v>
      </c>
      <c r="R467" s="2215"/>
      <c r="S467" s="2202">
        <f>'بند3-5و3-6مقاله علمی کامل وخلاص'!M416</f>
        <v>0</v>
      </c>
      <c r="T467" s="2203"/>
      <c r="U467" s="2203"/>
      <c r="V467" s="382" t="s">
        <v>762</v>
      </c>
      <c r="W467" s="382" t="s">
        <v>763</v>
      </c>
      <c r="X467" s="382" t="s">
        <v>769</v>
      </c>
      <c r="Y467" s="383" t="s">
        <v>767</v>
      </c>
    </row>
    <row r="468" spans="1:25" ht="42.75" customHeight="1">
      <c r="A468" s="2230"/>
      <c r="B468" s="386">
        <f>'بند3-5و3-6مقاله علمی کامل وخلاص'!B418</f>
        <v>0</v>
      </c>
      <c r="C468" s="386">
        <f>'بند3-5و3-6مقاله علمی کامل وخلاص'!C418</f>
        <v>0</v>
      </c>
      <c r="D468" s="386">
        <f>'بند3-5و3-6مقاله علمی کامل وخلاص'!D418</f>
        <v>0</v>
      </c>
      <c r="E468" s="2218"/>
      <c r="F468" s="2219"/>
      <c r="G468" s="2220"/>
      <c r="H468" s="2182">
        <f>'بند3-5و3-6مقاله علمی کامل وخلاص'!I416</f>
        <v>0</v>
      </c>
      <c r="I468" s="2183"/>
      <c r="J468" s="2213"/>
      <c r="K468" s="2213"/>
      <c r="L468" s="2213"/>
      <c r="M468" s="2213"/>
      <c r="N468" s="2213"/>
      <c r="O468" s="2213"/>
      <c r="P468" s="2213"/>
      <c r="Q468" s="2216"/>
      <c r="R468" s="2217"/>
      <c r="S468" s="2183"/>
      <c r="T468" s="2183"/>
      <c r="U468" s="2183"/>
      <c r="V468" s="374">
        <f>'بند3-5و3-6مقاله علمی کامل وخلاص'!J420</f>
        <v>0</v>
      </c>
      <c r="W468" s="374">
        <f>'بند3-5و3-6مقاله علمی کامل وخلاص'!J420</f>
        <v>0</v>
      </c>
      <c r="X468" s="375">
        <f>'بند3-5و3-6مقاله علمی کامل وخلاص'!G420</f>
        <v>0</v>
      </c>
      <c r="Y468" s="385">
        <f ca="1">'بند3-5و3-6مقاله علمی کامل وخلاص'!R416</f>
        <v>0</v>
      </c>
    </row>
    <row r="469" spans="1:25" ht="42.75" customHeight="1">
      <c r="A469" s="2196">
        <f>'بند3-5و3-6مقاله علمی کامل وخلاص'!A421</f>
        <v>0</v>
      </c>
      <c r="B469" s="2341">
        <f>'بند3-5و3-6مقاله علمی کامل وخلاص'!B421</f>
        <v>0</v>
      </c>
      <c r="C469" s="2342"/>
      <c r="D469" s="2342"/>
      <c r="E469" s="2198">
        <f>'بند3-5و3-6مقاله علمی کامل وخلاص'!E421</f>
        <v>0</v>
      </c>
      <c r="F469" s="2199"/>
      <c r="G469" s="2200"/>
      <c r="H469" s="2202">
        <f>'بند3-5و3-6مقاله علمی کامل وخلاص'!H421</f>
        <v>0</v>
      </c>
      <c r="I469" s="2203"/>
      <c r="J469" s="2211">
        <f>'بند3-5و3-6مقاله علمی کامل وخلاص'!J421</f>
        <v>0</v>
      </c>
      <c r="K469" s="2212"/>
      <c r="L469" s="2212"/>
      <c r="M469" s="2212"/>
      <c r="N469" s="2212"/>
      <c r="O469" s="2212"/>
      <c r="P469" s="2212"/>
      <c r="Q469" s="2214">
        <f>'بند3-5و3-6مقاله علمی کامل وخلاص'!P421</f>
        <v>0</v>
      </c>
      <c r="R469" s="2215"/>
      <c r="S469" s="2202">
        <f>'بند3-5و3-6مقاله علمی کامل وخلاص'!M421</f>
        <v>0</v>
      </c>
      <c r="T469" s="2203"/>
      <c r="U469" s="2203"/>
      <c r="V469" s="382" t="s">
        <v>762</v>
      </c>
      <c r="W469" s="382" t="s">
        <v>763</v>
      </c>
      <c r="X469" s="382" t="s">
        <v>769</v>
      </c>
      <c r="Y469" s="383" t="s">
        <v>767</v>
      </c>
    </row>
    <row r="470" spans="1:25" ht="42.75" customHeight="1">
      <c r="A470" s="2230"/>
      <c r="B470" s="386">
        <f>'بند3-5و3-6مقاله علمی کامل وخلاص'!B423</f>
        <v>0</v>
      </c>
      <c r="C470" s="386">
        <f>'بند3-5و3-6مقاله علمی کامل وخلاص'!C423</f>
        <v>0</v>
      </c>
      <c r="D470" s="386">
        <f>'بند3-5و3-6مقاله علمی کامل وخلاص'!D423</f>
        <v>0</v>
      </c>
      <c r="E470" s="2218"/>
      <c r="F470" s="2219"/>
      <c r="G470" s="2220"/>
      <c r="H470" s="2182">
        <f>'بند3-5و3-6مقاله علمی کامل وخلاص'!I421</f>
        <v>0</v>
      </c>
      <c r="I470" s="2183"/>
      <c r="J470" s="2213"/>
      <c r="K470" s="2213"/>
      <c r="L470" s="2213"/>
      <c r="M470" s="2213"/>
      <c r="N470" s="2213"/>
      <c r="O470" s="2213"/>
      <c r="P470" s="2213"/>
      <c r="Q470" s="2216"/>
      <c r="R470" s="2217"/>
      <c r="S470" s="2183"/>
      <c r="T470" s="2183"/>
      <c r="U470" s="2183"/>
      <c r="V470" s="374">
        <f>'بند3-5و3-6مقاله علمی کامل وخلاص'!J425</f>
        <v>0</v>
      </c>
      <c r="W470" s="374">
        <f>'بند3-5و3-6مقاله علمی کامل وخلاص'!J425</f>
        <v>0</v>
      </c>
      <c r="X470" s="375">
        <f>'بند3-5و3-6مقاله علمی کامل وخلاص'!G425</f>
        <v>0</v>
      </c>
      <c r="Y470" s="385">
        <f ca="1">'بند3-5و3-6مقاله علمی کامل وخلاص'!R421</f>
        <v>0</v>
      </c>
    </row>
    <row r="471" spans="1:25" ht="42.75" customHeight="1">
      <c r="A471" s="2196">
        <f>'بند3-5و3-6مقاله علمی کامل وخلاص'!A426</f>
        <v>0</v>
      </c>
      <c r="B471" s="2341">
        <f>'بند3-5و3-6مقاله علمی کامل وخلاص'!B426</f>
        <v>0</v>
      </c>
      <c r="C471" s="2342"/>
      <c r="D471" s="2342"/>
      <c r="E471" s="2198">
        <f>'بند3-5و3-6مقاله علمی کامل وخلاص'!E426</f>
        <v>0</v>
      </c>
      <c r="F471" s="2199"/>
      <c r="G471" s="2200"/>
      <c r="H471" s="2202">
        <f>'بند3-5و3-6مقاله علمی کامل وخلاص'!H426</f>
        <v>0</v>
      </c>
      <c r="I471" s="2203"/>
      <c r="J471" s="2211">
        <f>'بند3-5و3-6مقاله علمی کامل وخلاص'!J426</f>
        <v>0</v>
      </c>
      <c r="K471" s="2212"/>
      <c r="L471" s="2212"/>
      <c r="M471" s="2212"/>
      <c r="N471" s="2212"/>
      <c r="O471" s="2212"/>
      <c r="P471" s="2212"/>
      <c r="Q471" s="2214">
        <f>'بند3-5و3-6مقاله علمی کامل وخلاص'!P426</f>
        <v>0</v>
      </c>
      <c r="R471" s="2215"/>
      <c r="S471" s="2202">
        <f>'بند3-5و3-6مقاله علمی کامل وخلاص'!M426</f>
        <v>0</v>
      </c>
      <c r="T471" s="2203"/>
      <c r="U471" s="2203"/>
      <c r="V471" s="382" t="s">
        <v>762</v>
      </c>
      <c r="W471" s="382" t="s">
        <v>763</v>
      </c>
      <c r="X471" s="382" t="s">
        <v>769</v>
      </c>
      <c r="Y471" s="383" t="s">
        <v>767</v>
      </c>
    </row>
    <row r="472" spans="1:25" ht="42.75" customHeight="1">
      <c r="A472" s="2230"/>
      <c r="B472" s="386">
        <f>'بند3-5و3-6مقاله علمی کامل وخلاص'!B428</f>
        <v>0</v>
      </c>
      <c r="C472" s="386">
        <f>'بند3-5و3-6مقاله علمی کامل وخلاص'!C428</f>
        <v>0</v>
      </c>
      <c r="D472" s="386">
        <f>'بند3-5و3-6مقاله علمی کامل وخلاص'!D428</f>
        <v>0</v>
      </c>
      <c r="E472" s="2218"/>
      <c r="F472" s="2219"/>
      <c r="G472" s="2220"/>
      <c r="H472" s="2182">
        <f>'بند3-5و3-6مقاله علمی کامل وخلاص'!I426</f>
        <v>0</v>
      </c>
      <c r="I472" s="2183"/>
      <c r="J472" s="2213"/>
      <c r="K472" s="2213"/>
      <c r="L472" s="2213"/>
      <c r="M472" s="2213"/>
      <c r="N472" s="2213"/>
      <c r="O472" s="2213"/>
      <c r="P472" s="2213"/>
      <c r="Q472" s="2216"/>
      <c r="R472" s="2217"/>
      <c r="S472" s="2183"/>
      <c r="T472" s="2183"/>
      <c r="U472" s="2183"/>
      <c r="V472" s="374">
        <f>'بند3-5و3-6مقاله علمی کامل وخلاص'!J430</f>
        <v>0</v>
      </c>
      <c r="W472" s="374">
        <f>'بند3-5و3-6مقاله علمی کامل وخلاص'!J430</f>
        <v>0</v>
      </c>
      <c r="X472" s="375">
        <f>'بند3-5و3-6مقاله علمی کامل وخلاص'!G430</f>
        <v>0</v>
      </c>
      <c r="Y472" s="385">
        <f ca="1">'بند3-5و3-6مقاله علمی کامل وخلاص'!R426</f>
        <v>0</v>
      </c>
    </row>
    <row r="473" spans="1:25" ht="42.75" customHeight="1">
      <c r="A473" s="2196">
        <f>'بند3-5و3-6مقاله علمی کامل وخلاص'!A431</f>
        <v>0</v>
      </c>
      <c r="B473" s="2341">
        <f>'بند3-5و3-6مقاله علمی کامل وخلاص'!B431</f>
        <v>0</v>
      </c>
      <c r="C473" s="2342"/>
      <c r="D473" s="2342"/>
      <c r="E473" s="2198">
        <f>'بند3-5و3-6مقاله علمی کامل وخلاص'!E431</f>
        <v>0</v>
      </c>
      <c r="F473" s="2199"/>
      <c r="G473" s="2200"/>
      <c r="H473" s="2202">
        <f>'بند3-5و3-6مقاله علمی کامل وخلاص'!H431</f>
        <v>0</v>
      </c>
      <c r="I473" s="2203"/>
      <c r="J473" s="2211">
        <f>'بند3-5و3-6مقاله علمی کامل وخلاص'!J431</f>
        <v>0</v>
      </c>
      <c r="K473" s="2212"/>
      <c r="L473" s="2212"/>
      <c r="M473" s="2212"/>
      <c r="N473" s="2212"/>
      <c r="O473" s="2212"/>
      <c r="P473" s="2212"/>
      <c r="Q473" s="2214">
        <f>'بند3-5و3-6مقاله علمی کامل وخلاص'!P431</f>
        <v>0</v>
      </c>
      <c r="R473" s="2215"/>
      <c r="S473" s="2202">
        <f>'بند3-5و3-6مقاله علمی کامل وخلاص'!M431</f>
        <v>0</v>
      </c>
      <c r="T473" s="2203"/>
      <c r="U473" s="2203"/>
      <c r="V473" s="382" t="s">
        <v>762</v>
      </c>
      <c r="W473" s="382" t="s">
        <v>763</v>
      </c>
      <c r="X473" s="382" t="s">
        <v>769</v>
      </c>
      <c r="Y473" s="383" t="s">
        <v>767</v>
      </c>
    </row>
    <row r="474" spans="1:25" ht="42.75" customHeight="1">
      <c r="A474" s="2230"/>
      <c r="B474" s="386">
        <f>'بند3-5و3-6مقاله علمی کامل وخلاص'!B433</f>
        <v>0</v>
      </c>
      <c r="C474" s="386">
        <f>'بند3-5و3-6مقاله علمی کامل وخلاص'!C433</f>
        <v>0</v>
      </c>
      <c r="D474" s="386">
        <f>'بند3-5و3-6مقاله علمی کامل وخلاص'!D433</f>
        <v>0</v>
      </c>
      <c r="E474" s="2218"/>
      <c r="F474" s="2219"/>
      <c r="G474" s="2220"/>
      <c r="H474" s="2182">
        <f>'بند3-5و3-6مقاله علمی کامل وخلاص'!I431</f>
        <v>0</v>
      </c>
      <c r="I474" s="2183"/>
      <c r="J474" s="2213"/>
      <c r="K474" s="2213"/>
      <c r="L474" s="2213"/>
      <c r="M474" s="2213"/>
      <c r="N474" s="2213"/>
      <c r="O474" s="2213"/>
      <c r="P474" s="2213"/>
      <c r="Q474" s="2216"/>
      <c r="R474" s="2217"/>
      <c r="S474" s="2183"/>
      <c r="T474" s="2183"/>
      <c r="U474" s="2183"/>
      <c r="V474" s="374">
        <f>'بند3-5و3-6مقاله علمی کامل وخلاص'!J435</f>
        <v>0</v>
      </c>
      <c r="W474" s="374">
        <f>'بند3-5و3-6مقاله علمی کامل وخلاص'!J435</f>
        <v>0</v>
      </c>
      <c r="X474" s="375">
        <f>'بند3-5و3-6مقاله علمی کامل وخلاص'!G435</f>
        <v>0</v>
      </c>
      <c r="Y474" s="385">
        <f ca="1">'بند3-5و3-6مقاله علمی کامل وخلاص'!R431</f>
        <v>0</v>
      </c>
    </row>
    <row r="475" spans="1:25" ht="42.75" customHeight="1">
      <c r="A475" s="2196">
        <f>'بند3-5و3-6مقاله علمی کامل وخلاص'!A436</f>
        <v>0</v>
      </c>
      <c r="B475" s="2341">
        <f>'بند3-5و3-6مقاله علمی کامل وخلاص'!B436</f>
        <v>0</v>
      </c>
      <c r="C475" s="2342"/>
      <c r="D475" s="2342"/>
      <c r="E475" s="2198">
        <f>'بند3-5و3-6مقاله علمی کامل وخلاص'!E436</f>
        <v>0</v>
      </c>
      <c r="F475" s="2199"/>
      <c r="G475" s="2200"/>
      <c r="H475" s="2202">
        <f>'بند3-5و3-6مقاله علمی کامل وخلاص'!H436</f>
        <v>0</v>
      </c>
      <c r="I475" s="2203"/>
      <c r="J475" s="2211">
        <f>'بند3-5و3-6مقاله علمی کامل وخلاص'!J436</f>
        <v>0</v>
      </c>
      <c r="K475" s="2212"/>
      <c r="L475" s="2212"/>
      <c r="M475" s="2212"/>
      <c r="N475" s="2212"/>
      <c r="O475" s="2212"/>
      <c r="P475" s="2212"/>
      <c r="Q475" s="2214">
        <f>'بند3-5و3-6مقاله علمی کامل وخلاص'!P436</f>
        <v>0</v>
      </c>
      <c r="R475" s="2215"/>
      <c r="S475" s="2202">
        <f>'بند3-5و3-6مقاله علمی کامل وخلاص'!M436</f>
        <v>0</v>
      </c>
      <c r="T475" s="2203"/>
      <c r="U475" s="2203"/>
      <c r="V475" s="382" t="s">
        <v>762</v>
      </c>
      <c r="W475" s="382" t="s">
        <v>763</v>
      </c>
      <c r="X475" s="382" t="s">
        <v>769</v>
      </c>
      <c r="Y475" s="383" t="s">
        <v>767</v>
      </c>
    </row>
    <row r="476" spans="1:25" ht="42.75" customHeight="1">
      <c r="A476" s="2230"/>
      <c r="B476" s="386">
        <f>'بند3-5و3-6مقاله علمی کامل وخلاص'!B438</f>
        <v>0</v>
      </c>
      <c r="C476" s="386">
        <f>'بند3-5و3-6مقاله علمی کامل وخلاص'!C438</f>
        <v>0</v>
      </c>
      <c r="D476" s="386">
        <f>'بند3-5و3-6مقاله علمی کامل وخلاص'!D438</f>
        <v>0</v>
      </c>
      <c r="E476" s="2218"/>
      <c r="F476" s="2219"/>
      <c r="G476" s="2220"/>
      <c r="H476" s="2182">
        <f>'بند3-5و3-6مقاله علمی کامل وخلاص'!I436</f>
        <v>0</v>
      </c>
      <c r="I476" s="2183"/>
      <c r="J476" s="2213"/>
      <c r="K476" s="2213"/>
      <c r="L476" s="2213"/>
      <c r="M476" s="2213"/>
      <c r="N476" s="2213"/>
      <c r="O476" s="2213"/>
      <c r="P476" s="2213"/>
      <c r="Q476" s="2216"/>
      <c r="R476" s="2217"/>
      <c r="S476" s="2183"/>
      <c r="T476" s="2183"/>
      <c r="U476" s="2183"/>
      <c r="V476" s="374">
        <f>'بند3-5و3-6مقاله علمی کامل وخلاص'!J440</f>
        <v>0</v>
      </c>
      <c r="W476" s="374">
        <f>'بند3-5و3-6مقاله علمی کامل وخلاص'!J440</f>
        <v>0</v>
      </c>
      <c r="X476" s="375">
        <f>'بند3-5و3-6مقاله علمی کامل وخلاص'!G440</f>
        <v>0</v>
      </c>
      <c r="Y476" s="385">
        <f ca="1">'بند3-5و3-6مقاله علمی کامل وخلاص'!R436</f>
        <v>0</v>
      </c>
    </row>
    <row r="477" spans="1:25" ht="42.75" customHeight="1">
      <c r="A477" s="2196">
        <f>'بند3-5و3-6مقاله علمی کامل وخلاص'!A441</f>
        <v>0</v>
      </c>
      <c r="B477" s="2341">
        <f>'بند3-5و3-6مقاله علمی کامل وخلاص'!B441</f>
        <v>0</v>
      </c>
      <c r="C477" s="2342"/>
      <c r="D477" s="2342"/>
      <c r="E477" s="2198">
        <f>'بند3-5و3-6مقاله علمی کامل وخلاص'!E441</f>
        <v>0</v>
      </c>
      <c r="F477" s="2199"/>
      <c r="G477" s="2200"/>
      <c r="H477" s="2202">
        <f>'بند3-5و3-6مقاله علمی کامل وخلاص'!H441</f>
        <v>0</v>
      </c>
      <c r="I477" s="2203"/>
      <c r="J477" s="2211">
        <f>'بند3-5و3-6مقاله علمی کامل وخلاص'!J441</f>
        <v>0</v>
      </c>
      <c r="K477" s="2212"/>
      <c r="L477" s="2212"/>
      <c r="M477" s="2212"/>
      <c r="N477" s="2212"/>
      <c r="O477" s="2212"/>
      <c r="P477" s="2212"/>
      <c r="Q477" s="2214">
        <f>'بند3-5و3-6مقاله علمی کامل وخلاص'!P441</f>
        <v>0</v>
      </c>
      <c r="R477" s="2215"/>
      <c r="S477" s="2202">
        <f>'بند3-5و3-6مقاله علمی کامل وخلاص'!M441</f>
        <v>0</v>
      </c>
      <c r="T477" s="2203"/>
      <c r="U477" s="2203"/>
      <c r="V477" s="382" t="s">
        <v>762</v>
      </c>
      <c r="W477" s="382" t="s">
        <v>763</v>
      </c>
      <c r="X477" s="382" t="s">
        <v>769</v>
      </c>
      <c r="Y477" s="383" t="s">
        <v>767</v>
      </c>
    </row>
    <row r="478" spans="1:25" ht="42.75" customHeight="1">
      <c r="A478" s="2230"/>
      <c r="B478" s="386">
        <f>'بند3-5و3-6مقاله علمی کامل وخلاص'!B443</f>
        <v>0</v>
      </c>
      <c r="C478" s="386">
        <f>'بند3-5و3-6مقاله علمی کامل وخلاص'!C443</f>
        <v>0</v>
      </c>
      <c r="D478" s="386">
        <f>'بند3-5و3-6مقاله علمی کامل وخلاص'!D443</f>
        <v>0</v>
      </c>
      <c r="E478" s="2218"/>
      <c r="F478" s="2219"/>
      <c r="G478" s="2220"/>
      <c r="H478" s="2182">
        <f>'بند3-5و3-6مقاله علمی کامل وخلاص'!I441</f>
        <v>0</v>
      </c>
      <c r="I478" s="2183"/>
      <c r="J478" s="2213"/>
      <c r="K478" s="2213"/>
      <c r="L478" s="2213"/>
      <c r="M478" s="2213"/>
      <c r="N478" s="2213"/>
      <c r="O478" s="2213"/>
      <c r="P478" s="2213"/>
      <c r="Q478" s="2216"/>
      <c r="R478" s="2217"/>
      <c r="S478" s="2183"/>
      <c r="T478" s="2183"/>
      <c r="U478" s="2183"/>
      <c r="V478" s="374">
        <f>'بند3-5و3-6مقاله علمی کامل وخلاص'!J445</f>
        <v>0</v>
      </c>
      <c r="W478" s="374">
        <f>'بند3-5و3-6مقاله علمی کامل وخلاص'!J445</f>
        <v>0</v>
      </c>
      <c r="X478" s="375">
        <f>'بند3-5و3-6مقاله علمی کامل وخلاص'!G445</f>
        <v>0</v>
      </c>
      <c r="Y478" s="385">
        <f ca="1">'بند3-5و3-6مقاله علمی کامل وخلاص'!R441</f>
        <v>0</v>
      </c>
    </row>
    <row r="479" spans="1:25" ht="42.75" customHeight="1">
      <c r="A479" s="2196">
        <f>'بند3-5و3-6مقاله علمی کامل وخلاص'!A446</f>
        <v>0</v>
      </c>
      <c r="B479" s="2341">
        <f>'بند3-5و3-6مقاله علمی کامل وخلاص'!B446</f>
        <v>0</v>
      </c>
      <c r="C479" s="2342"/>
      <c r="D479" s="2342"/>
      <c r="E479" s="2198">
        <f>'بند3-5و3-6مقاله علمی کامل وخلاص'!E446</f>
        <v>0</v>
      </c>
      <c r="F479" s="2199"/>
      <c r="G479" s="2200"/>
      <c r="H479" s="2202">
        <f>'بند3-5و3-6مقاله علمی کامل وخلاص'!H446</f>
        <v>0</v>
      </c>
      <c r="I479" s="2203"/>
      <c r="J479" s="2211">
        <f>'بند3-5و3-6مقاله علمی کامل وخلاص'!J446</f>
        <v>0</v>
      </c>
      <c r="K479" s="2212"/>
      <c r="L479" s="2212"/>
      <c r="M479" s="2212"/>
      <c r="N479" s="2212"/>
      <c r="O479" s="2212"/>
      <c r="P479" s="2212"/>
      <c r="Q479" s="2214">
        <f>'بند3-5و3-6مقاله علمی کامل وخلاص'!P446</f>
        <v>0</v>
      </c>
      <c r="R479" s="2215"/>
      <c r="S479" s="2202">
        <f>'بند3-5و3-6مقاله علمی کامل وخلاص'!M446</f>
        <v>0</v>
      </c>
      <c r="T479" s="2203"/>
      <c r="U479" s="2203"/>
      <c r="V479" s="382" t="s">
        <v>762</v>
      </c>
      <c r="W479" s="382" t="s">
        <v>763</v>
      </c>
      <c r="X479" s="382" t="s">
        <v>769</v>
      </c>
      <c r="Y479" s="383" t="s">
        <v>767</v>
      </c>
    </row>
    <row r="480" spans="1:25" ht="42.75" customHeight="1">
      <c r="A480" s="2230"/>
      <c r="B480" s="386">
        <f>'بند3-5و3-6مقاله علمی کامل وخلاص'!B448</f>
        <v>0</v>
      </c>
      <c r="C480" s="386">
        <f>'بند3-5و3-6مقاله علمی کامل وخلاص'!C448</f>
        <v>0</v>
      </c>
      <c r="D480" s="386">
        <f>'بند3-5و3-6مقاله علمی کامل وخلاص'!D448</f>
        <v>0</v>
      </c>
      <c r="E480" s="2218"/>
      <c r="F480" s="2219"/>
      <c r="G480" s="2220"/>
      <c r="H480" s="2182">
        <f>'بند3-5و3-6مقاله علمی کامل وخلاص'!I446</f>
        <v>0</v>
      </c>
      <c r="I480" s="2183"/>
      <c r="J480" s="2213"/>
      <c r="K480" s="2213"/>
      <c r="L480" s="2213"/>
      <c r="M480" s="2213"/>
      <c r="N480" s="2213"/>
      <c r="O480" s="2213"/>
      <c r="P480" s="2213"/>
      <c r="Q480" s="2216"/>
      <c r="R480" s="2217"/>
      <c r="S480" s="2183"/>
      <c r="T480" s="2183"/>
      <c r="U480" s="2183"/>
      <c r="V480" s="374">
        <f>'بند3-5و3-6مقاله علمی کامل وخلاص'!J450</f>
        <v>0</v>
      </c>
      <c r="W480" s="374">
        <f>'بند3-5و3-6مقاله علمی کامل وخلاص'!J450</f>
        <v>0</v>
      </c>
      <c r="X480" s="375">
        <f>'بند3-5و3-6مقاله علمی کامل وخلاص'!G450</f>
        <v>0</v>
      </c>
      <c r="Y480" s="385">
        <f ca="1">'بند3-5و3-6مقاله علمی کامل وخلاص'!R446</f>
        <v>0</v>
      </c>
    </row>
    <row r="481" spans="1:25" ht="42.75" customHeight="1">
      <c r="A481" s="2196">
        <f>'بند3-5و3-6مقاله علمی کامل وخلاص'!A451</f>
        <v>0</v>
      </c>
      <c r="B481" s="2341">
        <f>'بند3-5و3-6مقاله علمی کامل وخلاص'!B451</f>
        <v>0</v>
      </c>
      <c r="C481" s="2342"/>
      <c r="D481" s="2342"/>
      <c r="E481" s="2198">
        <f>'بند3-5و3-6مقاله علمی کامل وخلاص'!E451</f>
        <v>0</v>
      </c>
      <c r="F481" s="2199"/>
      <c r="G481" s="2200"/>
      <c r="H481" s="2202">
        <f>'بند3-5و3-6مقاله علمی کامل وخلاص'!H451</f>
        <v>0</v>
      </c>
      <c r="I481" s="2203"/>
      <c r="J481" s="2211">
        <f>'بند3-5و3-6مقاله علمی کامل وخلاص'!J451</f>
        <v>0</v>
      </c>
      <c r="K481" s="2212"/>
      <c r="L481" s="2212"/>
      <c r="M481" s="2212"/>
      <c r="N481" s="2212"/>
      <c r="O481" s="2212"/>
      <c r="P481" s="2212"/>
      <c r="Q481" s="2214">
        <f>'بند3-5و3-6مقاله علمی کامل وخلاص'!P451</f>
        <v>0</v>
      </c>
      <c r="R481" s="2215"/>
      <c r="S481" s="2202">
        <f>'بند3-5و3-6مقاله علمی کامل وخلاص'!M451</f>
        <v>0</v>
      </c>
      <c r="T481" s="2203"/>
      <c r="U481" s="2203"/>
      <c r="V481" s="382" t="s">
        <v>762</v>
      </c>
      <c r="W481" s="382" t="s">
        <v>763</v>
      </c>
      <c r="X481" s="382" t="s">
        <v>769</v>
      </c>
      <c r="Y481" s="383" t="s">
        <v>767</v>
      </c>
    </row>
    <row r="482" spans="1:25" ht="42.75" customHeight="1">
      <c r="A482" s="2230"/>
      <c r="B482" s="386">
        <f>'بند3-5و3-6مقاله علمی کامل وخلاص'!B453</f>
        <v>0</v>
      </c>
      <c r="C482" s="386">
        <f>'بند3-5و3-6مقاله علمی کامل وخلاص'!C453</f>
        <v>0</v>
      </c>
      <c r="D482" s="386">
        <f>'بند3-5و3-6مقاله علمی کامل وخلاص'!D453</f>
        <v>0</v>
      </c>
      <c r="E482" s="2218"/>
      <c r="F482" s="2219"/>
      <c r="G482" s="2220"/>
      <c r="H482" s="2182">
        <f>'بند3-5و3-6مقاله علمی کامل وخلاص'!I451</f>
        <v>0</v>
      </c>
      <c r="I482" s="2183"/>
      <c r="J482" s="2213"/>
      <c r="K482" s="2213"/>
      <c r="L482" s="2213"/>
      <c r="M482" s="2213"/>
      <c r="N482" s="2213"/>
      <c r="O482" s="2213"/>
      <c r="P482" s="2213"/>
      <c r="Q482" s="2216"/>
      <c r="R482" s="2217"/>
      <c r="S482" s="2183"/>
      <c r="T482" s="2183"/>
      <c r="U482" s="2183"/>
      <c r="V482" s="374">
        <f>'بند3-5و3-6مقاله علمی کامل وخلاص'!J455</f>
        <v>0</v>
      </c>
      <c r="W482" s="374">
        <f>'بند3-5و3-6مقاله علمی کامل وخلاص'!J455</f>
        <v>0</v>
      </c>
      <c r="X482" s="375">
        <f>'بند3-5و3-6مقاله علمی کامل وخلاص'!G455</f>
        <v>0</v>
      </c>
      <c r="Y482" s="385">
        <f ca="1">'بند3-5و3-6مقاله علمی کامل وخلاص'!R451</f>
        <v>0</v>
      </c>
    </row>
    <row r="483" spans="1:25" ht="42.75" customHeight="1">
      <c r="A483" s="2196">
        <f>'بند3-5و3-6مقاله علمی کامل وخلاص'!A456</f>
        <v>0</v>
      </c>
      <c r="B483" s="2341">
        <f>'بند3-5و3-6مقاله علمی کامل وخلاص'!B456</f>
        <v>0</v>
      </c>
      <c r="C483" s="2342"/>
      <c r="D483" s="2342"/>
      <c r="E483" s="2198">
        <f>'بند3-5و3-6مقاله علمی کامل وخلاص'!E456</f>
        <v>0</v>
      </c>
      <c r="F483" s="2199"/>
      <c r="G483" s="2200"/>
      <c r="H483" s="2202">
        <f>'بند3-5و3-6مقاله علمی کامل وخلاص'!H456</f>
        <v>0</v>
      </c>
      <c r="I483" s="2203"/>
      <c r="J483" s="2211">
        <f>'بند3-5و3-6مقاله علمی کامل وخلاص'!J456</f>
        <v>0</v>
      </c>
      <c r="K483" s="2212"/>
      <c r="L483" s="2212"/>
      <c r="M483" s="2212"/>
      <c r="N483" s="2212"/>
      <c r="O483" s="2212"/>
      <c r="P483" s="2212"/>
      <c r="Q483" s="2214">
        <f>'بند3-5و3-6مقاله علمی کامل وخلاص'!P456</f>
        <v>0</v>
      </c>
      <c r="R483" s="2215"/>
      <c r="S483" s="2202">
        <f>'بند3-5و3-6مقاله علمی کامل وخلاص'!M456</f>
        <v>0</v>
      </c>
      <c r="T483" s="2203"/>
      <c r="U483" s="2203"/>
      <c r="V483" s="382" t="s">
        <v>762</v>
      </c>
      <c r="W483" s="382" t="s">
        <v>763</v>
      </c>
      <c r="X483" s="382" t="s">
        <v>769</v>
      </c>
      <c r="Y483" s="383" t="s">
        <v>767</v>
      </c>
    </row>
    <row r="484" spans="1:25" ht="42.75" customHeight="1">
      <c r="A484" s="2230"/>
      <c r="B484" s="386">
        <f>'بند3-5و3-6مقاله علمی کامل وخلاص'!B458</f>
        <v>0</v>
      </c>
      <c r="C484" s="386">
        <f>'بند3-5و3-6مقاله علمی کامل وخلاص'!C458</f>
        <v>0</v>
      </c>
      <c r="D484" s="386">
        <f>'بند3-5و3-6مقاله علمی کامل وخلاص'!D458</f>
        <v>0</v>
      </c>
      <c r="E484" s="2218"/>
      <c r="F484" s="2219"/>
      <c r="G484" s="2220"/>
      <c r="H484" s="2182">
        <f>'بند3-5و3-6مقاله علمی کامل وخلاص'!I456</f>
        <v>0</v>
      </c>
      <c r="I484" s="2183"/>
      <c r="J484" s="2213"/>
      <c r="K484" s="2213"/>
      <c r="L484" s="2213"/>
      <c r="M484" s="2213"/>
      <c r="N484" s="2213"/>
      <c r="O484" s="2213"/>
      <c r="P484" s="2213"/>
      <c r="Q484" s="2216"/>
      <c r="R484" s="2217"/>
      <c r="S484" s="2183"/>
      <c r="T484" s="2183"/>
      <c r="U484" s="2183"/>
      <c r="V484" s="374">
        <f>'بند3-5و3-6مقاله علمی کامل وخلاص'!J460</f>
        <v>0</v>
      </c>
      <c r="W484" s="374">
        <f>'بند3-5و3-6مقاله علمی کامل وخلاص'!J460</f>
        <v>0</v>
      </c>
      <c r="X484" s="375">
        <f>'بند3-5و3-6مقاله علمی کامل وخلاص'!G460</f>
        <v>0</v>
      </c>
      <c r="Y484" s="385">
        <f ca="1">'بند3-5و3-6مقاله علمی کامل وخلاص'!R456</f>
        <v>0</v>
      </c>
    </row>
    <row r="485" spans="1:25" ht="42.75" customHeight="1">
      <c r="A485" s="2196">
        <f>'بند3-5و3-6مقاله علمی کامل وخلاص'!A461</f>
        <v>0</v>
      </c>
      <c r="B485" s="2341">
        <f>'بند3-5و3-6مقاله علمی کامل وخلاص'!B461</f>
        <v>0</v>
      </c>
      <c r="C485" s="2342"/>
      <c r="D485" s="2342"/>
      <c r="E485" s="2198">
        <f>'بند3-5و3-6مقاله علمی کامل وخلاص'!E461</f>
        <v>0</v>
      </c>
      <c r="F485" s="2199"/>
      <c r="G485" s="2200"/>
      <c r="H485" s="2202">
        <f>'بند3-5و3-6مقاله علمی کامل وخلاص'!H461</f>
        <v>0</v>
      </c>
      <c r="I485" s="2203"/>
      <c r="J485" s="2211">
        <f>'بند3-5و3-6مقاله علمی کامل وخلاص'!J461</f>
        <v>0</v>
      </c>
      <c r="K485" s="2212"/>
      <c r="L485" s="2212"/>
      <c r="M485" s="2212"/>
      <c r="N485" s="2212"/>
      <c r="O485" s="2212"/>
      <c r="P485" s="2212"/>
      <c r="Q485" s="2214">
        <f>'بند3-5و3-6مقاله علمی کامل وخلاص'!P461</f>
        <v>0</v>
      </c>
      <c r="R485" s="2215"/>
      <c r="S485" s="2202">
        <f>'بند3-5و3-6مقاله علمی کامل وخلاص'!M461</f>
        <v>0</v>
      </c>
      <c r="T485" s="2203"/>
      <c r="U485" s="2203"/>
      <c r="V485" s="382" t="s">
        <v>762</v>
      </c>
      <c r="W485" s="382" t="s">
        <v>763</v>
      </c>
      <c r="X485" s="382" t="s">
        <v>769</v>
      </c>
      <c r="Y485" s="383" t="s">
        <v>767</v>
      </c>
    </row>
    <row r="486" spans="1:25" ht="42.75" customHeight="1">
      <c r="A486" s="2230"/>
      <c r="B486" s="386">
        <f>'بند3-5و3-6مقاله علمی کامل وخلاص'!B463</f>
        <v>0</v>
      </c>
      <c r="C486" s="386">
        <f>'بند3-5و3-6مقاله علمی کامل وخلاص'!C463</f>
        <v>0</v>
      </c>
      <c r="D486" s="386">
        <f>'بند3-5و3-6مقاله علمی کامل وخلاص'!D463</f>
        <v>0</v>
      </c>
      <c r="E486" s="2218"/>
      <c r="F486" s="2219"/>
      <c r="G486" s="2220"/>
      <c r="H486" s="2182">
        <f>'بند3-5و3-6مقاله علمی کامل وخلاص'!I461</f>
        <v>0</v>
      </c>
      <c r="I486" s="2183"/>
      <c r="J486" s="2213"/>
      <c r="K486" s="2213"/>
      <c r="L486" s="2213"/>
      <c r="M486" s="2213"/>
      <c r="N486" s="2213"/>
      <c r="O486" s="2213"/>
      <c r="P486" s="2213"/>
      <c r="Q486" s="2216"/>
      <c r="R486" s="2217"/>
      <c r="S486" s="2183"/>
      <c r="T486" s="2183"/>
      <c r="U486" s="2183"/>
      <c r="V486" s="374">
        <f>'بند3-5و3-6مقاله علمی کامل وخلاص'!J465</f>
        <v>0</v>
      </c>
      <c r="W486" s="374">
        <f>'بند3-5و3-6مقاله علمی کامل وخلاص'!J465</f>
        <v>0</v>
      </c>
      <c r="X486" s="375">
        <f>'بند3-5و3-6مقاله علمی کامل وخلاص'!G465</f>
        <v>0</v>
      </c>
      <c r="Y486" s="385">
        <f ca="1">'بند3-5و3-6مقاله علمی کامل وخلاص'!R461</f>
        <v>0</v>
      </c>
    </row>
    <row r="487" spans="1:25" ht="42.75" customHeight="1">
      <c r="A487" s="2196">
        <f>'بند3-5و3-6مقاله علمی کامل وخلاص'!A466</f>
        <v>0</v>
      </c>
      <c r="B487" s="2341">
        <f>'بند3-5و3-6مقاله علمی کامل وخلاص'!B466</f>
        <v>0</v>
      </c>
      <c r="C487" s="2342"/>
      <c r="D487" s="2342"/>
      <c r="E487" s="2198">
        <f>'بند3-5و3-6مقاله علمی کامل وخلاص'!E466</f>
        <v>0</v>
      </c>
      <c r="F487" s="2199"/>
      <c r="G487" s="2200"/>
      <c r="H487" s="2202">
        <f>'بند3-5و3-6مقاله علمی کامل وخلاص'!H466</f>
        <v>0</v>
      </c>
      <c r="I487" s="2203"/>
      <c r="J487" s="2211">
        <f>'بند3-5و3-6مقاله علمی کامل وخلاص'!J466</f>
        <v>0</v>
      </c>
      <c r="K487" s="2212"/>
      <c r="L487" s="2212"/>
      <c r="M487" s="2212"/>
      <c r="N487" s="2212"/>
      <c r="O487" s="2212"/>
      <c r="P487" s="2212"/>
      <c r="Q487" s="2214">
        <f>'بند3-5و3-6مقاله علمی کامل وخلاص'!P466</f>
        <v>0</v>
      </c>
      <c r="R487" s="2215"/>
      <c r="S487" s="2202">
        <f>'بند3-5و3-6مقاله علمی کامل وخلاص'!M466</f>
        <v>0</v>
      </c>
      <c r="T487" s="2203"/>
      <c r="U487" s="2203"/>
      <c r="V487" s="382" t="s">
        <v>762</v>
      </c>
      <c r="W487" s="382" t="s">
        <v>763</v>
      </c>
      <c r="X487" s="382" t="s">
        <v>769</v>
      </c>
      <c r="Y487" s="383" t="s">
        <v>767</v>
      </c>
    </row>
    <row r="488" spans="1:25" ht="42.75" customHeight="1">
      <c r="A488" s="2230"/>
      <c r="B488" s="386">
        <f>'بند3-5و3-6مقاله علمی کامل وخلاص'!B468</f>
        <v>0</v>
      </c>
      <c r="C488" s="386">
        <f>'بند3-5و3-6مقاله علمی کامل وخلاص'!C468</f>
        <v>0</v>
      </c>
      <c r="D488" s="386">
        <f>'بند3-5و3-6مقاله علمی کامل وخلاص'!D468</f>
        <v>0</v>
      </c>
      <c r="E488" s="2218"/>
      <c r="F488" s="2219"/>
      <c r="G488" s="2220"/>
      <c r="H488" s="2182">
        <f>'بند3-5و3-6مقاله علمی کامل وخلاص'!I466</f>
        <v>0</v>
      </c>
      <c r="I488" s="2183"/>
      <c r="J488" s="2213"/>
      <c r="K488" s="2213"/>
      <c r="L488" s="2213"/>
      <c r="M488" s="2213"/>
      <c r="N488" s="2213"/>
      <c r="O488" s="2213"/>
      <c r="P488" s="2213"/>
      <c r="Q488" s="2216"/>
      <c r="R488" s="2217"/>
      <c r="S488" s="2183"/>
      <c r="T488" s="2183"/>
      <c r="U488" s="2183"/>
      <c r="V488" s="374">
        <f>'بند3-5و3-6مقاله علمی کامل وخلاص'!J470</f>
        <v>0</v>
      </c>
      <c r="W488" s="374">
        <f>'بند3-5و3-6مقاله علمی کامل وخلاص'!J470</f>
        <v>0</v>
      </c>
      <c r="X488" s="375">
        <f>'بند3-5و3-6مقاله علمی کامل وخلاص'!G470</f>
        <v>0</v>
      </c>
      <c r="Y488" s="385">
        <f ca="1">'بند3-5و3-6مقاله علمی کامل وخلاص'!R466</f>
        <v>0</v>
      </c>
    </row>
    <row r="489" spans="1:25" ht="42.75" customHeight="1">
      <c r="A489" s="2196">
        <f>'بند3-5و3-6مقاله علمی کامل وخلاص'!A471</f>
        <v>0</v>
      </c>
      <c r="B489" s="2341">
        <f>'بند3-5و3-6مقاله علمی کامل وخلاص'!B471</f>
        <v>0</v>
      </c>
      <c r="C489" s="2342"/>
      <c r="D489" s="2342"/>
      <c r="E489" s="2198">
        <f>'بند3-5و3-6مقاله علمی کامل وخلاص'!E471</f>
        <v>0</v>
      </c>
      <c r="F489" s="2199"/>
      <c r="G489" s="2200"/>
      <c r="H489" s="2202">
        <f>'بند3-5و3-6مقاله علمی کامل وخلاص'!H471</f>
        <v>0</v>
      </c>
      <c r="I489" s="2203"/>
      <c r="J489" s="2211">
        <f>'بند3-5و3-6مقاله علمی کامل وخلاص'!J471</f>
        <v>0</v>
      </c>
      <c r="K489" s="2212"/>
      <c r="L489" s="2212"/>
      <c r="M489" s="2212"/>
      <c r="N489" s="2212"/>
      <c r="O489" s="2212"/>
      <c r="P489" s="2212"/>
      <c r="Q489" s="2214">
        <f>'بند3-5و3-6مقاله علمی کامل وخلاص'!P471</f>
        <v>0</v>
      </c>
      <c r="R489" s="2215"/>
      <c r="S489" s="2202">
        <f>'بند3-5و3-6مقاله علمی کامل وخلاص'!M471</f>
        <v>0</v>
      </c>
      <c r="T489" s="2203"/>
      <c r="U489" s="2203"/>
      <c r="V489" s="382" t="s">
        <v>762</v>
      </c>
      <c r="W489" s="382" t="s">
        <v>763</v>
      </c>
      <c r="X489" s="382" t="s">
        <v>769</v>
      </c>
      <c r="Y489" s="383" t="s">
        <v>767</v>
      </c>
    </row>
    <row r="490" spans="1:25" ht="42.75" customHeight="1">
      <c r="A490" s="2230"/>
      <c r="B490" s="386">
        <f>'بند3-5و3-6مقاله علمی کامل وخلاص'!B473</f>
        <v>0</v>
      </c>
      <c r="C490" s="386">
        <f>'بند3-5و3-6مقاله علمی کامل وخلاص'!C473</f>
        <v>0</v>
      </c>
      <c r="D490" s="386">
        <f>'بند3-5و3-6مقاله علمی کامل وخلاص'!D473</f>
        <v>0</v>
      </c>
      <c r="E490" s="2218"/>
      <c r="F490" s="2219"/>
      <c r="G490" s="2220"/>
      <c r="H490" s="2182">
        <f>'بند3-5و3-6مقاله علمی کامل وخلاص'!I471</f>
        <v>0</v>
      </c>
      <c r="I490" s="2183"/>
      <c r="J490" s="2213"/>
      <c r="K490" s="2213"/>
      <c r="L490" s="2213"/>
      <c r="M490" s="2213"/>
      <c r="N490" s="2213"/>
      <c r="O490" s="2213"/>
      <c r="P490" s="2213"/>
      <c r="Q490" s="2216"/>
      <c r="R490" s="2217"/>
      <c r="S490" s="2183"/>
      <c r="T490" s="2183"/>
      <c r="U490" s="2183"/>
      <c r="V490" s="374">
        <f>'بند3-5و3-6مقاله علمی کامل وخلاص'!J475</f>
        <v>0</v>
      </c>
      <c r="W490" s="374">
        <f>'بند3-5و3-6مقاله علمی کامل وخلاص'!J475</f>
        <v>0</v>
      </c>
      <c r="X490" s="375">
        <f>'بند3-5و3-6مقاله علمی کامل وخلاص'!G475</f>
        <v>0</v>
      </c>
      <c r="Y490" s="385">
        <f ca="1">'بند3-5و3-6مقاله علمی کامل وخلاص'!R471</f>
        <v>0</v>
      </c>
    </row>
    <row r="491" spans="1:25" ht="42.75" customHeight="1">
      <c r="A491" s="2196">
        <f>'بند3-5و3-6مقاله علمی کامل وخلاص'!A476</f>
        <v>0</v>
      </c>
      <c r="B491" s="2341">
        <f>'بند3-5و3-6مقاله علمی کامل وخلاص'!B476</f>
        <v>0</v>
      </c>
      <c r="C491" s="2342"/>
      <c r="D491" s="2342"/>
      <c r="E491" s="2198">
        <f>'بند3-5و3-6مقاله علمی کامل وخلاص'!E476</f>
        <v>0</v>
      </c>
      <c r="F491" s="2199"/>
      <c r="G491" s="2200"/>
      <c r="H491" s="2202">
        <f>'بند3-5و3-6مقاله علمی کامل وخلاص'!H476</f>
        <v>0</v>
      </c>
      <c r="I491" s="2203"/>
      <c r="J491" s="2211">
        <f>'بند3-5و3-6مقاله علمی کامل وخلاص'!J476</f>
        <v>0</v>
      </c>
      <c r="K491" s="2212"/>
      <c r="L491" s="2212"/>
      <c r="M491" s="2212"/>
      <c r="N491" s="2212"/>
      <c r="O491" s="2212"/>
      <c r="P491" s="2212"/>
      <c r="Q491" s="2214">
        <f>'بند3-5و3-6مقاله علمی کامل وخلاص'!P476</f>
        <v>0</v>
      </c>
      <c r="R491" s="2215"/>
      <c r="S491" s="2202">
        <f>'بند3-5و3-6مقاله علمی کامل وخلاص'!M476</f>
        <v>0</v>
      </c>
      <c r="T491" s="2203"/>
      <c r="U491" s="2203"/>
      <c r="V491" s="382" t="s">
        <v>762</v>
      </c>
      <c r="W491" s="382" t="s">
        <v>763</v>
      </c>
      <c r="X491" s="382" t="s">
        <v>769</v>
      </c>
      <c r="Y491" s="383" t="s">
        <v>767</v>
      </c>
    </row>
    <row r="492" spans="1:25" ht="42.75" customHeight="1">
      <c r="A492" s="2230"/>
      <c r="B492" s="386">
        <f>'بند3-5و3-6مقاله علمی کامل وخلاص'!B478</f>
        <v>0</v>
      </c>
      <c r="C492" s="386">
        <f>'بند3-5و3-6مقاله علمی کامل وخلاص'!C478</f>
        <v>0</v>
      </c>
      <c r="D492" s="386">
        <f>'بند3-5و3-6مقاله علمی کامل وخلاص'!D478</f>
        <v>0</v>
      </c>
      <c r="E492" s="2218"/>
      <c r="F492" s="2219"/>
      <c r="G492" s="2220"/>
      <c r="H492" s="2182">
        <f>'بند3-5و3-6مقاله علمی کامل وخلاص'!I476</f>
        <v>0</v>
      </c>
      <c r="I492" s="2183"/>
      <c r="J492" s="2213"/>
      <c r="K492" s="2213"/>
      <c r="L492" s="2213"/>
      <c r="M492" s="2213"/>
      <c r="N492" s="2213"/>
      <c r="O492" s="2213"/>
      <c r="P492" s="2213"/>
      <c r="Q492" s="2216"/>
      <c r="R492" s="2217"/>
      <c r="S492" s="2183"/>
      <c r="T492" s="2183"/>
      <c r="U492" s="2183"/>
      <c r="V492" s="374">
        <f>'بند3-5و3-6مقاله علمی کامل وخلاص'!J480</f>
        <v>0</v>
      </c>
      <c r="W492" s="374">
        <f>'بند3-5و3-6مقاله علمی کامل وخلاص'!J480</f>
        <v>0</v>
      </c>
      <c r="X492" s="375">
        <f>'بند3-5و3-6مقاله علمی کامل وخلاص'!G480</f>
        <v>0</v>
      </c>
      <c r="Y492" s="385">
        <f ca="1">'بند3-5و3-6مقاله علمی کامل وخلاص'!R476</f>
        <v>0</v>
      </c>
    </row>
    <row r="493" spans="1:25" ht="42.75" customHeight="1">
      <c r="A493" s="2196">
        <f>'بند3-5و3-6مقاله علمی کامل وخلاص'!A481</f>
        <v>0</v>
      </c>
      <c r="B493" s="2341">
        <f>'بند3-5و3-6مقاله علمی کامل وخلاص'!B481</f>
        <v>0</v>
      </c>
      <c r="C493" s="2342"/>
      <c r="D493" s="2342"/>
      <c r="E493" s="2198">
        <f>'بند3-5و3-6مقاله علمی کامل وخلاص'!E481</f>
        <v>0</v>
      </c>
      <c r="F493" s="2199"/>
      <c r="G493" s="2200"/>
      <c r="H493" s="2202">
        <f>'بند3-5و3-6مقاله علمی کامل وخلاص'!H481</f>
        <v>0</v>
      </c>
      <c r="I493" s="2203"/>
      <c r="J493" s="2211">
        <f>'بند3-5و3-6مقاله علمی کامل وخلاص'!J481</f>
        <v>0</v>
      </c>
      <c r="K493" s="2212"/>
      <c r="L493" s="2212"/>
      <c r="M493" s="2212"/>
      <c r="N493" s="2212"/>
      <c r="O493" s="2212"/>
      <c r="P493" s="2212"/>
      <c r="Q493" s="2214">
        <f>'بند3-5و3-6مقاله علمی کامل وخلاص'!P481</f>
        <v>0</v>
      </c>
      <c r="R493" s="2215"/>
      <c r="S493" s="2202">
        <f>'بند3-5و3-6مقاله علمی کامل وخلاص'!M481</f>
        <v>0</v>
      </c>
      <c r="T493" s="2203"/>
      <c r="U493" s="2203"/>
      <c r="V493" s="382" t="s">
        <v>762</v>
      </c>
      <c r="W493" s="382" t="s">
        <v>763</v>
      </c>
      <c r="X493" s="382" t="s">
        <v>769</v>
      </c>
      <c r="Y493" s="383" t="s">
        <v>767</v>
      </c>
    </row>
    <row r="494" spans="1:25" ht="42.75" customHeight="1">
      <c r="A494" s="2230"/>
      <c r="B494" s="386">
        <f>'بند3-5و3-6مقاله علمی کامل وخلاص'!B483</f>
        <v>0</v>
      </c>
      <c r="C494" s="386">
        <f>'بند3-5و3-6مقاله علمی کامل وخلاص'!C483</f>
        <v>0</v>
      </c>
      <c r="D494" s="386">
        <f>'بند3-5و3-6مقاله علمی کامل وخلاص'!D483</f>
        <v>0</v>
      </c>
      <c r="E494" s="2218"/>
      <c r="F494" s="2219"/>
      <c r="G494" s="2220"/>
      <c r="H494" s="2182">
        <f>'بند3-5و3-6مقاله علمی کامل وخلاص'!I481</f>
        <v>0</v>
      </c>
      <c r="I494" s="2183"/>
      <c r="J494" s="2213"/>
      <c r="K494" s="2213"/>
      <c r="L494" s="2213"/>
      <c r="M494" s="2213"/>
      <c r="N494" s="2213"/>
      <c r="O494" s="2213"/>
      <c r="P494" s="2213"/>
      <c r="Q494" s="2216"/>
      <c r="R494" s="2217"/>
      <c r="S494" s="2183"/>
      <c r="T494" s="2183"/>
      <c r="U494" s="2183"/>
      <c r="V494" s="374">
        <f>'بند3-5و3-6مقاله علمی کامل وخلاص'!J485</f>
        <v>0</v>
      </c>
      <c r="W494" s="374">
        <f>'بند3-5و3-6مقاله علمی کامل وخلاص'!J485</f>
        <v>0</v>
      </c>
      <c r="X494" s="375">
        <f>'بند3-5و3-6مقاله علمی کامل وخلاص'!G485</f>
        <v>0</v>
      </c>
      <c r="Y494" s="385">
        <f ca="1">'بند3-5و3-6مقاله علمی کامل وخلاص'!R481</f>
        <v>0</v>
      </c>
    </row>
    <row r="495" spans="1:25" ht="42.75" customHeight="1">
      <c r="A495" s="2196">
        <f>'بند3-5و3-6مقاله علمی کامل وخلاص'!A486</f>
        <v>0</v>
      </c>
      <c r="B495" s="2341">
        <f>'بند3-5و3-6مقاله علمی کامل وخلاص'!B486</f>
        <v>0</v>
      </c>
      <c r="C495" s="2342"/>
      <c r="D495" s="2342"/>
      <c r="E495" s="2198">
        <f>'بند3-5و3-6مقاله علمی کامل وخلاص'!E486</f>
        <v>0</v>
      </c>
      <c r="F495" s="2199"/>
      <c r="G495" s="2200"/>
      <c r="H495" s="2202">
        <f>'بند3-5و3-6مقاله علمی کامل وخلاص'!H486</f>
        <v>0</v>
      </c>
      <c r="I495" s="2203"/>
      <c r="J495" s="2211">
        <f>'بند3-5و3-6مقاله علمی کامل وخلاص'!J486</f>
        <v>0</v>
      </c>
      <c r="K495" s="2212"/>
      <c r="L495" s="2212"/>
      <c r="M495" s="2212"/>
      <c r="N495" s="2212"/>
      <c r="O495" s="2212"/>
      <c r="P495" s="2212"/>
      <c r="Q495" s="2214">
        <f>'بند3-5و3-6مقاله علمی کامل وخلاص'!P486</f>
        <v>0</v>
      </c>
      <c r="R495" s="2215"/>
      <c r="S495" s="2202">
        <f>'بند3-5و3-6مقاله علمی کامل وخلاص'!M486</f>
        <v>0</v>
      </c>
      <c r="T495" s="2203"/>
      <c r="U495" s="2203"/>
      <c r="V495" s="382" t="s">
        <v>762</v>
      </c>
      <c r="W495" s="382" t="s">
        <v>763</v>
      </c>
      <c r="X495" s="382" t="s">
        <v>769</v>
      </c>
      <c r="Y495" s="383" t="s">
        <v>767</v>
      </c>
    </row>
    <row r="496" spans="1:25" ht="42.75" customHeight="1">
      <c r="A496" s="2230"/>
      <c r="B496" s="386">
        <f>'بند3-5و3-6مقاله علمی کامل وخلاص'!B488</f>
        <v>0</v>
      </c>
      <c r="C496" s="386">
        <f>'بند3-5و3-6مقاله علمی کامل وخلاص'!C488</f>
        <v>0</v>
      </c>
      <c r="D496" s="386">
        <f>'بند3-5و3-6مقاله علمی کامل وخلاص'!D488</f>
        <v>0</v>
      </c>
      <c r="E496" s="2218"/>
      <c r="F496" s="2219"/>
      <c r="G496" s="2220"/>
      <c r="H496" s="2182">
        <f>'بند3-5و3-6مقاله علمی کامل وخلاص'!I486</f>
        <v>0</v>
      </c>
      <c r="I496" s="2183"/>
      <c r="J496" s="2213"/>
      <c r="K496" s="2213"/>
      <c r="L496" s="2213"/>
      <c r="M496" s="2213"/>
      <c r="N496" s="2213"/>
      <c r="O496" s="2213"/>
      <c r="P496" s="2213"/>
      <c r="Q496" s="2216"/>
      <c r="R496" s="2217"/>
      <c r="S496" s="2183"/>
      <c r="T496" s="2183"/>
      <c r="U496" s="2183"/>
      <c r="V496" s="374">
        <f>'بند3-5و3-6مقاله علمی کامل وخلاص'!J490</f>
        <v>0</v>
      </c>
      <c r="W496" s="374">
        <f>'بند3-5و3-6مقاله علمی کامل وخلاص'!J490</f>
        <v>0</v>
      </c>
      <c r="X496" s="375">
        <f>'بند3-5و3-6مقاله علمی کامل وخلاص'!G490</f>
        <v>0</v>
      </c>
      <c r="Y496" s="385">
        <f ca="1">'بند3-5و3-6مقاله علمی کامل وخلاص'!R486</f>
        <v>0</v>
      </c>
    </row>
    <row r="497" spans="1:25" ht="42.75" customHeight="1">
      <c r="A497" s="2196">
        <f>'بند3-5و3-6مقاله علمی کامل وخلاص'!A491</f>
        <v>0</v>
      </c>
      <c r="B497" s="2341">
        <f>'بند3-5و3-6مقاله علمی کامل وخلاص'!B491</f>
        <v>0</v>
      </c>
      <c r="C497" s="2342"/>
      <c r="D497" s="2342"/>
      <c r="E497" s="2198">
        <f>'بند3-5و3-6مقاله علمی کامل وخلاص'!E491</f>
        <v>0</v>
      </c>
      <c r="F497" s="2199"/>
      <c r="G497" s="2200"/>
      <c r="H497" s="2202">
        <f>'بند3-5و3-6مقاله علمی کامل وخلاص'!H491</f>
        <v>0</v>
      </c>
      <c r="I497" s="2203"/>
      <c r="J497" s="2211">
        <f>'بند3-5و3-6مقاله علمی کامل وخلاص'!J491</f>
        <v>0</v>
      </c>
      <c r="K497" s="2212"/>
      <c r="L497" s="2212"/>
      <c r="M497" s="2212"/>
      <c r="N497" s="2212"/>
      <c r="O497" s="2212"/>
      <c r="P497" s="2212"/>
      <c r="Q497" s="2214">
        <f>'بند3-5و3-6مقاله علمی کامل وخلاص'!P491</f>
        <v>0</v>
      </c>
      <c r="R497" s="2215"/>
      <c r="S497" s="2202">
        <f>'بند3-5و3-6مقاله علمی کامل وخلاص'!M491</f>
        <v>0</v>
      </c>
      <c r="T497" s="2203"/>
      <c r="U497" s="2203"/>
      <c r="V497" s="382" t="s">
        <v>762</v>
      </c>
      <c r="W497" s="382" t="s">
        <v>763</v>
      </c>
      <c r="X497" s="382" t="s">
        <v>769</v>
      </c>
      <c r="Y497" s="383" t="s">
        <v>767</v>
      </c>
    </row>
    <row r="498" spans="1:25" ht="42.75" customHeight="1">
      <c r="A498" s="2230"/>
      <c r="B498" s="386">
        <f>'بند3-5و3-6مقاله علمی کامل وخلاص'!B493</f>
        <v>0</v>
      </c>
      <c r="C498" s="386">
        <f>'بند3-5و3-6مقاله علمی کامل وخلاص'!C493</f>
        <v>0</v>
      </c>
      <c r="D498" s="386">
        <f>'بند3-5و3-6مقاله علمی کامل وخلاص'!D493</f>
        <v>0</v>
      </c>
      <c r="E498" s="2218"/>
      <c r="F498" s="2219"/>
      <c r="G498" s="2220"/>
      <c r="H498" s="2182">
        <f>'بند3-5و3-6مقاله علمی کامل وخلاص'!I491</f>
        <v>0</v>
      </c>
      <c r="I498" s="2183"/>
      <c r="J498" s="2213"/>
      <c r="K498" s="2213"/>
      <c r="L498" s="2213"/>
      <c r="M498" s="2213"/>
      <c r="N498" s="2213"/>
      <c r="O498" s="2213"/>
      <c r="P498" s="2213"/>
      <c r="Q498" s="2216"/>
      <c r="R498" s="2217"/>
      <c r="S498" s="2183"/>
      <c r="T498" s="2183"/>
      <c r="U498" s="2183"/>
      <c r="V498" s="374">
        <f>'بند3-5و3-6مقاله علمی کامل وخلاص'!J495</f>
        <v>0</v>
      </c>
      <c r="W498" s="374">
        <f>'بند3-5و3-6مقاله علمی کامل وخلاص'!J495</f>
        <v>0</v>
      </c>
      <c r="X498" s="375">
        <f>'بند3-5و3-6مقاله علمی کامل وخلاص'!G495</f>
        <v>0</v>
      </c>
      <c r="Y498" s="385">
        <f ca="1">'بند3-5و3-6مقاله علمی کامل وخلاص'!R491</f>
        <v>0</v>
      </c>
    </row>
    <row r="499" spans="1:25" ht="42.75" customHeight="1">
      <c r="A499" s="2196">
        <f>'بند3-5و3-6مقاله علمی کامل وخلاص'!A496</f>
        <v>0</v>
      </c>
      <c r="B499" s="2341">
        <f>'بند3-5و3-6مقاله علمی کامل وخلاص'!B496</f>
        <v>0</v>
      </c>
      <c r="C499" s="2342"/>
      <c r="D499" s="2342"/>
      <c r="E499" s="2198">
        <f>'بند3-5و3-6مقاله علمی کامل وخلاص'!E496</f>
        <v>0</v>
      </c>
      <c r="F499" s="2199"/>
      <c r="G499" s="2200"/>
      <c r="H499" s="2202">
        <f>'بند3-5و3-6مقاله علمی کامل وخلاص'!H496</f>
        <v>0</v>
      </c>
      <c r="I499" s="2203"/>
      <c r="J499" s="2211">
        <f>'بند3-5و3-6مقاله علمی کامل وخلاص'!J496</f>
        <v>0</v>
      </c>
      <c r="K499" s="2212"/>
      <c r="L499" s="2212"/>
      <c r="M499" s="2212"/>
      <c r="N499" s="2212"/>
      <c r="O499" s="2212"/>
      <c r="P499" s="2212"/>
      <c r="Q499" s="2214">
        <f>'بند3-5و3-6مقاله علمی کامل وخلاص'!P496</f>
        <v>0</v>
      </c>
      <c r="R499" s="2215"/>
      <c r="S499" s="2202">
        <f>'بند3-5و3-6مقاله علمی کامل وخلاص'!M496</f>
        <v>0</v>
      </c>
      <c r="T499" s="2203"/>
      <c r="U499" s="2203"/>
      <c r="V499" s="382" t="s">
        <v>762</v>
      </c>
      <c r="W499" s="382" t="s">
        <v>763</v>
      </c>
      <c r="X499" s="382" t="s">
        <v>769</v>
      </c>
      <c r="Y499" s="383" t="s">
        <v>767</v>
      </c>
    </row>
    <row r="500" spans="1:25" ht="42.75" customHeight="1">
      <c r="A500" s="2230"/>
      <c r="B500" s="386">
        <f>'بند3-5و3-6مقاله علمی کامل وخلاص'!B498</f>
        <v>0</v>
      </c>
      <c r="C500" s="386">
        <f>'بند3-5و3-6مقاله علمی کامل وخلاص'!C498</f>
        <v>0</v>
      </c>
      <c r="D500" s="386">
        <f>'بند3-5و3-6مقاله علمی کامل وخلاص'!D498</f>
        <v>0</v>
      </c>
      <c r="E500" s="2218"/>
      <c r="F500" s="2219"/>
      <c r="G500" s="2220"/>
      <c r="H500" s="2182">
        <f>'بند3-5و3-6مقاله علمی کامل وخلاص'!I496</f>
        <v>0</v>
      </c>
      <c r="I500" s="2183"/>
      <c r="J500" s="2213"/>
      <c r="K500" s="2213"/>
      <c r="L500" s="2213"/>
      <c r="M500" s="2213"/>
      <c r="N500" s="2213"/>
      <c r="O500" s="2213"/>
      <c r="P500" s="2213"/>
      <c r="Q500" s="2216"/>
      <c r="R500" s="2217"/>
      <c r="S500" s="2183"/>
      <c r="T500" s="2183"/>
      <c r="U500" s="2183"/>
      <c r="V500" s="374">
        <f>'بند3-5و3-6مقاله علمی کامل وخلاص'!J500</f>
        <v>0</v>
      </c>
      <c r="W500" s="374">
        <f>'بند3-5و3-6مقاله علمی کامل وخلاص'!J500</f>
        <v>0</v>
      </c>
      <c r="X500" s="375">
        <f>'بند3-5و3-6مقاله علمی کامل وخلاص'!G500</f>
        <v>0</v>
      </c>
      <c r="Y500" s="385">
        <f ca="1">'بند3-5و3-6مقاله علمی کامل وخلاص'!R496</f>
        <v>0</v>
      </c>
    </row>
    <row r="501" spans="1:25" ht="42.75" customHeight="1">
      <c r="A501" s="2196">
        <f>'بند3-5و3-6مقاله علمی کامل وخلاص'!A501</f>
        <v>0</v>
      </c>
      <c r="B501" s="2223">
        <f>'بند3-5و3-6مقاله علمی کامل وخلاص'!B501</f>
        <v>0</v>
      </c>
      <c r="C501" s="2224"/>
      <c r="D501" s="2225"/>
      <c r="E501" s="2198">
        <f>'بند3-5و3-6مقاله علمی کامل وخلاص'!E501</f>
        <v>0</v>
      </c>
      <c r="F501" s="2199"/>
      <c r="G501" s="2200"/>
      <c r="H501" s="2202">
        <f>'بند3-5و3-6مقاله علمی کامل وخلاص'!H501</f>
        <v>0</v>
      </c>
      <c r="I501" s="2203"/>
      <c r="J501" s="2211">
        <f>'بند3-5و3-6مقاله علمی کامل وخلاص'!J501</f>
        <v>0</v>
      </c>
      <c r="K501" s="2212"/>
      <c r="L501" s="2212"/>
      <c r="M501" s="2212"/>
      <c r="N501" s="2212"/>
      <c r="O501" s="2212"/>
      <c r="P501" s="2212"/>
      <c r="Q501" s="2214">
        <f>'بند3-5و3-6مقاله علمی کامل وخلاص'!P501</f>
        <v>0</v>
      </c>
      <c r="R501" s="2215"/>
      <c r="S501" s="2202">
        <f>'بند3-5و3-6مقاله علمی کامل وخلاص'!M501</f>
        <v>0</v>
      </c>
      <c r="T501" s="2203"/>
      <c r="U501" s="2203"/>
      <c r="V501" s="382" t="s">
        <v>762</v>
      </c>
      <c r="W501" s="382" t="s">
        <v>763</v>
      </c>
      <c r="X501" s="382" t="s">
        <v>769</v>
      </c>
      <c r="Y501" s="383" t="s">
        <v>767</v>
      </c>
    </row>
    <row r="502" spans="1:25" ht="42.75" customHeight="1" thickBot="1">
      <c r="A502" s="2197"/>
      <c r="B502" s="384">
        <f>'بند3-5و3-6مقاله علمی کامل وخلاص'!B503</f>
        <v>0</v>
      </c>
      <c r="C502" s="384">
        <f>'بند3-5و3-6مقاله علمی کامل وخلاص'!C503</f>
        <v>0</v>
      </c>
      <c r="D502" s="384">
        <f>'بند3-5و3-6مقاله علمی کامل وخلاص'!D503</f>
        <v>0</v>
      </c>
      <c r="E502" s="2201"/>
      <c r="F502" s="2199"/>
      <c r="G502" s="2200"/>
      <c r="H502" s="2221">
        <f>'بند3-5و3-6مقاله علمی کامل وخلاص'!I501</f>
        <v>0</v>
      </c>
      <c r="I502" s="2222"/>
      <c r="J502" s="2422"/>
      <c r="K502" s="2422"/>
      <c r="L502" s="2422"/>
      <c r="M502" s="2422"/>
      <c r="N502" s="2422"/>
      <c r="O502" s="2422"/>
      <c r="P502" s="2422"/>
      <c r="Q502" s="2299"/>
      <c r="R502" s="2215"/>
      <c r="S502" s="2222"/>
      <c r="T502" s="2222"/>
      <c r="U502" s="2222"/>
      <c r="V502" s="378">
        <f>'بند3-5و3-6مقاله علمی کامل وخلاص'!J505</f>
        <v>0</v>
      </c>
      <c r="W502" s="378">
        <f>'بند3-5و3-6مقاله علمی کامل وخلاص'!J505</f>
        <v>0</v>
      </c>
      <c r="X502" s="379">
        <f>'بند3-5و3-6مقاله علمی کامل وخلاص'!G505</f>
        <v>0</v>
      </c>
      <c r="Y502" s="387">
        <f ca="1">'بند3-5و3-6مقاله علمی کامل وخلاص'!R501</f>
        <v>0</v>
      </c>
    </row>
    <row r="503" spans="1:25" ht="30.75" customHeight="1">
      <c r="A503" s="2194" t="s">
        <v>806</v>
      </c>
      <c r="B503" s="2195"/>
      <c r="C503" s="2195"/>
      <c r="D503" s="2195"/>
      <c r="E503" s="2195"/>
      <c r="F503" s="2195"/>
      <c r="G503" s="2195"/>
      <c r="H503" s="2195"/>
      <c r="I503" s="2195"/>
      <c r="J503" s="2195"/>
      <c r="K503" s="2195"/>
      <c r="L503" s="2195"/>
      <c r="M503" s="2195"/>
      <c r="N503" s="2195"/>
      <c r="O503" s="2195"/>
      <c r="P503" s="2195"/>
      <c r="Q503" s="2195"/>
      <c r="R503" s="2195"/>
      <c r="S503" s="2195"/>
      <c r="T503" s="2195"/>
      <c r="U503" s="2195"/>
      <c r="V503" s="2195"/>
      <c r="W503" s="2195"/>
      <c r="X503" s="2351">
        <f>'بند3-5و3-6مقاله علمی کامل وخلاص'!R506</f>
        <v>0</v>
      </c>
      <c r="Y503" s="2352"/>
    </row>
    <row r="504" spans="1:25" ht="30.75" customHeight="1" thickBot="1">
      <c r="A504" s="2226" t="s">
        <v>805</v>
      </c>
      <c r="B504" s="2227"/>
      <c r="C504" s="2227"/>
      <c r="D504" s="2227"/>
      <c r="E504" s="2227"/>
      <c r="F504" s="2227"/>
      <c r="G504" s="2227"/>
      <c r="H504" s="2227"/>
      <c r="I504" s="2227"/>
      <c r="J504" s="2227"/>
      <c r="K504" s="2227"/>
      <c r="L504" s="2227"/>
      <c r="M504" s="2227"/>
      <c r="N504" s="2227"/>
      <c r="O504" s="2227"/>
      <c r="P504" s="2227"/>
      <c r="Q504" s="2227"/>
      <c r="R504" s="2227"/>
      <c r="S504" s="2227"/>
      <c r="T504" s="2227"/>
      <c r="U504" s="2227"/>
      <c r="V504" s="2227"/>
      <c r="W504" s="2227"/>
      <c r="X504" s="2164">
        <f>'بند3-5و3-6مقاله علمی کامل وخلاص'!R507</f>
        <v>0</v>
      </c>
      <c r="Y504" s="2165"/>
    </row>
    <row r="505" spans="1:25" ht="30" customHeight="1" thickBot="1">
      <c r="A505" s="2132" t="s">
        <v>804</v>
      </c>
      <c r="B505" s="2132"/>
      <c r="C505" s="2132"/>
      <c r="D505" s="2132"/>
      <c r="E505" s="2132"/>
      <c r="F505" s="2132"/>
      <c r="G505" s="2132"/>
      <c r="H505" s="2132"/>
      <c r="I505" s="2132"/>
      <c r="J505" s="2132"/>
      <c r="K505" s="2132"/>
      <c r="L505" s="2132"/>
      <c r="M505" s="2132"/>
      <c r="N505" s="2132"/>
      <c r="O505" s="2132"/>
      <c r="P505" s="2132"/>
      <c r="Q505" s="2132"/>
      <c r="R505" s="2132"/>
      <c r="S505" s="2132"/>
      <c r="T505" s="2132"/>
      <c r="U505" s="2132"/>
      <c r="V505" s="2132"/>
      <c r="W505" s="2132"/>
      <c r="X505" s="2132"/>
      <c r="Y505" s="2132"/>
    </row>
    <row r="506" spans="1:25" ht="30" customHeight="1" thickBot="1">
      <c r="A506" s="355" t="s">
        <v>9</v>
      </c>
      <c r="B506" s="2127" t="s">
        <v>274</v>
      </c>
      <c r="C506" s="2128"/>
      <c r="D506" s="2128"/>
      <c r="E506" s="2128"/>
      <c r="F506" s="2128"/>
      <c r="G506" s="2128"/>
      <c r="H506" s="2128"/>
      <c r="I506" s="2128"/>
      <c r="J506" s="2128"/>
      <c r="K506" s="2129"/>
      <c r="L506" s="2127" t="s">
        <v>271</v>
      </c>
      <c r="M506" s="2128"/>
      <c r="N506" s="2128"/>
      <c r="O506" s="2128"/>
      <c r="P506" s="2128"/>
      <c r="Q506" s="2128"/>
      <c r="R506" s="2128"/>
      <c r="S506" s="2128"/>
      <c r="T506" s="2128"/>
      <c r="U506" s="2129"/>
      <c r="V506" s="2117" t="s">
        <v>758</v>
      </c>
      <c r="W506" s="2117"/>
      <c r="X506" s="2117" t="s">
        <v>13</v>
      </c>
      <c r="Y506" s="2118"/>
    </row>
    <row r="507" spans="1:25" ht="30" customHeight="1">
      <c r="A507" s="388">
        <v>1</v>
      </c>
      <c r="B507" s="2343">
        <f>'بند3-7مقاله مستخرج از رساله'!B6</f>
        <v>0</v>
      </c>
      <c r="C507" s="2344"/>
      <c r="D507" s="2344"/>
      <c r="E507" s="2344"/>
      <c r="F507" s="2344"/>
      <c r="G507" s="2344"/>
      <c r="H507" s="2344"/>
      <c r="I507" s="2344"/>
      <c r="J507" s="2344"/>
      <c r="K507" s="2345"/>
      <c r="L507" s="2346">
        <f>'بند3-7مقاله مستخرج از رساله'!G6</f>
        <v>0</v>
      </c>
      <c r="M507" s="2347"/>
      <c r="N507" s="2347"/>
      <c r="O507" s="2347"/>
      <c r="P507" s="2347"/>
      <c r="Q507" s="2347"/>
      <c r="R507" s="2347"/>
      <c r="S507" s="2347"/>
      <c r="T507" s="2347"/>
      <c r="U507" s="2348"/>
      <c r="V507" s="2349">
        <f>'بند3-7مقاله مستخرج از رساله'!L6</f>
        <v>0</v>
      </c>
      <c r="W507" s="2350"/>
      <c r="X507" s="2149">
        <f>'بند3-7مقاله مستخرج از رساله'!R6</f>
        <v>0</v>
      </c>
      <c r="Y507" s="2150"/>
    </row>
    <row r="508" spans="1:25" ht="30" customHeight="1">
      <c r="A508" s="389">
        <v>2</v>
      </c>
      <c r="B508" s="2343">
        <f>'بند3-7مقاله مستخرج از رساله'!B7</f>
        <v>0</v>
      </c>
      <c r="C508" s="2344"/>
      <c r="D508" s="2344"/>
      <c r="E508" s="2344"/>
      <c r="F508" s="2344"/>
      <c r="G508" s="2344"/>
      <c r="H508" s="2344"/>
      <c r="I508" s="2344"/>
      <c r="J508" s="2344"/>
      <c r="K508" s="2345"/>
      <c r="L508" s="2346">
        <f>'بند3-7مقاله مستخرج از رساله'!G7</f>
        <v>0</v>
      </c>
      <c r="M508" s="2347"/>
      <c r="N508" s="2347"/>
      <c r="O508" s="2347"/>
      <c r="P508" s="2347"/>
      <c r="Q508" s="2347"/>
      <c r="R508" s="2347"/>
      <c r="S508" s="2347"/>
      <c r="T508" s="2347"/>
      <c r="U508" s="2348"/>
      <c r="V508" s="2349">
        <f>'بند3-7مقاله مستخرج از رساله'!L7</f>
        <v>0</v>
      </c>
      <c r="W508" s="2350"/>
      <c r="X508" s="2149">
        <f>'بند3-7مقاله مستخرج از رساله'!R7</f>
        <v>0</v>
      </c>
      <c r="Y508" s="2150"/>
    </row>
    <row r="509" spans="1:25" ht="30" customHeight="1">
      <c r="A509" s="389">
        <v>3</v>
      </c>
      <c r="B509" s="2343">
        <f>'بند3-7مقاله مستخرج از رساله'!B8</f>
        <v>0</v>
      </c>
      <c r="C509" s="2344"/>
      <c r="D509" s="2344"/>
      <c r="E509" s="2344"/>
      <c r="F509" s="2344"/>
      <c r="G509" s="2344"/>
      <c r="H509" s="2344"/>
      <c r="I509" s="2344"/>
      <c r="J509" s="2344"/>
      <c r="K509" s="2345"/>
      <c r="L509" s="2346">
        <f>'بند3-7مقاله مستخرج از رساله'!G8</f>
        <v>0</v>
      </c>
      <c r="M509" s="2347"/>
      <c r="N509" s="2347"/>
      <c r="O509" s="2347"/>
      <c r="P509" s="2347"/>
      <c r="Q509" s="2347"/>
      <c r="R509" s="2347"/>
      <c r="S509" s="2347"/>
      <c r="T509" s="2347"/>
      <c r="U509" s="2348"/>
      <c r="V509" s="2349">
        <f>'بند3-7مقاله مستخرج از رساله'!L8</f>
        <v>0</v>
      </c>
      <c r="W509" s="2350"/>
      <c r="X509" s="2149">
        <f>'بند3-7مقاله مستخرج از رساله'!R8</f>
        <v>0</v>
      </c>
      <c r="Y509" s="2150"/>
    </row>
    <row r="510" spans="1:25" ht="30" customHeight="1">
      <c r="A510" s="389">
        <v>4</v>
      </c>
      <c r="B510" s="2343">
        <f>'بند3-7مقاله مستخرج از رساله'!B9</f>
        <v>0</v>
      </c>
      <c r="C510" s="2344"/>
      <c r="D510" s="2344"/>
      <c r="E510" s="2344"/>
      <c r="F510" s="2344"/>
      <c r="G510" s="2344"/>
      <c r="H510" s="2344"/>
      <c r="I510" s="2344"/>
      <c r="J510" s="2344"/>
      <c r="K510" s="2345"/>
      <c r="L510" s="2346">
        <f>'بند3-7مقاله مستخرج از رساله'!G9</f>
        <v>0</v>
      </c>
      <c r="M510" s="2347"/>
      <c r="N510" s="2347"/>
      <c r="O510" s="2347"/>
      <c r="P510" s="2347"/>
      <c r="Q510" s="2347"/>
      <c r="R510" s="2347"/>
      <c r="S510" s="2347"/>
      <c r="T510" s="2347"/>
      <c r="U510" s="2348"/>
      <c r="V510" s="2349">
        <f>'بند3-7مقاله مستخرج از رساله'!L9</f>
        <v>0</v>
      </c>
      <c r="W510" s="2350"/>
      <c r="X510" s="2149">
        <f>'بند3-7مقاله مستخرج از رساله'!R9</f>
        <v>0</v>
      </c>
      <c r="Y510" s="2150"/>
    </row>
    <row r="511" spans="1:25" ht="30" customHeight="1">
      <c r="A511" s="389">
        <v>5</v>
      </c>
      <c r="B511" s="2343">
        <f>'بند3-7مقاله مستخرج از رساله'!B10</f>
        <v>0</v>
      </c>
      <c r="C511" s="2344"/>
      <c r="D511" s="2344"/>
      <c r="E511" s="2344"/>
      <c r="F511" s="2344"/>
      <c r="G511" s="2344"/>
      <c r="H511" s="2344"/>
      <c r="I511" s="2344"/>
      <c r="J511" s="2344"/>
      <c r="K511" s="2345"/>
      <c r="L511" s="2346">
        <f>'بند3-7مقاله مستخرج از رساله'!G10</f>
        <v>0</v>
      </c>
      <c r="M511" s="2347"/>
      <c r="N511" s="2347"/>
      <c r="O511" s="2347"/>
      <c r="P511" s="2347"/>
      <c r="Q511" s="2347"/>
      <c r="R511" s="2347"/>
      <c r="S511" s="2347"/>
      <c r="T511" s="2347"/>
      <c r="U511" s="2348"/>
      <c r="V511" s="2349">
        <f>'بند3-7مقاله مستخرج از رساله'!L10</f>
        <v>0</v>
      </c>
      <c r="W511" s="2350"/>
      <c r="X511" s="2149">
        <f>'بند3-7مقاله مستخرج از رساله'!R10</f>
        <v>0</v>
      </c>
      <c r="Y511" s="2150"/>
    </row>
    <row r="512" spans="1:25" ht="30" customHeight="1">
      <c r="A512" s="389">
        <v>6</v>
      </c>
      <c r="B512" s="2343">
        <f>'بند3-7مقاله مستخرج از رساله'!B11</f>
        <v>0</v>
      </c>
      <c r="C512" s="2344"/>
      <c r="D512" s="2344"/>
      <c r="E512" s="2344"/>
      <c r="F512" s="2344"/>
      <c r="G512" s="2344"/>
      <c r="H512" s="2344"/>
      <c r="I512" s="2344"/>
      <c r="J512" s="2344"/>
      <c r="K512" s="2345"/>
      <c r="L512" s="2346">
        <f>'بند3-7مقاله مستخرج از رساله'!G11</f>
        <v>0</v>
      </c>
      <c r="M512" s="2347"/>
      <c r="N512" s="2347"/>
      <c r="O512" s="2347"/>
      <c r="P512" s="2347"/>
      <c r="Q512" s="2347"/>
      <c r="R512" s="2347"/>
      <c r="S512" s="2347"/>
      <c r="T512" s="2347"/>
      <c r="U512" s="2348"/>
      <c r="V512" s="2349">
        <f>'بند3-7مقاله مستخرج از رساله'!L11</f>
        <v>0</v>
      </c>
      <c r="W512" s="2350"/>
      <c r="X512" s="2149">
        <f>'بند3-7مقاله مستخرج از رساله'!R11</f>
        <v>0</v>
      </c>
      <c r="Y512" s="2150"/>
    </row>
    <row r="513" spans="1:25" ht="30" customHeight="1">
      <c r="A513" s="389">
        <v>7</v>
      </c>
      <c r="B513" s="2343">
        <f>'بند3-7مقاله مستخرج از رساله'!B12</f>
        <v>0</v>
      </c>
      <c r="C513" s="2344"/>
      <c r="D513" s="2344"/>
      <c r="E513" s="2344"/>
      <c r="F513" s="2344"/>
      <c r="G513" s="2344"/>
      <c r="H513" s="2344"/>
      <c r="I513" s="2344"/>
      <c r="J513" s="2344"/>
      <c r="K513" s="2345"/>
      <c r="L513" s="2346">
        <f>'بند3-7مقاله مستخرج از رساله'!G12</f>
        <v>0</v>
      </c>
      <c r="M513" s="2347"/>
      <c r="N513" s="2347"/>
      <c r="O513" s="2347"/>
      <c r="P513" s="2347"/>
      <c r="Q513" s="2347"/>
      <c r="R513" s="2347"/>
      <c r="S513" s="2347"/>
      <c r="T513" s="2347"/>
      <c r="U513" s="2348"/>
      <c r="V513" s="2349">
        <f>'بند3-7مقاله مستخرج از رساله'!L12</f>
        <v>0</v>
      </c>
      <c r="W513" s="2350"/>
      <c r="X513" s="2149">
        <f>'بند3-7مقاله مستخرج از رساله'!R12</f>
        <v>0</v>
      </c>
      <c r="Y513" s="2150"/>
    </row>
    <row r="514" spans="1:25" ht="30" customHeight="1">
      <c r="A514" s="389">
        <v>8</v>
      </c>
      <c r="B514" s="2343">
        <f>'بند3-7مقاله مستخرج از رساله'!B13</f>
        <v>0</v>
      </c>
      <c r="C514" s="2344"/>
      <c r="D514" s="2344"/>
      <c r="E514" s="2344"/>
      <c r="F514" s="2344"/>
      <c r="G514" s="2344"/>
      <c r="H514" s="2344"/>
      <c r="I514" s="2344"/>
      <c r="J514" s="2344"/>
      <c r="K514" s="2345"/>
      <c r="L514" s="2346">
        <f>'بند3-7مقاله مستخرج از رساله'!G13</f>
        <v>0</v>
      </c>
      <c r="M514" s="2347"/>
      <c r="N514" s="2347"/>
      <c r="O514" s="2347"/>
      <c r="P514" s="2347"/>
      <c r="Q514" s="2347"/>
      <c r="R514" s="2347"/>
      <c r="S514" s="2347"/>
      <c r="T514" s="2347"/>
      <c r="U514" s="2348"/>
      <c r="V514" s="2349">
        <f>'بند3-7مقاله مستخرج از رساله'!L13</f>
        <v>0</v>
      </c>
      <c r="W514" s="2350"/>
      <c r="X514" s="2149">
        <f>'بند3-7مقاله مستخرج از رساله'!R13</f>
        <v>0</v>
      </c>
      <c r="Y514" s="2150"/>
    </row>
    <row r="515" spans="1:25" ht="30" customHeight="1">
      <c r="A515" s="389">
        <v>9</v>
      </c>
      <c r="B515" s="2343">
        <f>'بند3-7مقاله مستخرج از رساله'!B14</f>
        <v>0</v>
      </c>
      <c r="C515" s="2344"/>
      <c r="D515" s="2344"/>
      <c r="E515" s="2344"/>
      <c r="F515" s="2344"/>
      <c r="G515" s="2344"/>
      <c r="H515" s="2344"/>
      <c r="I515" s="2344"/>
      <c r="J515" s="2344"/>
      <c r="K515" s="2345"/>
      <c r="L515" s="2346">
        <f>'بند3-7مقاله مستخرج از رساله'!G14</f>
        <v>0</v>
      </c>
      <c r="M515" s="2347"/>
      <c r="N515" s="2347"/>
      <c r="O515" s="2347"/>
      <c r="P515" s="2347"/>
      <c r="Q515" s="2347"/>
      <c r="R515" s="2347"/>
      <c r="S515" s="2347"/>
      <c r="T515" s="2347"/>
      <c r="U515" s="2348"/>
      <c r="V515" s="2349">
        <f>'بند3-7مقاله مستخرج از رساله'!L14</f>
        <v>0</v>
      </c>
      <c r="W515" s="2350"/>
      <c r="X515" s="2149">
        <f>'بند3-7مقاله مستخرج از رساله'!R14</f>
        <v>0</v>
      </c>
      <c r="Y515" s="2150"/>
    </row>
    <row r="516" spans="1:25" ht="30" customHeight="1" thickBot="1">
      <c r="A516" s="390">
        <v>10</v>
      </c>
      <c r="B516" s="2343">
        <f>'بند3-7مقاله مستخرج از رساله'!B15</f>
        <v>0</v>
      </c>
      <c r="C516" s="2344"/>
      <c r="D516" s="2344"/>
      <c r="E516" s="2344"/>
      <c r="F516" s="2344"/>
      <c r="G516" s="2344"/>
      <c r="H516" s="2344"/>
      <c r="I516" s="2344"/>
      <c r="J516" s="2344"/>
      <c r="K516" s="2345"/>
      <c r="L516" s="2346">
        <f>'بند3-7مقاله مستخرج از رساله'!G15</f>
        <v>0</v>
      </c>
      <c r="M516" s="2347"/>
      <c r="N516" s="2347"/>
      <c r="O516" s="2347"/>
      <c r="P516" s="2347"/>
      <c r="Q516" s="2347"/>
      <c r="R516" s="2347"/>
      <c r="S516" s="2347"/>
      <c r="T516" s="2347"/>
      <c r="U516" s="2348"/>
      <c r="V516" s="2349">
        <f>'بند3-7مقاله مستخرج از رساله'!L15</f>
        <v>0</v>
      </c>
      <c r="W516" s="2350"/>
      <c r="X516" s="2149">
        <f>'بند3-7مقاله مستخرج از رساله'!R15</f>
        <v>0</v>
      </c>
      <c r="Y516" s="2150"/>
    </row>
    <row r="517" spans="1:25" ht="30" customHeight="1" thickBot="1">
      <c r="A517" s="2130" t="s">
        <v>807</v>
      </c>
      <c r="B517" s="2131"/>
      <c r="C517" s="2131"/>
      <c r="D517" s="2131"/>
      <c r="E517" s="2131"/>
      <c r="F517" s="2131"/>
      <c r="G517" s="2131"/>
      <c r="H517" s="2131"/>
      <c r="I517" s="2131"/>
      <c r="J517" s="2131"/>
      <c r="K517" s="2131"/>
      <c r="L517" s="2131"/>
      <c r="M517" s="2131"/>
      <c r="N517" s="2131"/>
      <c r="O517" s="2131"/>
      <c r="P517" s="2131"/>
      <c r="Q517" s="2131"/>
      <c r="R517" s="2131"/>
      <c r="S517" s="2131"/>
      <c r="T517" s="2131"/>
      <c r="U517" s="2131"/>
      <c r="V517" s="2131"/>
      <c r="W517" s="2131"/>
      <c r="X517" s="2123">
        <f>'بند3-7مقاله مستخرج از رساله'!R16</f>
        <v>0</v>
      </c>
      <c r="Y517" s="2124"/>
    </row>
    <row r="518" spans="1:25" ht="30" customHeight="1" thickBot="1">
      <c r="A518" s="2166" t="s">
        <v>811</v>
      </c>
      <c r="B518" s="2166"/>
      <c r="C518" s="2166"/>
      <c r="D518" s="2166"/>
      <c r="E518" s="2166"/>
      <c r="F518" s="2166"/>
      <c r="G518" s="2166"/>
      <c r="H518" s="2166"/>
      <c r="I518" s="2166"/>
      <c r="J518" s="2166"/>
      <c r="K518" s="2166"/>
      <c r="L518" s="2166"/>
      <c r="M518" s="2166"/>
      <c r="N518" s="2166"/>
      <c r="O518" s="2166"/>
      <c r="P518" s="2166"/>
      <c r="Q518" s="2166"/>
      <c r="R518" s="2166"/>
      <c r="S518" s="2166"/>
      <c r="T518" s="2166"/>
      <c r="U518" s="2166"/>
      <c r="V518" s="2166"/>
      <c r="W518" s="2166"/>
      <c r="X518" s="2166"/>
      <c r="Y518" s="2166"/>
    </row>
    <row r="519" spans="1:25" ht="30" customHeight="1">
      <c r="A519" s="2154" t="s">
        <v>9</v>
      </c>
      <c r="B519" s="2242" t="s">
        <v>239</v>
      </c>
      <c r="C519" s="2243"/>
      <c r="D519" s="2243"/>
      <c r="E519" s="2243"/>
      <c r="F519" s="2244"/>
      <c r="G519" s="2142" t="s">
        <v>495</v>
      </c>
      <c r="H519" s="2142"/>
      <c r="I519" s="2142"/>
      <c r="J519" s="2142"/>
      <c r="K519" s="2142"/>
      <c r="L519" s="2142"/>
      <c r="M519" s="2142"/>
      <c r="N519" s="2156" t="s">
        <v>810</v>
      </c>
      <c r="O519" s="2156"/>
      <c r="P519" s="2156" t="s">
        <v>241</v>
      </c>
      <c r="Q519" s="2156"/>
      <c r="R519" s="2103" t="s">
        <v>245</v>
      </c>
      <c r="S519" s="2103"/>
      <c r="T519" s="2104"/>
      <c r="U519" s="2102" t="s">
        <v>809</v>
      </c>
      <c r="V519" s="2103"/>
      <c r="W519" s="2104"/>
      <c r="X519" s="2142" t="s">
        <v>13</v>
      </c>
      <c r="Y519" s="2143"/>
    </row>
    <row r="520" spans="1:25" ht="30" customHeight="1" thickBot="1">
      <c r="A520" s="2155"/>
      <c r="B520" s="2356"/>
      <c r="C520" s="2357"/>
      <c r="D520" s="2357"/>
      <c r="E520" s="2357"/>
      <c r="F520" s="2358"/>
      <c r="G520" s="2144"/>
      <c r="H520" s="2144"/>
      <c r="I520" s="2144"/>
      <c r="J520" s="2144"/>
      <c r="K520" s="2144"/>
      <c r="L520" s="2144"/>
      <c r="M520" s="2144"/>
      <c r="N520" s="2157"/>
      <c r="O520" s="2157"/>
      <c r="P520" s="2157"/>
      <c r="Q520" s="2157"/>
      <c r="R520" s="2354"/>
      <c r="S520" s="2354"/>
      <c r="T520" s="2355"/>
      <c r="U520" s="2353"/>
      <c r="V520" s="2354"/>
      <c r="W520" s="2355"/>
      <c r="X520" s="2144"/>
      <c r="Y520" s="2145"/>
    </row>
    <row r="521" spans="1:25" ht="46.5" customHeight="1">
      <c r="A521" s="391">
        <v>1</v>
      </c>
      <c r="B521" s="2359">
        <f>'بند3-8توليد دانش فني اختراع و..'!A6</f>
        <v>0</v>
      </c>
      <c r="C521" s="2310"/>
      <c r="D521" s="2310"/>
      <c r="E521" s="2310"/>
      <c r="F521" s="2311"/>
      <c r="G521" s="2359">
        <f>'بند3-8توليد دانش فني اختراع و..'!G6</f>
        <v>0</v>
      </c>
      <c r="H521" s="2310"/>
      <c r="I521" s="2310"/>
      <c r="J521" s="2310"/>
      <c r="K521" s="2310"/>
      <c r="L521" s="2310"/>
      <c r="M521" s="2311"/>
      <c r="N521" s="2204">
        <f>'بند3-8توليد دانش فني اختراع و..'!I6</f>
        <v>0</v>
      </c>
      <c r="O521" s="2204"/>
      <c r="P521" s="2205">
        <f>'بند3-8توليد دانش فني اختراع و..'!J6</f>
        <v>0</v>
      </c>
      <c r="Q521" s="2205"/>
      <c r="R521" s="2206">
        <f>'بند3-8توليد دانش فني اختراع و..'!Q6</f>
        <v>0</v>
      </c>
      <c r="S521" s="2207"/>
      <c r="T521" s="2207"/>
      <c r="U521" s="2360">
        <f>'بند3-8توليد دانش فني اختراع و..'!K6</f>
        <v>0</v>
      </c>
      <c r="V521" s="2361"/>
      <c r="W521" s="2362"/>
      <c r="X521" s="2192">
        <f>'بند3-8توليد دانش فني اختراع و..'!T6</f>
        <v>0</v>
      </c>
      <c r="Y521" s="2193"/>
    </row>
    <row r="522" spans="1:25" ht="46.5" customHeight="1">
      <c r="A522" s="389">
        <v>2</v>
      </c>
      <c r="B522" s="2179">
        <f>'بند3-8توليد دانش فني اختراع و..'!A7</f>
        <v>0</v>
      </c>
      <c r="C522" s="2180"/>
      <c r="D522" s="2180"/>
      <c r="E522" s="2180"/>
      <c r="F522" s="2180"/>
      <c r="G522" s="2179">
        <f>'بند3-8توليد دانش فني اختراع و..'!G7</f>
        <v>0</v>
      </c>
      <c r="H522" s="2180"/>
      <c r="I522" s="2180"/>
      <c r="J522" s="2180"/>
      <c r="K522" s="2180"/>
      <c r="L522" s="2180"/>
      <c r="M522" s="2180"/>
      <c r="N522" s="2180">
        <f>'بند3-8توليد دانش فني اختراع و..'!I7</f>
        <v>0</v>
      </c>
      <c r="O522" s="2180"/>
      <c r="P522" s="2181">
        <f>'بند3-8توليد دانش فني اختراع و..'!J7</f>
        <v>0</v>
      </c>
      <c r="Q522" s="2181"/>
      <c r="R522" s="2182">
        <f>'بند3-8توليد دانش فني اختراع و..'!Q7</f>
        <v>0</v>
      </c>
      <c r="S522" s="2183"/>
      <c r="T522" s="2183"/>
      <c r="U522" s="2182">
        <f>'بند3-8توليد دانش فني اختراع و..'!K7</f>
        <v>0</v>
      </c>
      <c r="V522" s="2183"/>
      <c r="W522" s="2183"/>
      <c r="X522" s="2121">
        <f>'بند3-8توليد دانش فني اختراع و..'!T7</f>
        <v>0</v>
      </c>
      <c r="Y522" s="2122"/>
    </row>
    <row r="523" spans="1:25" ht="46.5" customHeight="1">
      <c r="A523" s="389">
        <v>3</v>
      </c>
      <c r="B523" s="2179">
        <f>'بند3-8توليد دانش فني اختراع و..'!A8</f>
        <v>0</v>
      </c>
      <c r="C523" s="2180"/>
      <c r="D523" s="2180"/>
      <c r="E523" s="2180"/>
      <c r="F523" s="2180"/>
      <c r="G523" s="2179">
        <f>'بند3-8توليد دانش فني اختراع و..'!G8</f>
        <v>0</v>
      </c>
      <c r="H523" s="2180"/>
      <c r="I523" s="2180"/>
      <c r="J523" s="2180"/>
      <c r="K523" s="2180"/>
      <c r="L523" s="2180"/>
      <c r="M523" s="2180"/>
      <c r="N523" s="2180">
        <f>'بند3-8توليد دانش فني اختراع و..'!I8</f>
        <v>0</v>
      </c>
      <c r="O523" s="2180"/>
      <c r="P523" s="2181">
        <f>'بند3-8توليد دانش فني اختراع و..'!J8</f>
        <v>0</v>
      </c>
      <c r="Q523" s="2181"/>
      <c r="R523" s="2182">
        <f>'بند3-8توليد دانش فني اختراع و..'!Q8</f>
        <v>0</v>
      </c>
      <c r="S523" s="2183"/>
      <c r="T523" s="2183"/>
      <c r="U523" s="2182">
        <f>'بند3-8توليد دانش فني اختراع و..'!K8</f>
        <v>0</v>
      </c>
      <c r="V523" s="2183"/>
      <c r="W523" s="2183"/>
      <c r="X523" s="2121">
        <f>'بند3-8توليد دانش فني اختراع و..'!T8</f>
        <v>0</v>
      </c>
      <c r="Y523" s="2122"/>
    </row>
    <row r="524" spans="1:25" ht="46.5" customHeight="1">
      <c r="A524" s="389">
        <v>4</v>
      </c>
      <c r="B524" s="2179">
        <f>'بند3-8توليد دانش فني اختراع و..'!A9</f>
        <v>0</v>
      </c>
      <c r="C524" s="2180"/>
      <c r="D524" s="2180"/>
      <c r="E524" s="2180"/>
      <c r="F524" s="2180"/>
      <c r="G524" s="2179">
        <f>'بند3-8توليد دانش فني اختراع و..'!G9</f>
        <v>0</v>
      </c>
      <c r="H524" s="2180"/>
      <c r="I524" s="2180"/>
      <c r="J524" s="2180"/>
      <c r="K524" s="2180"/>
      <c r="L524" s="2180"/>
      <c r="M524" s="2180"/>
      <c r="N524" s="2180">
        <f>'بند3-8توليد دانش فني اختراع و..'!I9</f>
        <v>0</v>
      </c>
      <c r="O524" s="2180"/>
      <c r="P524" s="2181">
        <f>'بند3-8توليد دانش فني اختراع و..'!J9</f>
        <v>0</v>
      </c>
      <c r="Q524" s="2181"/>
      <c r="R524" s="2182">
        <f>'بند3-8توليد دانش فني اختراع و..'!Q9</f>
        <v>0</v>
      </c>
      <c r="S524" s="2183"/>
      <c r="T524" s="2183"/>
      <c r="U524" s="2182">
        <f>'بند3-8توليد دانش فني اختراع و..'!K9</f>
        <v>0</v>
      </c>
      <c r="V524" s="2183"/>
      <c r="W524" s="2183"/>
      <c r="X524" s="2121">
        <f>'بند3-8توليد دانش فني اختراع و..'!T9</f>
        <v>0</v>
      </c>
      <c r="Y524" s="2122"/>
    </row>
    <row r="525" spans="1:25" ht="46.5" customHeight="1">
      <c r="A525" s="389">
        <v>5</v>
      </c>
      <c r="B525" s="2179">
        <f>'بند3-8توليد دانش فني اختراع و..'!A10</f>
        <v>0</v>
      </c>
      <c r="C525" s="2180"/>
      <c r="D525" s="2180"/>
      <c r="E525" s="2180"/>
      <c r="F525" s="2180"/>
      <c r="G525" s="2179">
        <f>'بند3-8توليد دانش فني اختراع و..'!G10</f>
        <v>0</v>
      </c>
      <c r="H525" s="2180"/>
      <c r="I525" s="2180"/>
      <c r="J525" s="2180"/>
      <c r="K525" s="2180"/>
      <c r="L525" s="2180"/>
      <c r="M525" s="2180"/>
      <c r="N525" s="2180">
        <f>'بند3-8توليد دانش فني اختراع و..'!I10</f>
        <v>0</v>
      </c>
      <c r="O525" s="2180"/>
      <c r="P525" s="2181">
        <f>'بند3-8توليد دانش فني اختراع و..'!J10</f>
        <v>0</v>
      </c>
      <c r="Q525" s="2181"/>
      <c r="R525" s="2182">
        <f>'بند3-8توليد دانش فني اختراع و..'!Q10</f>
        <v>0</v>
      </c>
      <c r="S525" s="2183"/>
      <c r="T525" s="2183"/>
      <c r="U525" s="2182">
        <f>'بند3-8توليد دانش فني اختراع و..'!K10</f>
        <v>0</v>
      </c>
      <c r="V525" s="2183"/>
      <c r="W525" s="2183"/>
      <c r="X525" s="2121">
        <f>'بند3-8توليد دانش فني اختراع و..'!T10</f>
        <v>0</v>
      </c>
      <c r="Y525" s="2122"/>
    </row>
    <row r="526" spans="1:25" ht="46.5" customHeight="1">
      <c r="A526" s="389">
        <v>6</v>
      </c>
      <c r="B526" s="2179">
        <f>'بند3-8توليد دانش فني اختراع و..'!A11</f>
        <v>0</v>
      </c>
      <c r="C526" s="2180"/>
      <c r="D526" s="2180"/>
      <c r="E526" s="2180"/>
      <c r="F526" s="2180"/>
      <c r="G526" s="2179">
        <f>'بند3-8توليد دانش فني اختراع و..'!G11</f>
        <v>0</v>
      </c>
      <c r="H526" s="2180"/>
      <c r="I526" s="2180"/>
      <c r="J526" s="2180"/>
      <c r="K526" s="2180"/>
      <c r="L526" s="2180"/>
      <c r="M526" s="2180"/>
      <c r="N526" s="2180">
        <f>'بند3-8توليد دانش فني اختراع و..'!I11</f>
        <v>0</v>
      </c>
      <c r="O526" s="2180"/>
      <c r="P526" s="2181">
        <f>'بند3-8توليد دانش فني اختراع و..'!J11</f>
        <v>0</v>
      </c>
      <c r="Q526" s="2181"/>
      <c r="R526" s="2182">
        <f>'بند3-8توليد دانش فني اختراع و..'!Q11</f>
        <v>0</v>
      </c>
      <c r="S526" s="2183"/>
      <c r="T526" s="2183"/>
      <c r="U526" s="2182">
        <f>'بند3-8توليد دانش فني اختراع و..'!K11</f>
        <v>0</v>
      </c>
      <c r="V526" s="2183"/>
      <c r="W526" s="2183"/>
      <c r="X526" s="2121">
        <f>'بند3-8توليد دانش فني اختراع و..'!T11</f>
        <v>0</v>
      </c>
      <c r="Y526" s="2122"/>
    </row>
    <row r="527" spans="1:25" ht="46.5" customHeight="1">
      <c r="A527" s="389">
        <v>7</v>
      </c>
      <c r="B527" s="2179">
        <f>'بند3-8توليد دانش فني اختراع و..'!A12</f>
        <v>0</v>
      </c>
      <c r="C527" s="2180"/>
      <c r="D527" s="2180"/>
      <c r="E527" s="2180"/>
      <c r="F527" s="2180"/>
      <c r="G527" s="2179">
        <f>'بند3-8توليد دانش فني اختراع و..'!G12</f>
        <v>0</v>
      </c>
      <c r="H527" s="2180"/>
      <c r="I527" s="2180"/>
      <c r="J527" s="2180"/>
      <c r="K527" s="2180"/>
      <c r="L527" s="2180"/>
      <c r="M527" s="2180"/>
      <c r="N527" s="2180">
        <f>'بند3-8توليد دانش فني اختراع و..'!I12</f>
        <v>0</v>
      </c>
      <c r="O527" s="2180"/>
      <c r="P527" s="2181">
        <f>'بند3-8توليد دانش فني اختراع و..'!J12</f>
        <v>0</v>
      </c>
      <c r="Q527" s="2181"/>
      <c r="R527" s="2182">
        <f>'بند3-8توليد دانش فني اختراع و..'!Q12</f>
        <v>0</v>
      </c>
      <c r="S527" s="2183"/>
      <c r="T527" s="2183"/>
      <c r="U527" s="2182">
        <f>'بند3-8توليد دانش فني اختراع و..'!K12</f>
        <v>0</v>
      </c>
      <c r="V527" s="2183"/>
      <c r="W527" s="2183"/>
      <c r="X527" s="2121">
        <f>'بند3-8توليد دانش فني اختراع و..'!T12</f>
        <v>0</v>
      </c>
      <c r="Y527" s="2122"/>
    </row>
    <row r="528" spans="1:25" ht="46.5" customHeight="1">
      <c r="A528" s="389">
        <v>8</v>
      </c>
      <c r="B528" s="2179">
        <f>'بند3-8توليد دانش فني اختراع و..'!A13</f>
        <v>0</v>
      </c>
      <c r="C528" s="2180"/>
      <c r="D528" s="2180"/>
      <c r="E528" s="2180"/>
      <c r="F528" s="2180"/>
      <c r="G528" s="2179">
        <f>'بند3-8توليد دانش فني اختراع و..'!G13</f>
        <v>0</v>
      </c>
      <c r="H528" s="2180"/>
      <c r="I528" s="2180"/>
      <c r="J528" s="2180"/>
      <c r="K528" s="2180"/>
      <c r="L528" s="2180"/>
      <c r="M528" s="2180"/>
      <c r="N528" s="2180">
        <f>'بند3-8توليد دانش فني اختراع و..'!I13</f>
        <v>0</v>
      </c>
      <c r="O528" s="2180"/>
      <c r="P528" s="2181">
        <f>'بند3-8توليد دانش فني اختراع و..'!J13</f>
        <v>0</v>
      </c>
      <c r="Q528" s="2181"/>
      <c r="R528" s="2182">
        <f>'بند3-8توليد دانش فني اختراع و..'!Q13</f>
        <v>0</v>
      </c>
      <c r="S528" s="2183"/>
      <c r="T528" s="2183"/>
      <c r="U528" s="2182">
        <f>'بند3-8توليد دانش فني اختراع و..'!K13</f>
        <v>0</v>
      </c>
      <c r="V528" s="2183"/>
      <c r="W528" s="2183"/>
      <c r="X528" s="2121">
        <f>'بند3-8توليد دانش فني اختراع و..'!T13</f>
        <v>0</v>
      </c>
      <c r="Y528" s="2122"/>
    </row>
    <row r="529" spans="1:25" ht="46.5" customHeight="1">
      <c r="A529" s="389">
        <v>9</v>
      </c>
      <c r="B529" s="2179">
        <f>'بند3-8توليد دانش فني اختراع و..'!A14</f>
        <v>0</v>
      </c>
      <c r="C529" s="2180"/>
      <c r="D529" s="2180"/>
      <c r="E529" s="2180"/>
      <c r="F529" s="2180"/>
      <c r="G529" s="2179">
        <f>'بند3-8توليد دانش فني اختراع و..'!G14</f>
        <v>0</v>
      </c>
      <c r="H529" s="2180"/>
      <c r="I529" s="2180"/>
      <c r="J529" s="2180"/>
      <c r="K529" s="2180"/>
      <c r="L529" s="2180"/>
      <c r="M529" s="2180"/>
      <c r="N529" s="2180">
        <f>'بند3-8توليد دانش فني اختراع و..'!I14</f>
        <v>0</v>
      </c>
      <c r="O529" s="2180"/>
      <c r="P529" s="2181">
        <f>'بند3-8توليد دانش فني اختراع و..'!J14</f>
        <v>0</v>
      </c>
      <c r="Q529" s="2181"/>
      <c r="R529" s="2182">
        <f>'بند3-8توليد دانش فني اختراع و..'!Q14</f>
        <v>0</v>
      </c>
      <c r="S529" s="2183"/>
      <c r="T529" s="2183"/>
      <c r="U529" s="2182">
        <f>'بند3-8توليد دانش فني اختراع و..'!K14</f>
        <v>0</v>
      </c>
      <c r="V529" s="2183"/>
      <c r="W529" s="2183"/>
      <c r="X529" s="2121">
        <f>'بند3-8توليد دانش فني اختراع و..'!T14</f>
        <v>0</v>
      </c>
      <c r="Y529" s="2122"/>
    </row>
    <row r="530" spans="1:25" ht="46.5" customHeight="1">
      <c r="A530" s="389">
        <v>10</v>
      </c>
      <c r="B530" s="2179">
        <f>'بند3-8توليد دانش فني اختراع و..'!A15</f>
        <v>0</v>
      </c>
      <c r="C530" s="2180"/>
      <c r="D530" s="2180"/>
      <c r="E530" s="2180"/>
      <c r="F530" s="2180"/>
      <c r="G530" s="2179">
        <f>'بند3-8توليد دانش فني اختراع و..'!G15</f>
        <v>0</v>
      </c>
      <c r="H530" s="2180"/>
      <c r="I530" s="2180"/>
      <c r="J530" s="2180"/>
      <c r="K530" s="2180"/>
      <c r="L530" s="2180"/>
      <c r="M530" s="2180"/>
      <c r="N530" s="2180">
        <f>'بند3-8توليد دانش فني اختراع و..'!I15</f>
        <v>0</v>
      </c>
      <c r="O530" s="2180"/>
      <c r="P530" s="2181">
        <f>'بند3-8توليد دانش فني اختراع و..'!J15</f>
        <v>0</v>
      </c>
      <c r="Q530" s="2181"/>
      <c r="R530" s="2182">
        <f>'بند3-8توليد دانش فني اختراع و..'!Q15</f>
        <v>0</v>
      </c>
      <c r="S530" s="2183"/>
      <c r="T530" s="2183"/>
      <c r="U530" s="2182">
        <f>'بند3-8توليد دانش فني اختراع و..'!K15</f>
        <v>0</v>
      </c>
      <c r="V530" s="2183"/>
      <c r="W530" s="2183"/>
      <c r="X530" s="2121">
        <f>'بند3-8توليد دانش فني اختراع و..'!T15</f>
        <v>0</v>
      </c>
      <c r="Y530" s="2122"/>
    </row>
    <row r="531" spans="1:25" ht="46.5" customHeight="1">
      <c r="A531" s="389">
        <v>11</v>
      </c>
      <c r="B531" s="2179">
        <f>'بند3-8توليد دانش فني اختراع و..'!A16</f>
        <v>0</v>
      </c>
      <c r="C531" s="2180"/>
      <c r="D531" s="2180"/>
      <c r="E531" s="2180"/>
      <c r="F531" s="2180"/>
      <c r="G531" s="2179">
        <f>'بند3-8توليد دانش فني اختراع و..'!G16</f>
        <v>0</v>
      </c>
      <c r="H531" s="2180"/>
      <c r="I531" s="2180"/>
      <c r="J531" s="2180"/>
      <c r="K531" s="2180"/>
      <c r="L531" s="2180"/>
      <c r="M531" s="2180"/>
      <c r="N531" s="2180">
        <f>'بند3-8توليد دانش فني اختراع و..'!I16</f>
        <v>0</v>
      </c>
      <c r="O531" s="2180"/>
      <c r="P531" s="2181">
        <f>'بند3-8توليد دانش فني اختراع و..'!J16</f>
        <v>0</v>
      </c>
      <c r="Q531" s="2181"/>
      <c r="R531" s="2182">
        <f>'بند3-8توليد دانش فني اختراع و..'!Q16</f>
        <v>0</v>
      </c>
      <c r="S531" s="2183"/>
      <c r="T531" s="2183"/>
      <c r="U531" s="2182">
        <f>'بند3-8توليد دانش فني اختراع و..'!K16</f>
        <v>0</v>
      </c>
      <c r="V531" s="2183"/>
      <c r="W531" s="2183"/>
      <c r="X531" s="2121">
        <f>'بند3-8توليد دانش فني اختراع و..'!T16</f>
        <v>0</v>
      </c>
      <c r="Y531" s="2122"/>
    </row>
    <row r="532" spans="1:25" ht="46.5" customHeight="1">
      <c r="A532" s="389">
        <v>12</v>
      </c>
      <c r="B532" s="2179">
        <f>'بند3-8توليد دانش فني اختراع و..'!A17</f>
        <v>0</v>
      </c>
      <c r="C532" s="2180"/>
      <c r="D532" s="2180"/>
      <c r="E532" s="2180"/>
      <c r="F532" s="2180"/>
      <c r="G532" s="2179">
        <f>'بند3-8توليد دانش فني اختراع و..'!G17</f>
        <v>0</v>
      </c>
      <c r="H532" s="2180"/>
      <c r="I532" s="2180"/>
      <c r="J532" s="2180"/>
      <c r="K532" s="2180"/>
      <c r="L532" s="2180"/>
      <c r="M532" s="2180"/>
      <c r="N532" s="2180">
        <f>'بند3-8توليد دانش فني اختراع و..'!I17</f>
        <v>0</v>
      </c>
      <c r="O532" s="2180"/>
      <c r="P532" s="2181">
        <f>'بند3-8توليد دانش فني اختراع و..'!J17</f>
        <v>0</v>
      </c>
      <c r="Q532" s="2181"/>
      <c r="R532" s="2182">
        <f>'بند3-8توليد دانش فني اختراع و..'!Q17</f>
        <v>0</v>
      </c>
      <c r="S532" s="2183"/>
      <c r="T532" s="2183"/>
      <c r="U532" s="2182">
        <f>'بند3-8توليد دانش فني اختراع و..'!K17</f>
        <v>0</v>
      </c>
      <c r="V532" s="2183"/>
      <c r="W532" s="2183"/>
      <c r="X532" s="2121">
        <f>'بند3-8توليد دانش فني اختراع و..'!T17</f>
        <v>0</v>
      </c>
      <c r="Y532" s="2122"/>
    </row>
    <row r="533" spans="1:25" ht="46.5" customHeight="1">
      <c r="A533" s="389">
        <v>13</v>
      </c>
      <c r="B533" s="2179">
        <f>'بند3-8توليد دانش فني اختراع و..'!A18</f>
        <v>0</v>
      </c>
      <c r="C533" s="2180"/>
      <c r="D533" s="2180"/>
      <c r="E533" s="2180"/>
      <c r="F533" s="2180"/>
      <c r="G533" s="2179">
        <f>'بند3-8توليد دانش فني اختراع و..'!G18</f>
        <v>0</v>
      </c>
      <c r="H533" s="2180"/>
      <c r="I533" s="2180"/>
      <c r="J533" s="2180"/>
      <c r="K533" s="2180"/>
      <c r="L533" s="2180"/>
      <c r="M533" s="2180"/>
      <c r="N533" s="2180">
        <f>'بند3-8توليد دانش فني اختراع و..'!I18</f>
        <v>0</v>
      </c>
      <c r="O533" s="2180"/>
      <c r="P533" s="2181">
        <f>'بند3-8توليد دانش فني اختراع و..'!J18</f>
        <v>0</v>
      </c>
      <c r="Q533" s="2181"/>
      <c r="R533" s="2182">
        <f>'بند3-8توليد دانش فني اختراع و..'!Q18</f>
        <v>0</v>
      </c>
      <c r="S533" s="2183"/>
      <c r="T533" s="2183"/>
      <c r="U533" s="2182">
        <f>'بند3-8توليد دانش فني اختراع و..'!K18</f>
        <v>0</v>
      </c>
      <c r="V533" s="2183"/>
      <c r="W533" s="2183"/>
      <c r="X533" s="2121">
        <f>'بند3-8توليد دانش فني اختراع و..'!T18</f>
        <v>0</v>
      </c>
      <c r="Y533" s="2122"/>
    </row>
    <row r="534" spans="1:25" ht="46.5" customHeight="1">
      <c r="A534" s="389">
        <v>14</v>
      </c>
      <c r="B534" s="2179">
        <f>'بند3-8توليد دانش فني اختراع و..'!A19</f>
        <v>0</v>
      </c>
      <c r="C534" s="2180"/>
      <c r="D534" s="2180"/>
      <c r="E534" s="2180"/>
      <c r="F534" s="2180"/>
      <c r="G534" s="2179">
        <f>'بند3-8توليد دانش فني اختراع و..'!G19</f>
        <v>0</v>
      </c>
      <c r="H534" s="2180"/>
      <c r="I534" s="2180"/>
      <c r="J534" s="2180"/>
      <c r="K534" s="2180"/>
      <c r="L534" s="2180"/>
      <c r="M534" s="2180"/>
      <c r="N534" s="2180">
        <f>'بند3-8توليد دانش فني اختراع و..'!I19</f>
        <v>0</v>
      </c>
      <c r="O534" s="2180"/>
      <c r="P534" s="2181">
        <f>'بند3-8توليد دانش فني اختراع و..'!J19</f>
        <v>0</v>
      </c>
      <c r="Q534" s="2181"/>
      <c r="R534" s="2182">
        <f>'بند3-8توليد دانش فني اختراع و..'!Q19</f>
        <v>0</v>
      </c>
      <c r="S534" s="2183"/>
      <c r="T534" s="2183"/>
      <c r="U534" s="2182">
        <f>'بند3-8توليد دانش فني اختراع و..'!K19</f>
        <v>0</v>
      </c>
      <c r="V534" s="2183"/>
      <c r="W534" s="2183"/>
      <c r="X534" s="2121">
        <f>'بند3-8توليد دانش فني اختراع و..'!T19</f>
        <v>0</v>
      </c>
      <c r="Y534" s="2122"/>
    </row>
    <row r="535" spans="1:25" ht="46.5" customHeight="1">
      <c r="A535" s="389">
        <v>15</v>
      </c>
      <c r="B535" s="2179">
        <f>'بند3-8توليد دانش فني اختراع و..'!A20</f>
        <v>0</v>
      </c>
      <c r="C535" s="2180"/>
      <c r="D535" s="2180"/>
      <c r="E535" s="2180"/>
      <c r="F535" s="2180"/>
      <c r="G535" s="2179">
        <f>'بند3-8توليد دانش فني اختراع و..'!G20</f>
        <v>0</v>
      </c>
      <c r="H535" s="2180"/>
      <c r="I535" s="2180"/>
      <c r="J535" s="2180"/>
      <c r="K535" s="2180"/>
      <c r="L535" s="2180"/>
      <c r="M535" s="2180"/>
      <c r="N535" s="2180">
        <f>'بند3-8توليد دانش فني اختراع و..'!I20</f>
        <v>0</v>
      </c>
      <c r="O535" s="2180"/>
      <c r="P535" s="2181">
        <f>'بند3-8توليد دانش فني اختراع و..'!J20</f>
        <v>0</v>
      </c>
      <c r="Q535" s="2181"/>
      <c r="R535" s="2182">
        <f>'بند3-8توليد دانش فني اختراع و..'!Q20</f>
        <v>0</v>
      </c>
      <c r="S535" s="2183"/>
      <c r="T535" s="2183"/>
      <c r="U535" s="2182">
        <f>'بند3-8توليد دانش فني اختراع و..'!K20</f>
        <v>0</v>
      </c>
      <c r="V535" s="2183"/>
      <c r="W535" s="2183"/>
      <c r="X535" s="2121">
        <f>'بند3-8توليد دانش فني اختراع و..'!T20</f>
        <v>0</v>
      </c>
      <c r="Y535" s="2122"/>
    </row>
    <row r="536" spans="1:25" ht="46.5" customHeight="1">
      <c r="A536" s="389">
        <v>16</v>
      </c>
      <c r="B536" s="2179">
        <f>'بند3-8توليد دانش فني اختراع و..'!A21</f>
        <v>0</v>
      </c>
      <c r="C536" s="2180"/>
      <c r="D536" s="2180"/>
      <c r="E536" s="2180"/>
      <c r="F536" s="2180"/>
      <c r="G536" s="2179">
        <f>'بند3-8توليد دانش فني اختراع و..'!G21</f>
        <v>0</v>
      </c>
      <c r="H536" s="2180"/>
      <c r="I536" s="2180"/>
      <c r="J536" s="2180"/>
      <c r="K536" s="2180"/>
      <c r="L536" s="2180"/>
      <c r="M536" s="2180"/>
      <c r="N536" s="2180">
        <f>'بند3-8توليد دانش فني اختراع و..'!I21</f>
        <v>0</v>
      </c>
      <c r="O536" s="2180"/>
      <c r="P536" s="2181">
        <f>'بند3-8توليد دانش فني اختراع و..'!J21</f>
        <v>0</v>
      </c>
      <c r="Q536" s="2181"/>
      <c r="R536" s="2182">
        <f>'بند3-8توليد دانش فني اختراع و..'!Q21</f>
        <v>0</v>
      </c>
      <c r="S536" s="2183"/>
      <c r="T536" s="2183"/>
      <c r="U536" s="2182">
        <f>'بند3-8توليد دانش فني اختراع و..'!K21</f>
        <v>0</v>
      </c>
      <c r="V536" s="2183"/>
      <c r="W536" s="2183"/>
      <c r="X536" s="2121">
        <f>'بند3-8توليد دانش فني اختراع و..'!T21</f>
        <v>0</v>
      </c>
      <c r="Y536" s="2122"/>
    </row>
    <row r="537" spans="1:25" ht="46.5" customHeight="1">
      <c r="A537" s="389">
        <v>17</v>
      </c>
      <c r="B537" s="2179">
        <f>'بند3-8توليد دانش فني اختراع و..'!A22</f>
        <v>0</v>
      </c>
      <c r="C537" s="2180"/>
      <c r="D537" s="2180"/>
      <c r="E537" s="2180"/>
      <c r="F537" s="2180"/>
      <c r="G537" s="2179">
        <f>'بند3-8توليد دانش فني اختراع و..'!G22</f>
        <v>0</v>
      </c>
      <c r="H537" s="2180"/>
      <c r="I537" s="2180"/>
      <c r="J537" s="2180"/>
      <c r="K537" s="2180"/>
      <c r="L537" s="2180"/>
      <c r="M537" s="2180"/>
      <c r="N537" s="2180">
        <f>'بند3-8توليد دانش فني اختراع و..'!I22</f>
        <v>0</v>
      </c>
      <c r="O537" s="2180"/>
      <c r="P537" s="2181">
        <f>'بند3-8توليد دانش فني اختراع و..'!J22</f>
        <v>0</v>
      </c>
      <c r="Q537" s="2181"/>
      <c r="R537" s="2182">
        <f>'بند3-8توليد دانش فني اختراع و..'!Q22</f>
        <v>0</v>
      </c>
      <c r="S537" s="2183"/>
      <c r="T537" s="2183"/>
      <c r="U537" s="2182">
        <f>'بند3-8توليد دانش فني اختراع و..'!K22</f>
        <v>0</v>
      </c>
      <c r="V537" s="2183"/>
      <c r="W537" s="2183"/>
      <c r="X537" s="2121">
        <f>'بند3-8توليد دانش فني اختراع و..'!T22</f>
        <v>0</v>
      </c>
      <c r="Y537" s="2122"/>
    </row>
    <row r="538" spans="1:25" ht="46.5" customHeight="1">
      <c r="A538" s="389">
        <v>18</v>
      </c>
      <c r="B538" s="2179">
        <f>'بند3-8توليد دانش فني اختراع و..'!A23</f>
        <v>0</v>
      </c>
      <c r="C538" s="2180"/>
      <c r="D538" s="2180"/>
      <c r="E538" s="2180"/>
      <c r="F538" s="2180"/>
      <c r="G538" s="2179">
        <f>'بند3-8توليد دانش فني اختراع و..'!G23</f>
        <v>0</v>
      </c>
      <c r="H538" s="2180"/>
      <c r="I538" s="2180"/>
      <c r="J538" s="2180"/>
      <c r="K538" s="2180"/>
      <c r="L538" s="2180"/>
      <c r="M538" s="2180"/>
      <c r="N538" s="2180">
        <f>'بند3-8توليد دانش فني اختراع و..'!I23</f>
        <v>0</v>
      </c>
      <c r="O538" s="2180"/>
      <c r="P538" s="2181">
        <f>'بند3-8توليد دانش فني اختراع و..'!J23</f>
        <v>0</v>
      </c>
      <c r="Q538" s="2181"/>
      <c r="R538" s="2182">
        <f>'بند3-8توليد دانش فني اختراع و..'!Q23</f>
        <v>0</v>
      </c>
      <c r="S538" s="2183"/>
      <c r="T538" s="2183"/>
      <c r="U538" s="2182">
        <f>'بند3-8توليد دانش فني اختراع و..'!K23</f>
        <v>0</v>
      </c>
      <c r="V538" s="2183"/>
      <c r="W538" s="2183"/>
      <c r="X538" s="2121">
        <f>'بند3-8توليد دانش فني اختراع و..'!T23</f>
        <v>0</v>
      </c>
      <c r="Y538" s="2122"/>
    </row>
    <row r="539" spans="1:25" ht="46.5" customHeight="1">
      <c r="A539" s="389">
        <v>19</v>
      </c>
      <c r="B539" s="2179">
        <f>'بند3-8توليد دانش فني اختراع و..'!A24</f>
        <v>0</v>
      </c>
      <c r="C539" s="2180"/>
      <c r="D539" s="2180"/>
      <c r="E539" s="2180"/>
      <c r="F539" s="2180"/>
      <c r="G539" s="2179">
        <f>'بند3-8توليد دانش فني اختراع و..'!G24</f>
        <v>0</v>
      </c>
      <c r="H539" s="2180"/>
      <c r="I539" s="2180"/>
      <c r="J539" s="2180"/>
      <c r="K539" s="2180"/>
      <c r="L539" s="2180"/>
      <c r="M539" s="2180"/>
      <c r="N539" s="2180">
        <f>'بند3-8توليد دانش فني اختراع و..'!I24</f>
        <v>0</v>
      </c>
      <c r="O539" s="2180"/>
      <c r="P539" s="2181">
        <f>'بند3-8توليد دانش فني اختراع و..'!J24</f>
        <v>0</v>
      </c>
      <c r="Q539" s="2181"/>
      <c r="R539" s="2182">
        <f>'بند3-8توليد دانش فني اختراع و..'!Q24</f>
        <v>0</v>
      </c>
      <c r="S539" s="2183"/>
      <c r="T539" s="2183"/>
      <c r="U539" s="2182">
        <f>'بند3-8توليد دانش فني اختراع و..'!K24</f>
        <v>0</v>
      </c>
      <c r="V539" s="2183"/>
      <c r="W539" s="2183"/>
      <c r="X539" s="2121">
        <f>'بند3-8توليد دانش فني اختراع و..'!T24</f>
        <v>0</v>
      </c>
      <c r="Y539" s="2122"/>
    </row>
    <row r="540" spans="1:25" ht="46.5" customHeight="1" thickBot="1">
      <c r="A540" s="392">
        <v>20</v>
      </c>
      <c r="B540" s="2370">
        <f>'بند3-8توليد دانش فني اختراع و..'!A25</f>
        <v>0</v>
      </c>
      <c r="C540" s="2371"/>
      <c r="D540" s="2371"/>
      <c r="E540" s="2371"/>
      <c r="F540" s="2372"/>
      <c r="G540" s="2370">
        <f>'بند3-8توليد دانش فني اختراع و..'!G25</f>
        <v>0</v>
      </c>
      <c r="H540" s="2371"/>
      <c r="I540" s="2371"/>
      <c r="J540" s="2371"/>
      <c r="K540" s="2371"/>
      <c r="L540" s="2371"/>
      <c r="M540" s="2372"/>
      <c r="N540" s="2366">
        <f>'بند3-8توليد دانش فني اختراع و..'!I25</f>
        <v>0</v>
      </c>
      <c r="O540" s="2366"/>
      <c r="P540" s="2367">
        <f>'بند3-8توليد دانش فني اختراع و..'!J25</f>
        <v>0</v>
      </c>
      <c r="Q540" s="2367"/>
      <c r="R540" s="2368">
        <f>'بند3-8توليد دانش فني اختراع و..'!Q25</f>
        <v>0</v>
      </c>
      <c r="S540" s="2369"/>
      <c r="T540" s="2369"/>
      <c r="U540" s="2373">
        <f>'بند3-8توليد دانش فني اختراع و..'!K25</f>
        <v>0</v>
      </c>
      <c r="V540" s="2374"/>
      <c r="W540" s="2375"/>
      <c r="X540" s="2363">
        <f>'بند3-8توليد دانش فني اختراع و..'!T25</f>
        <v>0</v>
      </c>
      <c r="Y540" s="2364"/>
    </row>
    <row r="541" spans="1:25" ht="30" customHeight="1" thickBot="1">
      <c r="A541" s="2130" t="s">
        <v>981</v>
      </c>
      <c r="B541" s="2131"/>
      <c r="C541" s="2131"/>
      <c r="D541" s="2131"/>
      <c r="E541" s="2131"/>
      <c r="F541" s="2131"/>
      <c r="G541" s="2131"/>
      <c r="H541" s="2131"/>
      <c r="I541" s="2131"/>
      <c r="J541" s="2131"/>
      <c r="K541" s="2131"/>
      <c r="L541" s="2131"/>
      <c r="M541" s="2131"/>
      <c r="N541" s="2131"/>
      <c r="O541" s="2131"/>
      <c r="P541" s="2131"/>
      <c r="Q541" s="2131"/>
      <c r="R541" s="2131"/>
      <c r="S541" s="2131"/>
      <c r="T541" s="2131"/>
      <c r="U541" s="2131"/>
      <c r="V541" s="2131"/>
      <c r="W541" s="2131"/>
      <c r="X541" s="2151">
        <f ca="1">'بند3-8توليد دانش فني اختراع و..'!T26</f>
        <v>0</v>
      </c>
      <c r="Y541" s="2152"/>
    </row>
    <row r="542" spans="1:25" ht="30" customHeight="1" thickBot="1">
      <c r="A542" s="2130" t="s">
        <v>982</v>
      </c>
      <c r="B542" s="2131"/>
      <c r="C542" s="2131"/>
      <c r="D542" s="2131"/>
      <c r="E542" s="2131"/>
      <c r="F542" s="2131"/>
      <c r="G542" s="2131"/>
      <c r="H542" s="2131"/>
      <c r="I542" s="2131"/>
      <c r="J542" s="2131"/>
      <c r="K542" s="2131"/>
      <c r="L542" s="2131"/>
      <c r="M542" s="2131"/>
      <c r="N542" s="2131"/>
      <c r="O542" s="2131"/>
      <c r="P542" s="2131"/>
      <c r="Q542" s="2131"/>
      <c r="R542" s="2131"/>
      <c r="S542" s="2131"/>
      <c r="T542" s="2131"/>
      <c r="U542" s="2131"/>
      <c r="V542" s="2131"/>
      <c r="W542" s="2131"/>
      <c r="X542" s="2151">
        <f ca="1">'بند3-8توليد دانش فني اختراع و..'!T27</f>
        <v>0</v>
      </c>
      <c r="Y542" s="2152"/>
    </row>
    <row r="543" spans="1:25" ht="42" customHeight="1" thickBot="1">
      <c r="A543" s="2365" t="s">
        <v>812</v>
      </c>
      <c r="B543" s="2166"/>
      <c r="C543" s="2166"/>
      <c r="D543" s="2166"/>
      <c r="E543" s="2166"/>
      <c r="F543" s="2166"/>
      <c r="G543" s="2166"/>
      <c r="H543" s="2166"/>
      <c r="I543" s="2166"/>
      <c r="J543" s="2166"/>
      <c r="K543" s="2166"/>
      <c r="L543" s="2166"/>
      <c r="M543" s="2166"/>
      <c r="N543" s="2166"/>
      <c r="O543" s="2166"/>
      <c r="P543" s="2166"/>
      <c r="Q543" s="2166"/>
      <c r="R543" s="2166"/>
      <c r="S543" s="2166"/>
      <c r="T543" s="2166"/>
      <c r="U543" s="2166"/>
      <c r="V543" s="2166"/>
      <c r="W543" s="2166"/>
      <c r="X543" s="2166"/>
      <c r="Y543" s="2166"/>
    </row>
    <row r="544" spans="1:25" ht="30.75" customHeight="1">
      <c r="A544" s="2154" t="s">
        <v>9</v>
      </c>
      <c r="B544" s="2156" t="s">
        <v>291</v>
      </c>
      <c r="C544" s="2156"/>
      <c r="D544" s="2156"/>
      <c r="E544" s="2156"/>
      <c r="F544" s="2156"/>
      <c r="G544" s="2156"/>
      <c r="H544" s="2156" t="s">
        <v>293</v>
      </c>
      <c r="I544" s="2156"/>
      <c r="J544" s="2156" t="s">
        <v>813</v>
      </c>
      <c r="K544" s="2156"/>
      <c r="L544" s="2142" t="s">
        <v>295</v>
      </c>
      <c r="M544" s="2142"/>
      <c r="N544" s="2142" t="s">
        <v>300</v>
      </c>
      <c r="O544" s="2142"/>
      <c r="P544" s="2142"/>
      <c r="Q544" s="2156" t="s">
        <v>303</v>
      </c>
      <c r="R544" s="2156"/>
      <c r="S544" s="2156"/>
      <c r="T544" s="2156"/>
      <c r="U544" s="2156" t="s">
        <v>814</v>
      </c>
      <c r="V544" s="2156"/>
      <c r="W544" s="2156"/>
      <c r="X544" s="2142" t="s">
        <v>13</v>
      </c>
      <c r="Y544" s="2143"/>
    </row>
    <row r="545" spans="1:25" ht="46.5" customHeight="1" thickBot="1">
      <c r="A545" s="2155"/>
      <c r="B545" s="2157"/>
      <c r="C545" s="2157"/>
      <c r="D545" s="2157"/>
      <c r="E545" s="2157"/>
      <c r="F545" s="2157"/>
      <c r="G545" s="2157"/>
      <c r="H545" s="2157"/>
      <c r="I545" s="2157"/>
      <c r="J545" s="2157"/>
      <c r="K545" s="2157"/>
      <c r="L545" s="2144"/>
      <c r="M545" s="2144"/>
      <c r="N545" s="2144"/>
      <c r="O545" s="2144"/>
      <c r="P545" s="2144"/>
      <c r="Q545" s="2157"/>
      <c r="R545" s="2157"/>
      <c r="S545" s="2157"/>
      <c r="T545" s="2157"/>
      <c r="U545" s="2157"/>
      <c r="V545" s="2157"/>
      <c r="W545" s="2157"/>
      <c r="X545" s="2144"/>
      <c r="Y545" s="2145"/>
    </row>
    <row r="546" spans="1:25" ht="46.5" customHeight="1">
      <c r="A546" s="393">
        <v>1</v>
      </c>
      <c r="B546" s="2184">
        <f>'بند3-9-1و2گزارش علمي طرح پژوهشي'!B6</f>
        <v>0</v>
      </c>
      <c r="C546" s="2185"/>
      <c r="D546" s="2185"/>
      <c r="E546" s="2185"/>
      <c r="F546" s="2185"/>
      <c r="G546" s="2185"/>
      <c r="H546" s="2376">
        <f>'بند3-9-1و2گزارش علمي طرح پژوهشي'!G6</f>
        <v>0</v>
      </c>
      <c r="I546" s="2377"/>
      <c r="J546" s="2186">
        <f>'بند3-9-1و2گزارش علمي طرح پژوهشي'!I6</f>
        <v>0</v>
      </c>
      <c r="K546" s="2187"/>
      <c r="L546" s="2186">
        <f>'بند3-9-1و2گزارش علمي طرح پژوهشي'!L6</f>
        <v>0</v>
      </c>
      <c r="M546" s="2187"/>
      <c r="N546" s="2186">
        <f>'بند3-9-1و2گزارش علمي طرح پژوهشي'!N6</f>
        <v>0</v>
      </c>
      <c r="O546" s="2187"/>
      <c r="P546" s="2187"/>
      <c r="Q546" s="2186">
        <f>'بند3-9-1و2گزارش علمي طرح پژوهشي'!P6</f>
        <v>0</v>
      </c>
      <c r="R546" s="2187"/>
      <c r="S546" s="2187"/>
      <c r="T546" s="2187"/>
      <c r="U546" s="2187">
        <f>'بند3-9-1و2گزارش علمي طرح پژوهشي'!Q6</f>
        <v>0</v>
      </c>
      <c r="V546" s="2187"/>
      <c r="W546" s="2187"/>
      <c r="X546" s="2192">
        <f>'بند3-9-1و2گزارش علمي طرح پژوهشي'!S6</f>
        <v>0</v>
      </c>
      <c r="Y546" s="2193"/>
    </row>
    <row r="547" spans="1:25" ht="46.5" customHeight="1">
      <c r="A547" s="389">
        <v>2</v>
      </c>
      <c r="B547" s="2175">
        <f>'بند3-9-1و2گزارش علمي طرح پژوهشي'!B7</f>
        <v>0</v>
      </c>
      <c r="C547" s="2176"/>
      <c r="D547" s="2176"/>
      <c r="E547" s="2176"/>
      <c r="F547" s="2176"/>
      <c r="G547" s="2176"/>
      <c r="H547" s="2177">
        <f>'بند3-9-1و2گزارش علمي طرح پژوهشي'!G7</f>
        <v>0</v>
      </c>
      <c r="I547" s="2178"/>
      <c r="J547" s="2173">
        <f>'بند3-9-1و2گزارش علمي طرح پژوهشي'!I7</f>
        <v>0</v>
      </c>
      <c r="K547" s="2174"/>
      <c r="L547" s="2173">
        <f>'بند3-9-1و2گزارش علمي طرح پژوهشي'!L7</f>
        <v>0</v>
      </c>
      <c r="M547" s="2174"/>
      <c r="N547" s="2173">
        <f>'بند3-9-1و2گزارش علمي طرح پژوهشي'!N7</f>
        <v>0</v>
      </c>
      <c r="O547" s="2174"/>
      <c r="P547" s="2174"/>
      <c r="Q547" s="2173">
        <f>'بند3-9-1و2گزارش علمي طرح پژوهشي'!P7</f>
        <v>0</v>
      </c>
      <c r="R547" s="2174"/>
      <c r="S547" s="2174"/>
      <c r="T547" s="2174"/>
      <c r="U547" s="2174">
        <f>'بند3-9-1و2گزارش علمي طرح پژوهشي'!Q7</f>
        <v>0</v>
      </c>
      <c r="V547" s="2174"/>
      <c r="W547" s="2174"/>
      <c r="X547" s="2121">
        <f>'بند3-9-1و2گزارش علمي طرح پژوهشي'!S7</f>
        <v>0</v>
      </c>
      <c r="Y547" s="2122"/>
    </row>
    <row r="548" spans="1:25" ht="46.5" customHeight="1">
      <c r="A548" s="389">
        <v>3</v>
      </c>
      <c r="B548" s="2175">
        <f>'بند3-9-1و2گزارش علمي طرح پژوهشي'!B8</f>
        <v>0</v>
      </c>
      <c r="C548" s="2176"/>
      <c r="D548" s="2176"/>
      <c r="E548" s="2176"/>
      <c r="F548" s="2176"/>
      <c r="G548" s="2176"/>
      <c r="H548" s="2177">
        <f>'بند3-9-1و2گزارش علمي طرح پژوهشي'!G8</f>
        <v>0</v>
      </c>
      <c r="I548" s="2178"/>
      <c r="J548" s="2173">
        <f>'بند3-9-1و2گزارش علمي طرح پژوهشي'!I8</f>
        <v>0</v>
      </c>
      <c r="K548" s="2174"/>
      <c r="L548" s="2173">
        <f>'بند3-9-1و2گزارش علمي طرح پژوهشي'!L8</f>
        <v>0</v>
      </c>
      <c r="M548" s="2174"/>
      <c r="N548" s="2173">
        <f>'بند3-9-1و2گزارش علمي طرح پژوهشي'!N8</f>
        <v>0</v>
      </c>
      <c r="O548" s="2174"/>
      <c r="P548" s="2174"/>
      <c r="Q548" s="2173">
        <f>'بند3-9-1و2گزارش علمي طرح پژوهشي'!P8</f>
        <v>0</v>
      </c>
      <c r="R548" s="2174"/>
      <c r="S548" s="2174"/>
      <c r="T548" s="2174"/>
      <c r="U548" s="2174">
        <f>'بند3-9-1و2گزارش علمي طرح پژوهشي'!Q8</f>
        <v>0</v>
      </c>
      <c r="V548" s="2174"/>
      <c r="W548" s="2174"/>
      <c r="X548" s="2121">
        <f>'بند3-9-1و2گزارش علمي طرح پژوهشي'!S8</f>
        <v>0</v>
      </c>
      <c r="Y548" s="2122"/>
    </row>
    <row r="549" spans="1:25" ht="46.5" customHeight="1">
      <c r="A549" s="389">
        <v>4</v>
      </c>
      <c r="B549" s="2175">
        <f>'بند3-9-1و2گزارش علمي طرح پژوهشي'!B9</f>
        <v>0</v>
      </c>
      <c r="C549" s="2176"/>
      <c r="D549" s="2176"/>
      <c r="E549" s="2176"/>
      <c r="F549" s="2176"/>
      <c r="G549" s="2176"/>
      <c r="H549" s="2177">
        <f>'بند3-9-1و2گزارش علمي طرح پژوهشي'!G9</f>
        <v>0</v>
      </c>
      <c r="I549" s="2178"/>
      <c r="J549" s="2173">
        <f>'بند3-9-1و2گزارش علمي طرح پژوهشي'!I9</f>
        <v>0</v>
      </c>
      <c r="K549" s="2174"/>
      <c r="L549" s="2173">
        <f>'بند3-9-1و2گزارش علمي طرح پژوهشي'!L9</f>
        <v>0</v>
      </c>
      <c r="M549" s="2174"/>
      <c r="N549" s="2173">
        <f>'بند3-9-1و2گزارش علمي طرح پژوهشي'!N9</f>
        <v>0</v>
      </c>
      <c r="O549" s="2174"/>
      <c r="P549" s="2174"/>
      <c r="Q549" s="2173">
        <f>'بند3-9-1و2گزارش علمي طرح پژوهشي'!P9</f>
        <v>0</v>
      </c>
      <c r="R549" s="2174"/>
      <c r="S549" s="2174"/>
      <c r="T549" s="2174"/>
      <c r="U549" s="2174">
        <f>'بند3-9-1و2گزارش علمي طرح پژوهشي'!Q9</f>
        <v>0</v>
      </c>
      <c r="V549" s="2174"/>
      <c r="W549" s="2174"/>
      <c r="X549" s="2121">
        <f>'بند3-9-1و2گزارش علمي طرح پژوهشي'!S9</f>
        <v>0</v>
      </c>
      <c r="Y549" s="2122"/>
    </row>
    <row r="550" spans="1:25" ht="46.5" customHeight="1">
      <c r="A550" s="389">
        <v>5</v>
      </c>
      <c r="B550" s="2175">
        <f>'بند3-9-1و2گزارش علمي طرح پژوهشي'!B10</f>
        <v>0</v>
      </c>
      <c r="C550" s="2176"/>
      <c r="D550" s="2176"/>
      <c r="E550" s="2176"/>
      <c r="F550" s="2176"/>
      <c r="G550" s="2176"/>
      <c r="H550" s="2177">
        <f>'بند3-9-1و2گزارش علمي طرح پژوهشي'!G10</f>
        <v>0</v>
      </c>
      <c r="I550" s="2178"/>
      <c r="J550" s="2173">
        <f>'بند3-9-1و2گزارش علمي طرح پژوهشي'!I10</f>
        <v>0</v>
      </c>
      <c r="K550" s="2174"/>
      <c r="L550" s="2173">
        <f>'بند3-9-1و2گزارش علمي طرح پژوهشي'!L10</f>
        <v>0</v>
      </c>
      <c r="M550" s="2174"/>
      <c r="N550" s="2173">
        <f>'بند3-9-1و2گزارش علمي طرح پژوهشي'!N10</f>
        <v>0</v>
      </c>
      <c r="O550" s="2174"/>
      <c r="P550" s="2174"/>
      <c r="Q550" s="2173">
        <f>'بند3-9-1و2گزارش علمي طرح پژوهشي'!P10</f>
        <v>0</v>
      </c>
      <c r="R550" s="2174"/>
      <c r="S550" s="2174"/>
      <c r="T550" s="2174"/>
      <c r="U550" s="2174">
        <f>'بند3-9-1و2گزارش علمي طرح پژوهشي'!Q10</f>
        <v>0</v>
      </c>
      <c r="V550" s="2174"/>
      <c r="W550" s="2174"/>
      <c r="X550" s="2121">
        <f>'بند3-9-1و2گزارش علمي طرح پژوهشي'!S10</f>
        <v>0</v>
      </c>
      <c r="Y550" s="2122"/>
    </row>
    <row r="551" spans="1:25" ht="46.5" customHeight="1">
      <c r="A551" s="389">
        <v>6</v>
      </c>
      <c r="B551" s="2175">
        <f>'بند3-9-1و2گزارش علمي طرح پژوهشي'!B11</f>
        <v>0</v>
      </c>
      <c r="C551" s="2176"/>
      <c r="D551" s="2176"/>
      <c r="E551" s="2176"/>
      <c r="F551" s="2176"/>
      <c r="G551" s="2176"/>
      <c r="H551" s="2177">
        <f>'بند3-9-1و2گزارش علمي طرح پژوهشي'!G11</f>
        <v>0</v>
      </c>
      <c r="I551" s="2178"/>
      <c r="J551" s="2173">
        <f>'بند3-9-1و2گزارش علمي طرح پژوهشي'!I11</f>
        <v>0</v>
      </c>
      <c r="K551" s="2174"/>
      <c r="L551" s="2173">
        <f>'بند3-9-1و2گزارش علمي طرح پژوهشي'!L11</f>
        <v>0</v>
      </c>
      <c r="M551" s="2174"/>
      <c r="N551" s="2173">
        <f>'بند3-9-1و2گزارش علمي طرح پژوهشي'!N11</f>
        <v>0</v>
      </c>
      <c r="O551" s="2174"/>
      <c r="P551" s="2174"/>
      <c r="Q551" s="2173">
        <f>'بند3-9-1و2گزارش علمي طرح پژوهشي'!P11</f>
        <v>0</v>
      </c>
      <c r="R551" s="2174"/>
      <c r="S551" s="2174"/>
      <c r="T551" s="2174"/>
      <c r="U551" s="2174">
        <f>'بند3-9-1و2گزارش علمي طرح پژوهشي'!Q11</f>
        <v>0</v>
      </c>
      <c r="V551" s="2174"/>
      <c r="W551" s="2174"/>
      <c r="X551" s="2121">
        <f>'بند3-9-1و2گزارش علمي طرح پژوهشي'!S11</f>
        <v>0</v>
      </c>
      <c r="Y551" s="2122"/>
    </row>
    <row r="552" spans="1:25" ht="46.5" customHeight="1">
      <c r="A552" s="389">
        <v>7</v>
      </c>
      <c r="B552" s="2175">
        <f>'بند3-9-1و2گزارش علمي طرح پژوهشي'!B12</f>
        <v>0</v>
      </c>
      <c r="C552" s="2176"/>
      <c r="D552" s="2176"/>
      <c r="E552" s="2176"/>
      <c r="F552" s="2176"/>
      <c r="G552" s="2176"/>
      <c r="H552" s="2177">
        <f>'بند3-9-1و2گزارش علمي طرح پژوهشي'!G12</f>
        <v>0</v>
      </c>
      <c r="I552" s="2178"/>
      <c r="J552" s="2173">
        <f>'بند3-9-1و2گزارش علمي طرح پژوهشي'!I12</f>
        <v>0</v>
      </c>
      <c r="K552" s="2174"/>
      <c r="L552" s="2173">
        <f>'بند3-9-1و2گزارش علمي طرح پژوهشي'!L12</f>
        <v>0</v>
      </c>
      <c r="M552" s="2174"/>
      <c r="N552" s="2173">
        <f>'بند3-9-1و2گزارش علمي طرح پژوهشي'!N12</f>
        <v>0</v>
      </c>
      <c r="O552" s="2174"/>
      <c r="P552" s="2174"/>
      <c r="Q552" s="2173">
        <f>'بند3-9-1و2گزارش علمي طرح پژوهشي'!P12</f>
        <v>0</v>
      </c>
      <c r="R552" s="2174"/>
      <c r="S552" s="2174"/>
      <c r="T552" s="2174"/>
      <c r="U552" s="2174">
        <f>'بند3-9-1و2گزارش علمي طرح پژوهشي'!Q12</f>
        <v>0</v>
      </c>
      <c r="V552" s="2174"/>
      <c r="W552" s="2174"/>
      <c r="X552" s="2121">
        <f>'بند3-9-1و2گزارش علمي طرح پژوهشي'!S12</f>
        <v>0</v>
      </c>
      <c r="Y552" s="2122"/>
    </row>
    <row r="553" spans="1:25" ht="46.5" customHeight="1">
      <c r="A553" s="389">
        <v>8</v>
      </c>
      <c r="B553" s="2175">
        <f>'بند3-9-1و2گزارش علمي طرح پژوهشي'!B13</f>
        <v>0</v>
      </c>
      <c r="C553" s="2176"/>
      <c r="D553" s="2176"/>
      <c r="E553" s="2176"/>
      <c r="F553" s="2176"/>
      <c r="G553" s="2176"/>
      <c r="H553" s="2177">
        <f>'بند3-9-1و2گزارش علمي طرح پژوهشي'!G13</f>
        <v>0</v>
      </c>
      <c r="I553" s="2178"/>
      <c r="J553" s="2173">
        <f>'بند3-9-1و2گزارش علمي طرح پژوهشي'!I13</f>
        <v>0</v>
      </c>
      <c r="K553" s="2174"/>
      <c r="L553" s="2173">
        <f>'بند3-9-1و2گزارش علمي طرح پژوهشي'!L13</f>
        <v>0</v>
      </c>
      <c r="M553" s="2174"/>
      <c r="N553" s="2173">
        <f>'بند3-9-1و2گزارش علمي طرح پژوهشي'!N13</f>
        <v>0</v>
      </c>
      <c r="O553" s="2174"/>
      <c r="P553" s="2174"/>
      <c r="Q553" s="2173">
        <f>'بند3-9-1و2گزارش علمي طرح پژوهشي'!P13</f>
        <v>0</v>
      </c>
      <c r="R553" s="2174"/>
      <c r="S553" s="2174"/>
      <c r="T553" s="2174"/>
      <c r="U553" s="2174">
        <f>'بند3-9-1و2گزارش علمي طرح پژوهشي'!Q13</f>
        <v>0</v>
      </c>
      <c r="V553" s="2174"/>
      <c r="W553" s="2174"/>
      <c r="X553" s="2121">
        <f>'بند3-9-1و2گزارش علمي طرح پژوهشي'!S13</f>
        <v>0</v>
      </c>
      <c r="Y553" s="2122"/>
    </row>
    <row r="554" spans="1:25" ht="46.5" customHeight="1">
      <c r="A554" s="389">
        <v>9</v>
      </c>
      <c r="B554" s="2175">
        <f>'بند3-9-1و2گزارش علمي طرح پژوهشي'!B14</f>
        <v>0</v>
      </c>
      <c r="C554" s="2176"/>
      <c r="D554" s="2176"/>
      <c r="E554" s="2176"/>
      <c r="F554" s="2176"/>
      <c r="G554" s="2176"/>
      <c r="H554" s="2177">
        <f>'بند3-9-1و2گزارش علمي طرح پژوهشي'!G14</f>
        <v>0</v>
      </c>
      <c r="I554" s="2178"/>
      <c r="J554" s="2173">
        <f>'بند3-9-1و2گزارش علمي طرح پژوهشي'!I14</f>
        <v>0</v>
      </c>
      <c r="K554" s="2174"/>
      <c r="L554" s="2173">
        <f>'بند3-9-1و2گزارش علمي طرح پژوهشي'!L14</f>
        <v>0</v>
      </c>
      <c r="M554" s="2174"/>
      <c r="N554" s="2173">
        <f>'بند3-9-1و2گزارش علمي طرح پژوهشي'!N14</f>
        <v>0</v>
      </c>
      <c r="O554" s="2174"/>
      <c r="P554" s="2174"/>
      <c r="Q554" s="2173">
        <f>'بند3-9-1و2گزارش علمي طرح پژوهشي'!P14</f>
        <v>0</v>
      </c>
      <c r="R554" s="2174"/>
      <c r="S554" s="2174"/>
      <c r="T554" s="2174"/>
      <c r="U554" s="2174">
        <f>'بند3-9-1و2گزارش علمي طرح پژوهشي'!Q14</f>
        <v>0</v>
      </c>
      <c r="V554" s="2174"/>
      <c r="W554" s="2174"/>
      <c r="X554" s="2121">
        <f>'بند3-9-1و2گزارش علمي طرح پژوهشي'!S14</f>
        <v>0</v>
      </c>
      <c r="Y554" s="2122"/>
    </row>
    <row r="555" spans="1:25" ht="46.5" customHeight="1">
      <c r="A555" s="389">
        <v>10</v>
      </c>
      <c r="B555" s="2175">
        <f>'بند3-9-1و2گزارش علمي طرح پژوهشي'!B15</f>
        <v>0</v>
      </c>
      <c r="C555" s="2176"/>
      <c r="D555" s="2176"/>
      <c r="E555" s="2176"/>
      <c r="F555" s="2176"/>
      <c r="G555" s="2176"/>
      <c r="H555" s="2177">
        <f>'بند3-9-1و2گزارش علمي طرح پژوهشي'!G15</f>
        <v>0</v>
      </c>
      <c r="I555" s="2178"/>
      <c r="J555" s="2173">
        <f>'بند3-9-1و2گزارش علمي طرح پژوهشي'!I15</f>
        <v>0</v>
      </c>
      <c r="K555" s="2174"/>
      <c r="L555" s="2173">
        <f>'بند3-9-1و2گزارش علمي طرح پژوهشي'!L15</f>
        <v>0</v>
      </c>
      <c r="M555" s="2174"/>
      <c r="N555" s="2173">
        <f>'بند3-9-1و2گزارش علمي طرح پژوهشي'!N15</f>
        <v>0</v>
      </c>
      <c r="O555" s="2174"/>
      <c r="P555" s="2174"/>
      <c r="Q555" s="2173">
        <f>'بند3-9-1و2گزارش علمي طرح پژوهشي'!P15</f>
        <v>0</v>
      </c>
      <c r="R555" s="2174"/>
      <c r="S555" s="2174"/>
      <c r="T555" s="2174"/>
      <c r="U555" s="2174">
        <f>'بند3-9-1و2گزارش علمي طرح پژوهشي'!Q15</f>
        <v>0</v>
      </c>
      <c r="V555" s="2174"/>
      <c r="W555" s="2174"/>
      <c r="X555" s="2121">
        <f>'بند3-9-1و2گزارش علمي طرح پژوهشي'!S15</f>
        <v>0</v>
      </c>
      <c r="Y555" s="2122"/>
    </row>
    <row r="556" spans="1:25" ht="46.5" customHeight="1">
      <c r="A556" s="389">
        <v>11</v>
      </c>
      <c r="B556" s="2175">
        <f>'بند3-9-1و2گزارش علمي طرح پژوهشي'!B16</f>
        <v>0</v>
      </c>
      <c r="C556" s="2176"/>
      <c r="D556" s="2176"/>
      <c r="E556" s="2176"/>
      <c r="F556" s="2176"/>
      <c r="G556" s="2176"/>
      <c r="H556" s="2177">
        <f>'بند3-9-1و2گزارش علمي طرح پژوهشي'!G16</f>
        <v>0</v>
      </c>
      <c r="I556" s="2178"/>
      <c r="J556" s="2173">
        <f>'بند3-9-1و2گزارش علمي طرح پژوهشي'!I16</f>
        <v>0</v>
      </c>
      <c r="K556" s="2174"/>
      <c r="L556" s="2173">
        <f>'بند3-9-1و2گزارش علمي طرح پژوهشي'!L16</f>
        <v>0</v>
      </c>
      <c r="M556" s="2174"/>
      <c r="N556" s="2173">
        <f>'بند3-9-1و2گزارش علمي طرح پژوهشي'!N16</f>
        <v>0</v>
      </c>
      <c r="O556" s="2174"/>
      <c r="P556" s="2174"/>
      <c r="Q556" s="2173">
        <f>'بند3-9-1و2گزارش علمي طرح پژوهشي'!P16</f>
        <v>0</v>
      </c>
      <c r="R556" s="2174"/>
      <c r="S556" s="2174"/>
      <c r="T556" s="2174"/>
      <c r="U556" s="2174">
        <f>'بند3-9-1و2گزارش علمي طرح پژوهشي'!Q16</f>
        <v>0</v>
      </c>
      <c r="V556" s="2174"/>
      <c r="W556" s="2174"/>
      <c r="X556" s="2121">
        <f>'بند3-9-1و2گزارش علمي طرح پژوهشي'!S16</f>
        <v>0</v>
      </c>
      <c r="Y556" s="2122"/>
    </row>
    <row r="557" spans="1:25" ht="46.5" customHeight="1">
      <c r="A557" s="389">
        <v>12</v>
      </c>
      <c r="B557" s="2175">
        <f>'بند3-9-1و2گزارش علمي طرح پژوهشي'!B17</f>
        <v>0</v>
      </c>
      <c r="C557" s="2176"/>
      <c r="D557" s="2176"/>
      <c r="E557" s="2176"/>
      <c r="F557" s="2176"/>
      <c r="G557" s="2176"/>
      <c r="H557" s="2177">
        <f>'بند3-9-1و2گزارش علمي طرح پژوهشي'!G17</f>
        <v>0</v>
      </c>
      <c r="I557" s="2178"/>
      <c r="J557" s="2173">
        <f>'بند3-9-1و2گزارش علمي طرح پژوهشي'!I17</f>
        <v>0</v>
      </c>
      <c r="K557" s="2174"/>
      <c r="L557" s="2173">
        <f>'بند3-9-1و2گزارش علمي طرح پژوهشي'!L17</f>
        <v>0</v>
      </c>
      <c r="M557" s="2174"/>
      <c r="N557" s="2173">
        <f>'بند3-9-1و2گزارش علمي طرح پژوهشي'!N17</f>
        <v>0</v>
      </c>
      <c r="O557" s="2174"/>
      <c r="P557" s="2174"/>
      <c r="Q557" s="2173">
        <f>'بند3-9-1و2گزارش علمي طرح پژوهشي'!P17</f>
        <v>0</v>
      </c>
      <c r="R557" s="2174"/>
      <c r="S557" s="2174"/>
      <c r="T557" s="2174"/>
      <c r="U557" s="2174">
        <f>'بند3-9-1و2گزارش علمي طرح پژوهشي'!Q17</f>
        <v>0</v>
      </c>
      <c r="V557" s="2174"/>
      <c r="W557" s="2174"/>
      <c r="X557" s="2121">
        <f>'بند3-9-1و2گزارش علمي طرح پژوهشي'!S17</f>
        <v>0</v>
      </c>
      <c r="Y557" s="2122"/>
    </row>
    <row r="558" spans="1:25" ht="46.5" customHeight="1">
      <c r="A558" s="389">
        <v>13</v>
      </c>
      <c r="B558" s="2175">
        <f>'بند3-9-1و2گزارش علمي طرح پژوهشي'!B18</f>
        <v>0</v>
      </c>
      <c r="C558" s="2176"/>
      <c r="D558" s="2176"/>
      <c r="E558" s="2176"/>
      <c r="F558" s="2176"/>
      <c r="G558" s="2176"/>
      <c r="H558" s="2177">
        <f>'بند3-9-1و2گزارش علمي طرح پژوهشي'!G18</f>
        <v>0</v>
      </c>
      <c r="I558" s="2178"/>
      <c r="J558" s="2173">
        <f>'بند3-9-1و2گزارش علمي طرح پژوهشي'!I18</f>
        <v>0</v>
      </c>
      <c r="K558" s="2174"/>
      <c r="L558" s="2173">
        <f>'بند3-9-1و2گزارش علمي طرح پژوهشي'!L18</f>
        <v>0</v>
      </c>
      <c r="M558" s="2174"/>
      <c r="N558" s="2173">
        <f>'بند3-9-1و2گزارش علمي طرح پژوهشي'!N18</f>
        <v>0</v>
      </c>
      <c r="O558" s="2174"/>
      <c r="P558" s="2174"/>
      <c r="Q558" s="2173">
        <f>'بند3-9-1و2گزارش علمي طرح پژوهشي'!P18</f>
        <v>0</v>
      </c>
      <c r="R558" s="2174"/>
      <c r="S558" s="2174"/>
      <c r="T558" s="2174"/>
      <c r="U558" s="2174">
        <f>'بند3-9-1و2گزارش علمي طرح پژوهشي'!Q18</f>
        <v>0</v>
      </c>
      <c r="V558" s="2174"/>
      <c r="W558" s="2174"/>
      <c r="X558" s="2121">
        <f>'بند3-9-1و2گزارش علمي طرح پژوهشي'!S18</f>
        <v>0</v>
      </c>
      <c r="Y558" s="2122"/>
    </row>
    <row r="559" spans="1:25" ht="46.5" customHeight="1">
      <c r="A559" s="389">
        <v>14</v>
      </c>
      <c r="B559" s="2175">
        <f>'بند3-9-1و2گزارش علمي طرح پژوهشي'!B19</f>
        <v>0</v>
      </c>
      <c r="C559" s="2176"/>
      <c r="D559" s="2176"/>
      <c r="E559" s="2176"/>
      <c r="F559" s="2176"/>
      <c r="G559" s="2176"/>
      <c r="H559" s="2177">
        <f>'بند3-9-1و2گزارش علمي طرح پژوهشي'!G19</f>
        <v>0</v>
      </c>
      <c r="I559" s="2178"/>
      <c r="J559" s="2173">
        <f>'بند3-9-1و2گزارش علمي طرح پژوهشي'!I19</f>
        <v>0</v>
      </c>
      <c r="K559" s="2174"/>
      <c r="L559" s="2173">
        <f>'بند3-9-1و2گزارش علمي طرح پژوهشي'!L19</f>
        <v>0</v>
      </c>
      <c r="M559" s="2174"/>
      <c r="N559" s="2173">
        <f>'بند3-9-1و2گزارش علمي طرح پژوهشي'!N19</f>
        <v>0</v>
      </c>
      <c r="O559" s="2174"/>
      <c r="P559" s="2174"/>
      <c r="Q559" s="2173">
        <f>'بند3-9-1و2گزارش علمي طرح پژوهشي'!P19</f>
        <v>0</v>
      </c>
      <c r="R559" s="2174"/>
      <c r="S559" s="2174"/>
      <c r="T559" s="2174"/>
      <c r="U559" s="2174">
        <f>'بند3-9-1و2گزارش علمي طرح پژوهشي'!Q19</f>
        <v>0</v>
      </c>
      <c r="V559" s="2174"/>
      <c r="W559" s="2174"/>
      <c r="X559" s="2121">
        <f>'بند3-9-1و2گزارش علمي طرح پژوهشي'!S19</f>
        <v>0</v>
      </c>
      <c r="Y559" s="2122"/>
    </row>
    <row r="560" spans="1:25" ht="46.5" customHeight="1">
      <c r="A560" s="389">
        <v>15</v>
      </c>
      <c r="B560" s="2175">
        <f>'بند3-9-1و2گزارش علمي طرح پژوهشي'!B20</f>
        <v>0</v>
      </c>
      <c r="C560" s="2176"/>
      <c r="D560" s="2176"/>
      <c r="E560" s="2176"/>
      <c r="F560" s="2176"/>
      <c r="G560" s="2176"/>
      <c r="H560" s="2177">
        <f>'بند3-9-1و2گزارش علمي طرح پژوهشي'!G20</f>
        <v>0</v>
      </c>
      <c r="I560" s="2178"/>
      <c r="J560" s="2173">
        <f>'بند3-9-1و2گزارش علمي طرح پژوهشي'!I20</f>
        <v>0</v>
      </c>
      <c r="K560" s="2174"/>
      <c r="L560" s="2173">
        <f>'بند3-9-1و2گزارش علمي طرح پژوهشي'!L20</f>
        <v>0</v>
      </c>
      <c r="M560" s="2174"/>
      <c r="N560" s="2173">
        <f>'بند3-9-1و2گزارش علمي طرح پژوهشي'!N20</f>
        <v>0</v>
      </c>
      <c r="O560" s="2174"/>
      <c r="P560" s="2174"/>
      <c r="Q560" s="2173">
        <f>'بند3-9-1و2گزارش علمي طرح پژوهشي'!P20</f>
        <v>0</v>
      </c>
      <c r="R560" s="2174"/>
      <c r="S560" s="2174"/>
      <c r="T560" s="2174"/>
      <c r="U560" s="2174">
        <f>'بند3-9-1و2گزارش علمي طرح پژوهشي'!Q20</f>
        <v>0</v>
      </c>
      <c r="V560" s="2174"/>
      <c r="W560" s="2174"/>
      <c r="X560" s="2121">
        <f>'بند3-9-1و2گزارش علمي طرح پژوهشي'!S20</f>
        <v>0</v>
      </c>
      <c r="Y560" s="2122"/>
    </row>
    <row r="561" spans="1:25" ht="46.5" customHeight="1">
      <c r="A561" s="389">
        <v>16</v>
      </c>
      <c r="B561" s="2175">
        <f>'بند3-9-1و2گزارش علمي طرح پژوهشي'!B21</f>
        <v>0</v>
      </c>
      <c r="C561" s="2176"/>
      <c r="D561" s="2176"/>
      <c r="E561" s="2176"/>
      <c r="F561" s="2176"/>
      <c r="G561" s="2176"/>
      <c r="H561" s="2177">
        <f>'بند3-9-1و2گزارش علمي طرح پژوهشي'!G21</f>
        <v>0</v>
      </c>
      <c r="I561" s="2178"/>
      <c r="J561" s="2173">
        <f>'بند3-9-1و2گزارش علمي طرح پژوهشي'!I21</f>
        <v>0</v>
      </c>
      <c r="K561" s="2174"/>
      <c r="L561" s="2173">
        <f>'بند3-9-1و2گزارش علمي طرح پژوهشي'!L21</f>
        <v>0</v>
      </c>
      <c r="M561" s="2174"/>
      <c r="N561" s="2173">
        <f>'بند3-9-1و2گزارش علمي طرح پژوهشي'!N21</f>
        <v>0</v>
      </c>
      <c r="O561" s="2174"/>
      <c r="P561" s="2174"/>
      <c r="Q561" s="2173">
        <f>'بند3-9-1و2گزارش علمي طرح پژوهشي'!P21</f>
        <v>0</v>
      </c>
      <c r="R561" s="2174"/>
      <c r="S561" s="2174"/>
      <c r="T561" s="2174"/>
      <c r="U561" s="2174">
        <f>'بند3-9-1و2گزارش علمي طرح پژوهشي'!Q21</f>
        <v>0</v>
      </c>
      <c r="V561" s="2174"/>
      <c r="W561" s="2174"/>
      <c r="X561" s="2121">
        <f>'بند3-9-1و2گزارش علمي طرح پژوهشي'!S21</f>
        <v>0</v>
      </c>
      <c r="Y561" s="2122"/>
    </row>
    <row r="562" spans="1:25" ht="46.5" customHeight="1">
      <c r="A562" s="389">
        <v>17</v>
      </c>
      <c r="B562" s="2175">
        <f>'بند3-9-1و2گزارش علمي طرح پژوهشي'!B22</f>
        <v>0</v>
      </c>
      <c r="C562" s="2176"/>
      <c r="D562" s="2176"/>
      <c r="E562" s="2176"/>
      <c r="F562" s="2176"/>
      <c r="G562" s="2176"/>
      <c r="H562" s="2177">
        <f>'بند3-9-1و2گزارش علمي طرح پژوهشي'!G22</f>
        <v>0</v>
      </c>
      <c r="I562" s="2178"/>
      <c r="J562" s="2173">
        <f>'بند3-9-1و2گزارش علمي طرح پژوهشي'!I22</f>
        <v>0</v>
      </c>
      <c r="K562" s="2174"/>
      <c r="L562" s="2173">
        <f>'بند3-9-1و2گزارش علمي طرح پژوهشي'!L22</f>
        <v>0</v>
      </c>
      <c r="M562" s="2174"/>
      <c r="N562" s="2173">
        <f>'بند3-9-1و2گزارش علمي طرح پژوهشي'!N22</f>
        <v>0</v>
      </c>
      <c r="O562" s="2174"/>
      <c r="P562" s="2174"/>
      <c r="Q562" s="2173">
        <f>'بند3-9-1و2گزارش علمي طرح پژوهشي'!P22</f>
        <v>0</v>
      </c>
      <c r="R562" s="2174"/>
      <c r="S562" s="2174"/>
      <c r="T562" s="2174"/>
      <c r="U562" s="2174">
        <f>'بند3-9-1و2گزارش علمي طرح پژوهشي'!Q22</f>
        <v>0</v>
      </c>
      <c r="V562" s="2174"/>
      <c r="W562" s="2174"/>
      <c r="X562" s="2121">
        <f>'بند3-9-1و2گزارش علمي طرح پژوهشي'!S22</f>
        <v>0</v>
      </c>
      <c r="Y562" s="2122"/>
    </row>
    <row r="563" spans="1:25" ht="46.5" customHeight="1">
      <c r="A563" s="389">
        <v>18</v>
      </c>
      <c r="B563" s="2175">
        <f>'بند3-9-1و2گزارش علمي طرح پژوهشي'!B23</f>
        <v>0</v>
      </c>
      <c r="C563" s="2176"/>
      <c r="D563" s="2176"/>
      <c r="E563" s="2176"/>
      <c r="F563" s="2176"/>
      <c r="G563" s="2176"/>
      <c r="H563" s="2177">
        <f>'بند3-9-1و2گزارش علمي طرح پژوهشي'!G23</f>
        <v>0</v>
      </c>
      <c r="I563" s="2178"/>
      <c r="J563" s="2173">
        <f>'بند3-9-1و2گزارش علمي طرح پژوهشي'!I23</f>
        <v>0</v>
      </c>
      <c r="K563" s="2174"/>
      <c r="L563" s="2173">
        <f>'بند3-9-1و2گزارش علمي طرح پژوهشي'!L23</f>
        <v>0</v>
      </c>
      <c r="M563" s="2174"/>
      <c r="N563" s="2173">
        <f>'بند3-9-1و2گزارش علمي طرح پژوهشي'!N23</f>
        <v>0</v>
      </c>
      <c r="O563" s="2174"/>
      <c r="P563" s="2174"/>
      <c r="Q563" s="2173">
        <f>'بند3-9-1و2گزارش علمي طرح پژوهشي'!P23</f>
        <v>0</v>
      </c>
      <c r="R563" s="2174"/>
      <c r="S563" s="2174"/>
      <c r="T563" s="2174"/>
      <c r="U563" s="2174">
        <f>'بند3-9-1و2گزارش علمي طرح پژوهشي'!Q23</f>
        <v>0</v>
      </c>
      <c r="V563" s="2174"/>
      <c r="W563" s="2174"/>
      <c r="X563" s="2121">
        <f>'بند3-9-1و2گزارش علمي طرح پژوهشي'!S23</f>
        <v>0</v>
      </c>
      <c r="Y563" s="2122"/>
    </row>
    <row r="564" spans="1:25" ht="46.5" customHeight="1">
      <c r="A564" s="389">
        <v>19</v>
      </c>
      <c r="B564" s="2175">
        <f>'بند3-9-1و2گزارش علمي طرح پژوهشي'!B24</f>
        <v>0</v>
      </c>
      <c r="C564" s="2176"/>
      <c r="D564" s="2176"/>
      <c r="E564" s="2176"/>
      <c r="F564" s="2176"/>
      <c r="G564" s="2176"/>
      <c r="H564" s="2177">
        <f>'بند3-9-1و2گزارش علمي طرح پژوهشي'!G24</f>
        <v>0</v>
      </c>
      <c r="I564" s="2178"/>
      <c r="J564" s="2173">
        <f>'بند3-9-1و2گزارش علمي طرح پژوهشي'!I24</f>
        <v>0</v>
      </c>
      <c r="K564" s="2174"/>
      <c r="L564" s="2173">
        <f>'بند3-9-1و2گزارش علمي طرح پژوهشي'!L24</f>
        <v>0</v>
      </c>
      <c r="M564" s="2174"/>
      <c r="N564" s="2173">
        <f>'بند3-9-1و2گزارش علمي طرح پژوهشي'!N24</f>
        <v>0</v>
      </c>
      <c r="O564" s="2174"/>
      <c r="P564" s="2174"/>
      <c r="Q564" s="2173">
        <f>'بند3-9-1و2گزارش علمي طرح پژوهشي'!P24</f>
        <v>0</v>
      </c>
      <c r="R564" s="2174"/>
      <c r="S564" s="2174"/>
      <c r="T564" s="2174"/>
      <c r="U564" s="2174">
        <f>'بند3-9-1و2گزارش علمي طرح پژوهشي'!Q24</f>
        <v>0</v>
      </c>
      <c r="V564" s="2174"/>
      <c r="W564" s="2174"/>
      <c r="X564" s="2121">
        <f>'بند3-9-1و2گزارش علمي طرح پژوهشي'!S24</f>
        <v>0</v>
      </c>
      <c r="Y564" s="2122"/>
    </row>
    <row r="565" spans="1:25" ht="30" customHeight="1" thickBot="1">
      <c r="A565" s="390">
        <v>20</v>
      </c>
      <c r="B565" s="2381">
        <f>'بند3-9-1و2گزارش علمي طرح پژوهشي'!B25</f>
        <v>0</v>
      </c>
      <c r="C565" s="2382"/>
      <c r="D565" s="2382"/>
      <c r="E565" s="2382"/>
      <c r="F565" s="2382"/>
      <c r="G565" s="2382"/>
      <c r="H565" s="2383">
        <f>'بند3-9-1و2گزارش علمي طرح پژوهشي'!G25</f>
        <v>0</v>
      </c>
      <c r="I565" s="2384"/>
      <c r="J565" s="2158">
        <f>'بند3-9-1و2گزارش علمي طرح پژوهشي'!I25</f>
        <v>0</v>
      </c>
      <c r="K565" s="2159"/>
      <c r="L565" s="2158">
        <f>'بند3-9-1و2گزارش علمي طرح پژوهشي'!L25</f>
        <v>0</v>
      </c>
      <c r="M565" s="2159"/>
      <c r="N565" s="2158">
        <f>'بند3-9-1و2گزارش علمي طرح پژوهشي'!N25</f>
        <v>0</v>
      </c>
      <c r="O565" s="2159"/>
      <c r="P565" s="2159"/>
      <c r="Q565" s="2158">
        <f>'بند3-9-1و2گزارش علمي طرح پژوهشي'!P25</f>
        <v>0</v>
      </c>
      <c r="R565" s="2159"/>
      <c r="S565" s="2159"/>
      <c r="T565" s="2159"/>
      <c r="U565" s="2159">
        <f>'بند3-9-1و2گزارش علمي طرح پژوهشي'!Q25</f>
        <v>0</v>
      </c>
      <c r="V565" s="2159"/>
      <c r="W565" s="2159"/>
      <c r="X565" s="2171">
        <f>'بند3-9-1و2گزارش علمي طرح پژوهشي'!S25</f>
        <v>0</v>
      </c>
      <c r="Y565" s="2172"/>
    </row>
    <row r="566" spans="1:25" ht="30" customHeight="1">
      <c r="A566" s="2160" t="s">
        <v>815</v>
      </c>
      <c r="B566" s="2161"/>
      <c r="C566" s="2161"/>
      <c r="D566" s="2161"/>
      <c r="E566" s="2161"/>
      <c r="F566" s="2161"/>
      <c r="G566" s="2161"/>
      <c r="H566" s="2161"/>
      <c r="I566" s="2161"/>
      <c r="J566" s="2161"/>
      <c r="K566" s="2161"/>
      <c r="L566" s="2161"/>
      <c r="M566" s="2161"/>
      <c r="N566" s="2161"/>
      <c r="O566" s="2161"/>
      <c r="P566" s="2161"/>
      <c r="Q566" s="2161"/>
      <c r="R566" s="2161"/>
      <c r="S566" s="2161"/>
      <c r="T566" s="2161"/>
      <c r="U566" s="2161"/>
      <c r="V566" s="2161"/>
      <c r="W566" s="2161"/>
      <c r="X566" s="2351">
        <f>'بند3-9-1و2گزارش علمي طرح پژوهشي'!S26</f>
        <v>0</v>
      </c>
      <c r="Y566" s="2352"/>
    </row>
    <row r="567" spans="1:25" ht="31.5" customHeight="1" thickBot="1">
      <c r="A567" s="2162" t="s">
        <v>816</v>
      </c>
      <c r="B567" s="2163"/>
      <c r="C567" s="2163"/>
      <c r="D567" s="2163"/>
      <c r="E567" s="2163"/>
      <c r="F567" s="2163"/>
      <c r="G567" s="2163"/>
      <c r="H567" s="2163"/>
      <c r="I567" s="2163"/>
      <c r="J567" s="2163"/>
      <c r="K567" s="2163"/>
      <c r="L567" s="2163"/>
      <c r="M567" s="2163"/>
      <c r="N567" s="2163"/>
      <c r="O567" s="2163"/>
      <c r="P567" s="2163"/>
      <c r="Q567" s="2163"/>
      <c r="R567" s="2163"/>
      <c r="S567" s="2163"/>
      <c r="T567" s="2163"/>
      <c r="U567" s="2163"/>
      <c r="V567" s="2163"/>
      <c r="W567" s="2163"/>
      <c r="X567" s="2164">
        <f>'بند3-9-1و2گزارش علمي طرح پژوهشي'!S27</f>
        <v>0</v>
      </c>
      <c r="Y567" s="2165"/>
    </row>
    <row r="568" spans="1:25" ht="28.5" customHeight="1" thickBot="1">
      <c r="A568" s="2166" t="s">
        <v>817</v>
      </c>
      <c r="B568" s="2166"/>
      <c r="C568" s="2166"/>
      <c r="D568" s="2166"/>
      <c r="E568" s="2166"/>
      <c r="F568" s="2166"/>
      <c r="G568" s="2166"/>
      <c r="H568" s="2166"/>
      <c r="I568" s="2166"/>
      <c r="J568" s="2166"/>
      <c r="K568" s="2166"/>
      <c r="L568" s="2166"/>
      <c r="M568" s="2166"/>
      <c r="N568" s="2166"/>
      <c r="O568" s="2166"/>
      <c r="P568" s="2166"/>
      <c r="Q568" s="2166"/>
      <c r="R568" s="2166"/>
      <c r="S568" s="2166"/>
      <c r="T568" s="2166"/>
      <c r="U568" s="2166"/>
      <c r="V568" s="2166"/>
      <c r="W568" s="2166"/>
      <c r="X568" s="2166"/>
      <c r="Y568" s="2166"/>
    </row>
    <row r="569" spans="1:25" ht="25.5" customHeight="1">
      <c r="A569" s="2167" t="s">
        <v>9</v>
      </c>
      <c r="B569" s="2156" t="s">
        <v>495</v>
      </c>
      <c r="C569" s="2156"/>
      <c r="D569" s="2156"/>
      <c r="E569" s="2156"/>
      <c r="F569" s="2156"/>
      <c r="G569" s="2156"/>
      <c r="H569" s="2156"/>
      <c r="I569" s="2156" t="s">
        <v>770</v>
      </c>
      <c r="J569" s="2156"/>
      <c r="K569" s="2156" t="s">
        <v>818</v>
      </c>
      <c r="L569" s="2156"/>
      <c r="M569" s="2156"/>
      <c r="N569" s="2156" t="s">
        <v>772</v>
      </c>
      <c r="O569" s="2156"/>
      <c r="P569" s="2156" t="s">
        <v>773</v>
      </c>
      <c r="Q569" s="2156"/>
      <c r="R569" s="2156"/>
      <c r="S569" s="2156"/>
      <c r="T569" s="2156" t="s">
        <v>771</v>
      </c>
      <c r="U569" s="2156"/>
      <c r="V569" s="2156"/>
      <c r="W569" s="2156"/>
      <c r="X569" s="2156" t="s">
        <v>13</v>
      </c>
      <c r="Y569" s="2169"/>
    </row>
    <row r="570" spans="1:25" ht="30" customHeight="1" thickBot="1">
      <c r="A570" s="2168"/>
      <c r="B570" s="2157"/>
      <c r="C570" s="2157"/>
      <c r="D570" s="2157"/>
      <c r="E570" s="2157"/>
      <c r="F570" s="2157"/>
      <c r="G570" s="2157"/>
      <c r="H570" s="2157"/>
      <c r="I570" s="394" t="s">
        <v>301</v>
      </c>
      <c r="J570" s="394" t="s">
        <v>319</v>
      </c>
      <c r="K570" s="2157"/>
      <c r="L570" s="2157"/>
      <c r="M570" s="2157"/>
      <c r="N570" s="2157"/>
      <c r="O570" s="2157"/>
      <c r="P570" s="2157"/>
      <c r="Q570" s="2157"/>
      <c r="R570" s="2157"/>
      <c r="S570" s="2157"/>
      <c r="T570" s="2157"/>
      <c r="U570" s="2157"/>
      <c r="V570" s="2157"/>
      <c r="W570" s="2157"/>
      <c r="X570" s="2157"/>
      <c r="Y570" s="2170"/>
    </row>
    <row r="571" spans="1:25" ht="30" customHeight="1">
      <c r="A571" s="388">
        <v>1</v>
      </c>
      <c r="B571" s="2378">
        <f>'بند3-11 ايجاد ظرفيت در جذب گرنت'!B6</f>
        <v>0</v>
      </c>
      <c r="C571" s="2229"/>
      <c r="D571" s="2229"/>
      <c r="E571" s="2229"/>
      <c r="F571" s="2229"/>
      <c r="G571" s="2229"/>
      <c r="H571" s="2229"/>
      <c r="I571" s="395">
        <f>'بند3-11 ايجاد ظرفيت در جذب گرنت'!I6</f>
        <v>0</v>
      </c>
      <c r="J571" s="395">
        <f>'بند3-11 ايجاد ظرفيت در جذب گرنت'!J6</f>
        <v>0</v>
      </c>
      <c r="K571" s="2379">
        <f>'بند3-11 ايجاد ظرفيت در جذب گرنت'!K6</f>
        <v>0</v>
      </c>
      <c r="L571" s="2380"/>
      <c r="M571" s="2380"/>
      <c r="N571" s="2379">
        <f>'بند3-11 ايجاد ظرفيت در جذب گرنت'!N6</f>
        <v>0</v>
      </c>
      <c r="O571" s="2380"/>
      <c r="P571" s="2379">
        <f>'بند3-11 ايجاد ظرفيت در جذب گرنت'!P6</f>
        <v>0</v>
      </c>
      <c r="Q571" s="2380"/>
      <c r="R571" s="2380"/>
      <c r="S571" s="2380"/>
      <c r="T571" s="2202">
        <f>'بند3-11 ايجاد ظرفيت در جذب گرنت'!Q6</f>
        <v>0</v>
      </c>
      <c r="U571" s="2203"/>
      <c r="V571" s="2203"/>
      <c r="W571" s="2203"/>
      <c r="X571" s="2149">
        <f>'بند3-11 ايجاد ظرفيت در جذب گرنت'!S6</f>
        <v>0</v>
      </c>
      <c r="Y571" s="2150"/>
    </row>
    <row r="572" spans="1:25" ht="30" customHeight="1">
      <c r="A572" s="389">
        <v>2</v>
      </c>
      <c r="B572" s="2108">
        <f>'بند3-11 ايجاد ظرفيت در جذب گرنت'!B7</f>
        <v>0</v>
      </c>
      <c r="C572" s="2109"/>
      <c r="D572" s="2109"/>
      <c r="E572" s="2109"/>
      <c r="F572" s="2109"/>
      <c r="G572" s="2109"/>
      <c r="H572" s="2109"/>
      <c r="I572" s="396">
        <f>'بند3-11 ايجاد ظرفيت در جذب گرنت'!I7</f>
        <v>0</v>
      </c>
      <c r="J572" s="396">
        <f>'بند3-11 ايجاد ظرفيت در جذب گرنت'!J7</f>
        <v>0</v>
      </c>
      <c r="K572" s="2107">
        <f>'بند3-11 ايجاد ظرفيت در جذب گرنت'!K7</f>
        <v>0</v>
      </c>
      <c r="L572" s="2110"/>
      <c r="M572" s="2110"/>
      <c r="N572" s="2107">
        <f>'بند3-11 ايجاد ظرفيت در جذب گرنت'!N7</f>
        <v>0</v>
      </c>
      <c r="O572" s="2110"/>
      <c r="P572" s="2107">
        <f>'بند3-11 ايجاد ظرفيت در جذب گرنت'!P7</f>
        <v>0</v>
      </c>
      <c r="Q572" s="2110"/>
      <c r="R572" s="2110"/>
      <c r="S572" s="2110"/>
      <c r="T572" s="2182">
        <f>'بند3-11 ايجاد ظرفيت در جذب گرنت'!Q7</f>
        <v>0</v>
      </c>
      <c r="U572" s="2183"/>
      <c r="V572" s="2183"/>
      <c r="W572" s="2183"/>
      <c r="X572" s="2149">
        <f>'بند3-11 ايجاد ظرفيت در جذب گرنت'!S7</f>
        <v>0</v>
      </c>
      <c r="Y572" s="2150"/>
    </row>
    <row r="573" spans="1:25" ht="30" customHeight="1">
      <c r="A573" s="389">
        <v>3</v>
      </c>
      <c r="B573" s="2108">
        <f>'بند3-11 ايجاد ظرفيت در جذب گرنت'!B8</f>
        <v>0</v>
      </c>
      <c r="C573" s="2109"/>
      <c r="D573" s="2109"/>
      <c r="E573" s="2109"/>
      <c r="F573" s="2109"/>
      <c r="G573" s="2109"/>
      <c r="H573" s="2109"/>
      <c r="I573" s="396">
        <f>'بند3-11 ايجاد ظرفيت در جذب گرنت'!I8</f>
        <v>0</v>
      </c>
      <c r="J573" s="396">
        <f>'بند3-11 ايجاد ظرفيت در جذب گرنت'!J8</f>
        <v>0</v>
      </c>
      <c r="K573" s="2107">
        <f>'بند3-11 ايجاد ظرفيت در جذب گرنت'!K8</f>
        <v>0</v>
      </c>
      <c r="L573" s="2110"/>
      <c r="M573" s="2110"/>
      <c r="N573" s="2107">
        <f>'بند3-11 ايجاد ظرفيت در جذب گرنت'!N8</f>
        <v>0</v>
      </c>
      <c r="O573" s="2110"/>
      <c r="P573" s="2107">
        <f>'بند3-11 ايجاد ظرفيت در جذب گرنت'!P8</f>
        <v>0</v>
      </c>
      <c r="Q573" s="2110"/>
      <c r="R573" s="2110"/>
      <c r="S573" s="2110"/>
      <c r="T573" s="2182">
        <f>'بند3-11 ايجاد ظرفيت در جذب گرنت'!Q8</f>
        <v>0</v>
      </c>
      <c r="U573" s="2183"/>
      <c r="V573" s="2183"/>
      <c r="W573" s="2183"/>
      <c r="X573" s="2149">
        <f>'بند3-11 ايجاد ظرفيت در جذب گرنت'!S8</f>
        <v>0</v>
      </c>
      <c r="Y573" s="2150"/>
    </row>
    <row r="574" spans="1:25" ht="30" customHeight="1">
      <c r="A574" s="389">
        <v>4</v>
      </c>
      <c r="B574" s="2108">
        <f>'بند3-11 ايجاد ظرفيت در جذب گرنت'!B9</f>
        <v>0</v>
      </c>
      <c r="C574" s="2109"/>
      <c r="D574" s="2109"/>
      <c r="E574" s="2109"/>
      <c r="F574" s="2109"/>
      <c r="G574" s="2109"/>
      <c r="H574" s="2109"/>
      <c r="I574" s="396">
        <f>'بند3-11 ايجاد ظرفيت در جذب گرنت'!I9</f>
        <v>0</v>
      </c>
      <c r="J574" s="396">
        <f>'بند3-11 ايجاد ظرفيت در جذب گرنت'!J9</f>
        <v>0</v>
      </c>
      <c r="K574" s="2107">
        <f>'بند3-11 ايجاد ظرفيت در جذب گرنت'!K9</f>
        <v>0</v>
      </c>
      <c r="L574" s="2110"/>
      <c r="M574" s="2110"/>
      <c r="N574" s="2107">
        <f>'بند3-11 ايجاد ظرفيت در جذب گرنت'!N9</f>
        <v>0</v>
      </c>
      <c r="O574" s="2110"/>
      <c r="P574" s="2107">
        <f>'بند3-11 ايجاد ظرفيت در جذب گرنت'!P9</f>
        <v>0</v>
      </c>
      <c r="Q574" s="2110"/>
      <c r="R574" s="2110"/>
      <c r="S574" s="2110"/>
      <c r="T574" s="2182">
        <f>'بند3-11 ايجاد ظرفيت در جذب گرنت'!Q9</f>
        <v>0</v>
      </c>
      <c r="U574" s="2183"/>
      <c r="V574" s="2183"/>
      <c r="W574" s="2183"/>
      <c r="X574" s="2149">
        <f>'بند3-11 ايجاد ظرفيت در جذب گرنت'!S9</f>
        <v>0</v>
      </c>
      <c r="Y574" s="2150"/>
    </row>
    <row r="575" spans="1:25" ht="30" customHeight="1">
      <c r="A575" s="389">
        <v>5</v>
      </c>
      <c r="B575" s="2108">
        <f>'بند3-11 ايجاد ظرفيت در جذب گرنت'!B10</f>
        <v>0</v>
      </c>
      <c r="C575" s="2109"/>
      <c r="D575" s="2109"/>
      <c r="E575" s="2109"/>
      <c r="F575" s="2109"/>
      <c r="G575" s="2109"/>
      <c r="H575" s="2109"/>
      <c r="I575" s="396">
        <f>'بند3-11 ايجاد ظرفيت در جذب گرنت'!I10</f>
        <v>0</v>
      </c>
      <c r="J575" s="396">
        <f>'بند3-11 ايجاد ظرفيت در جذب گرنت'!J10</f>
        <v>0</v>
      </c>
      <c r="K575" s="2107">
        <f>'بند3-11 ايجاد ظرفيت در جذب گرنت'!K10</f>
        <v>0</v>
      </c>
      <c r="L575" s="2110"/>
      <c r="M575" s="2110"/>
      <c r="N575" s="2107">
        <f>'بند3-11 ايجاد ظرفيت در جذب گرنت'!N10</f>
        <v>0</v>
      </c>
      <c r="O575" s="2110"/>
      <c r="P575" s="2107">
        <f>'بند3-11 ايجاد ظرفيت در جذب گرنت'!P10</f>
        <v>0</v>
      </c>
      <c r="Q575" s="2110"/>
      <c r="R575" s="2110"/>
      <c r="S575" s="2110"/>
      <c r="T575" s="2182">
        <f>'بند3-11 ايجاد ظرفيت در جذب گرنت'!Q10</f>
        <v>0</v>
      </c>
      <c r="U575" s="2183"/>
      <c r="V575" s="2183"/>
      <c r="W575" s="2183"/>
      <c r="X575" s="2149">
        <f>'بند3-11 ايجاد ظرفيت در جذب گرنت'!S10</f>
        <v>0</v>
      </c>
      <c r="Y575" s="2150"/>
    </row>
    <row r="576" spans="1:25" ht="30" customHeight="1">
      <c r="A576" s="389">
        <v>6</v>
      </c>
      <c r="B576" s="2108">
        <f>'بند3-11 ايجاد ظرفيت در جذب گرنت'!B11</f>
        <v>0</v>
      </c>
      <c r="C576" s="2109"/>
      <c r="D576" s="2109"/>
      <c r="E576" s="2109"/>
      <c r="F576" s="2109"/>
      <c r="G576" s="2109"/>
      <c r="H576" s="2109"/>
      <c r="I576" s="396">
        <f>'بند3-11 ايجاد ظرفيت در جذب گرنت'!I11</f>
        <v>0</v>
      </c>
      <c r="J576" s="396">
        <f>'بند3-11 ايجاد ظرفيت در جذب گرنت'!J11</f>
        <v>0</v>
      </c>
      <c r="K576" s="2107">
        <f>'بند3-11 ايجاد ظرفيت در جذب گرنت'!K11</f>
        <v>0</v>
      </c>
      <c r="L576" s="2110"/>
      <c r="M576" s="2110"/>
      <c r="N576" s="2107">
        <f>'بند3-11 ايجاد ظرفيت در جذب گرنت'!N11</f>
        <v>0</v>
      </c>
      <c r="O576" s="2110"/>
      <c r="P576" s="2107">
        <f>'بند3-11 ايجاد ظرفيت در جذب گرنت'!P11</f>
        <v>0</v>
      </c>
      <c r="Q576" s="2110"/>
      <c r="R576" s="2110"/>
      <c r="S576" s="2110"/>
      <c r="T576" s="2182">
        <f>'بند3-11 ايجاد ظرفيت در جذب گرنت'!Q11</f>
        <v>0</v>
      </c>
      <c r="U576" s="2183"/>
      <c r="V576" s="2183"/>
      <c r="W576" s="2183"/>
      <c r="X576" s="2149">
        <f>'بند3-11 ايجاد ظرفيت در جذب گرنت'!S11</f>
        <v>0</v>
      </c>
      <c r="Y576" s="2150"/>
    </row>
    <row r="577" spans="1:25" ht="30" customHeight="1">
      <c r="A577" s="389">
        <v>7</v>
      </c>
      <c r="B577" s="2108">
        <f>'بند3-11 ايجاد ظرفيت در جذب گرنت'!B12</f>
        <v>0</v>
      </c>
      <c r="C577" s="2109"/>
      <c r="D577" s="2109"/>
      <c r="E577" s="2109"/>
      <c r="F577" s="2109"/>
      <c r="G577" s="2109"/>
      <c r="H577" s="2109"/>
      <c r="I577" s="396">
        <f>'بند3-11 ايجاد ظرفيت در جذب گرنت'!I12</f>
        <v>0</v>
      </c>
      <c r="J577" s="396">
        <f>'بند3-11 ايجاد ظرفيت در جذب گرنت'!J12</f>
        <v>0</v>
      </c>
      <c r="K577" s="2107">
        <f>'بند3-11 ايجاد ظرفيت در جذب گرنت'!K12</f>
        <v>0</v>
      </c>
      <c r="L577" s="2110"/>
      <c r="M577" s="2110"/>
      <c r="N577" s="2107">
        <f>'بند3-11 ايجاد ظرفيت در جذب گرنت'!N12</f>
        <v>0</v>
      </c>
      <c r="O577" s="2110"/>
      <c r="P577" s="2107">
        <f>'بند3-11 ايجاد ظرفيت در جذب گرنت'!P12</f>
        <v>0</v>
      </c>
      <c r="Q577" s="2110"/>
      <c r="R577" s="2110"/>
      <c r="S577" s="2110"/>
      <c r="T577" s="2182">
        <f>'بند3-11 ايجاد ظرفيت در جذب گرنت'!Q12</f>
        <v>0</v>
      </c>
      <c r="U577" s="2183"/>
      <c r="V577" s="2183"/>
      <c r="W577" s="2183"/>
      <c r="X577" s="2149">
        <f>'بند3-11 ايجاد ظرفيت در جذب گرنت'!S12</f>
        <v>0</v>
      </c>
      <c r="Y577" s="2150"/>
    </row>
    <row r="578" spans="1:25" ht="30" customHeight="1">
      <c r="A578" s="389">
        <v>8</v>
      </c>
      <c r="B578" s="2108">
        <f>'بند3-11 ايجاد ظرفيت در جذب گرنت'!B13</f>
        <v>0</v>
      </c>
      <c r="C578" s="2109"/>
      <c r="D578" s="2109"/>
      <c r="E578" s="2109"/>
      <c r="F578" s="2109"/>
      <c r="G578" s="2109"/>
      <c r="H578" s="2109"/>
      <c r="I578" s="396">
        <f>'بند3-11 ايجاد ظرفيت در جذب گرنت'!I13</f>
        <v>0</v>
      </c>
      <c r="J578" s="396">
        <f>'بند3-11 ايجاد ظرفيت در جذب گرنت'!J13</f>
        <v>0</v>
      </c>
      <c r="K578" s="2107">
        <f>'بند3-11 ايجاد ظرفيت در جذب گرنت'!K13</f>
        <v>0</v>
      </c>
      <c r="L578" s="2110"/>
      <c r="M578" s="2110"/>
      <c r="N578" s="2107">
        <f>'بند3-11 ايجاد ظرفيت در جذب گرنت'!N13</f>
        <v>0</v>
      </c>
      <c r="O578" s="2110"/>
      <c r="P578" s="2107">
        <f>'بند3-11 ايجاد ظرفيت در جذب گرنت'!P13</f>
        <v>0</v>
      </c>
      <c r="Q578" s="2110"/>
      <c r="R578" s="2110"/>
      <c r="S578" s="2110"/>
      <c r="T578" s="2182">
        <f>'بند3-11 ايجاد ظرفيت در جذب گرنت'!Q13</f>
        <v>0</v>
      </c>
      <c r="U578" s="2183"/>
      <c r="V578" s="2183"/>
      <c r="W578" s="2183"/>
      <c r="X578" s="2149">
        <f>'بند3-11 ايجاد ظرفيت در جذب گرنت'!S13</f>
        <v>0</v>
      </c>
      <c r="Y578" s="2150"/>
    </row>
    <row r="579" spans="1:25" ht="30" customHeight="1">
      <c r="A579" s="389">
        <v>9</v>
      </c>
      <c r="B579" s="2108">
        <f>'بند3-11 ايجاد ظرفيت در جذب گرنت'!B14</f>
        <v>0</v>
      </c>
      <c r="C579" s="2109"/>
      <c r="D579" s="2109"/>
      <c r="E579" s="2109"/>
      <c r="F579" s="2109"/>
      <c r="G579" s="2109"/>
      <c r="H579" s="2109"/>
      <c r="I579" s="396">
        <f>'بند3-11 ايجاد ظرفيت در جذب گرنت'!I14</f>
        <v>0</v>
      </c>
      <c r="J579" s="396">
        <f>'بند3-11 ايجاد ظرفيت در جذب گرنت'!J14</f>
        <v>0</v>
      </c>
      <c r="K579" s="2107">
        <f>'بند3-11 ايجاد ظرفيت در جذب گرنت'!K14</f>
        <v>0</v>
      </c>
      <c r="L579" s="2110"/>
      <c r="M579" s="2110"/>
      <c r="N579" s="2107">
        <f>'بند3-11 ايجاد ظرفيت در جذب گرنت'!N14</f>
        <v>0</v>
      </c>
      <c r="O579" s="2110"/>
      <c r="P579" s="2107">
        <f>'بند3-11 ايجاد ظرفيت در جذب گرنت'!P14</f>
        <v>0</v>
      </c>
      <c r="Q579" s="2110"/>
      <c r="R579" s="2110"/>
      <c r="S579" s="2110"/>
      <c r="T579" s="2182">
        <f>'بند3-11 ايجاد ظرفيت در جذب گرنت'!Q14</f>
        <v>0</v>
      </c>
      <c r="U579" s="2183"/>
      <c r="V579" s="2183"/>
      <c r="W579" s="2183"/>
      <c r="X579" s="2149">
        <f>'بند3-11 ايجاد ظرفيت در جذب گرنت'!S14</f>
        <v>0</v>
      </c>
      <c r="Y579" s="2150"/>
    </row>
    <row r="580" spans="1:25" ht="30" customHeight="1">
      <c r="A580" s="389">
        <v>10</v>
      </c>
      <c r="B580" s="2108">
        <f>'بند3-11 ايجاد ظرفيت در جذب گرنت'!B15</f>
        <v>0</v>
      </c>
      <c r="C580" s="2109"/>
      <c r="D580" s="2109"/>
      <c r="E580" s="2109"/>
      <c r="F580" s="2109"/>
      <c r="G580" s="2109"/>
      <c r="H580" s="2109"/>
      <c r="I580" s="396">
        <f>'بند3-11 ايجاد ظرفيت در جذب گرنت'!I15</f>
        <v>0</v>
      </c>
      <c r="J580" s="396">
        <f>'بند3-11 ايجاد ظرفيت در جذب گرنت'!J15</f>
        <v>0</v>
      </c>
      <c r="K580" s="2107">
        <f>'بند3-11 ايجاد ظرفيت در جذب گرنت'!K15</f>
        <v>0</v>
      </c>
      <c r="L580" s="2110"/>
      <c r="M580" s="2110"/>
      <c r="N580" s="2107">
        <f>'بند3-11 ايجاد ظرفيت در جذب گرنت'!N15</f>
        <v>0</v>
      </c>
      <c r="O580" s="2110"/>
      <c r="P580" s="2107">
        <f>'بند3-11 ايجاد ظرفيت در جذب گرنت'!P15</f>
        <v>0</v>
      </c>
      <c r="Q580" s="2110"/>
      <c r="R580" s="2110"/>
      <c r="S580" s="2110"/>
      <c r="T580" s="2182">
        <f>'بند3-11 ايجاد ظرفيت در جذب گرنت'!Q15</f>
        <v>0</v>
      </c>
      <c r="U580" s="2183"/>
      <c r="V580" s="2183"/>
      <c r="W580" s="2183"/>
      <c r="X580" s="2149">
        <f>'بند3-11 ايجاد ظرفيت در جذب گرنت'!S15</f>
        <v>0</v>
      </c>
      <c r="Y580" s="2150"/>
    </row>
    <row r="581" spans="1:25" ht="30" customHeight="1">
      <c r="A581" s="389">
        <v>11</v>
      </c>
      <c r="B581" s="2108">
        <f>'بند3-11 ايجاد ظرفيت در جذب گرنت'!B16</f>
        <v>0</v>
      </c>
      <c r="C581" s="2109"/>
      <c r="D581" s="2109"/>
      <c r="E581" s="2109"/>
      <c r="F581" s="2109"/>
      <c r="G581" s="2109"/>
      <c r="H581" s="2109"/>
      <c r="I581" s="396">
        <f>'بند3-11 ايجاد ظرفيت در جذب گرنت'!I16</f>
        <v>0</v>
      </c>
      <c r="J581" s="396">
        <f>'بند3-11 ايجاد ظرفيت در جذب گرنت'!J16</f>
        <v>0</v>
      </c>
      <c r="K581" s="2107">
        <f>'بند3-11 ايجاد ظرفيت در جذب گرنت'!K16</f>
        <v>0</v>
      </c>
      <c r="L581" s="2110"/>
      <c r="M581" s="2110"/>
      <c r="N581" s="2107">
        <f>'بند3-11 ايجاد ظرفيت در جذب گرنت'!N16</f>
        <v>0</v>
      </c>
      <c r="O581" s="2110"/>
      <c r="P581" s="2107">
        <f>'بند3-11 ايجاد ظرفيت در جذب گرنت'!P16</f>
        <v>0</v>
      </c>
      <c r="Q581" s="2110"/>
      <c r="R581" s="2110"/>
      <c r="S581" s="2110"/>
      <c r="T581" s="2182">
        <f>'بند3-11 ايجاد ظرفيت در جذب گرنت'!Q16</f>
        <v>0</v>
      </c>
      <c r="U581" s="2183"/>
      <c r="V581" s="2183"/>
      <c r="W581" s="2183"/>
      <c r="X581" s="2149">
        <f>'بند3-11 ايجاد ظرفيت در جذب گرنت'!S16</f>
        <v>0</v>
      </c>
      <c r="Y581" s="2150"/>
    </row>
    <row r="582" spans="1:25" ht="30" customHeight="1">
      <c r="A582" s="389">
        <v>12</v>
      </c>
      <c r="B582" s="2108">
        <f>'بند3-11 ايجاد ظرفيت در جذب گرنت'!B17</f>
        <v>0</v>
      </c>
      <c r="C582" s="2109"/>
      <c r="D582" s="2109"/>
      <c r="E582" s="2109"/>
      <c r="F582" s="2109"/>
      <c r="G582" s="2109"/>
      <c r="H582" s="2109"/>
      <c r="I582" s="396">
        <f>'بند3-11 ايجاد ظرفيت در جذب گرنت'!I17</f>
        <v>0</v>
      </c>
      <c r="J582" s="396">
        <f>'بند3-11 ايجاد ظرفيت در جذب گرنت'!J17</f>
        <v>0</v>
      </c>
      <c r="K582" s="2107">
        <f>'بند3-11 ايجاد ظرفيت در جذب گرنت'!K17</f>
        <v>0</v>
      </c>
      <c r="L582" s="2110"/>
      <c r="M582" s="2110"/>
      <c r="N582" s="2107">
        <f>'بند3-11 ايجاد ظرفيت در جذب گرنت'!N17</f>
        <v>0</v>
      </c>
      <c r="O582" s="2110"/>
      <c r="P582" s="2107">
        <f>'بند3-11 ايجاد ظرفيت در جذب گرنت'!P17</f>
        <v>0</v>
      </c>
      <c r="Q582" s="2110"/>
      <c r="R582" s="2110"/>
      <c r="S582" s="2110"/>
      <c r="T582" s="2182">
        <f>'بند3-11 ايجاد ظرفيت در جذب گرنت'!Q17</f>
        <v>0</v>
      </c>
      <c r="U582" s="2183"/>
      <c r="V582" s="2183"/>
      <c r="W582" s="2183"/>
      <c r="X582" s="2149">
        <f>'بند3-11 ايجاد ظرفيت در جذب گرنت'!S17</f>
        <v>0</v>
      </c>
      <c r="Y582" s="2150"/>
    </row>
    <row r="583" spans="1:25" ht="30" customHeight="1">
      <c r="A583" s="389">
        <v>13</v>
      </c>
      <c r="B583" s="2108">
        <f>'بند3-11 ايجاد ظرفيت در جذب گرنت'!B18</f>
        <v>0</v>
      </c>
      <c r="C583" s="2109"/>
      <c r="D583" s="2109"/>
      <c r="E583" s="2109"/>
      <c r="F583" s="2109"/>
      <c r="G583" s="2109"/>
      <c r="H583" s="2109"/>
      <c r="I583" s="396">
        <f>'بند3-11 ايجاد ظرفيت در جذب گرنت'!I18</f>
        <v>0</v>
      </c>
      <c r="J583" s="396">
        <f>'بند3-11 ايجاد ظرفيت در جذب گرنت'!J18</f>
        <v>0</v>
      </c>
      <c r="K583" s="2107">
        <f>'بند3-11 ايجاد ظرفيت در جذب گرنت'!K18</f>
        <v>0</v>
      </c>
      <c r="L583" s="2110"/>
      <c r="M583" s="2110"/>
      <c r="N583" s="2107">
        <f>'بند3-11 ايجاد ظرفيت در جذب گرنت'!N18</f>
        <v>0</v>
      </c>
      <c r="O583" s="2110"/>
      <c r="P583" s="2107">
        <f>'بند3-11 ايجاد ظرفيت در جذب گرنت'!P18</f>
        <v>0</v>
      </c>
      <c r="Q583" s="2110"/>
      <c r="R583" s="2110"/>
      <c r="S583" s="2110"/>
      <c r="T583" s="2182">
        <f>'بند3-11 ايجاد ظرفيت در جذب گرنت'!Q18</f>
        <v>0</v>
      </c>
      <c r="U583" s="2183"/>
      <c r="V583" s="2183"/>
      <c r="W583" s="2183"/>
      <c r="X583" s="2149">
        <f>'بند3-11 ايجاد ظرفيت در جذب گرنت'!S18</f>
        <v>0</v>
      </c>
      <c r="Y583" s="2150"/>
    </row>
    <row r="584" spans="1:25" ht="30" customHeight="1">
      <c r="A584" s="389">
        <v>14</v>
      </c>
      <c r="B584" s="2108">
        <f>'بند3-11 ايجاد ظرفيت در جذب گرنت'!B19</f>
        <v>0</v>
      </c>
      <c r="C584" s="2109"/>
      <c r="D584" s="2109"/>
      <c r="E584" s="2109"/>
      <c r="F584" s="2109"/>
      <c r="G584" s="2109"/>
      <c r="H584" s="2109"/>
      <c r="I584" s="396">
        <f>'بند3-11 ايجاد ظرفيت در جذب گرنت'!I19</f>
        <v>0</v>
      </c>
      <c r="J584" s="396">
        <f>'بند3-11 ايجاد ظرفيت در جذب گرنت'!J19</f>
        <v>0</v>
      </c>
      <c r="K584" s="2107">
        <f>'بند3-11 ايجاد ظرفيت در جذب گرنت'!K19</f>
        <v>0</v>
      </c>
      <c r="L584" s="2110"/>
      <c r="M584" s="2110"/>
      <c r="N584" s="2107">
        <f>'بند3-11 ايجاد ظرفيت در جذب گرنت'!N19</f>
        <v>0</v>
      </c>
      <c r="O584" s="2110"/>
      <c r="P584" s="2107">
        <f>'بند3-11 ايجاد ظرفيت در جذب گرنت'!P19</f>
        <v>0</v>
      </c>
      <c r="Q584" s="2110"/>
      <c r="R584" s="2110"/>
      <c r="S584" s="2110"/>
      <c r="T584" s="2182">
        <f>'بند3-11 ايجاد ظرفيت در جذب گرنت'!Q19</f>
        <v>0</v>
      </c>
      <c r="U584" s="2183"/>
      <c r="V584" s="2183"/>
      <c r="W584" s="2183"/>
      <c r="X584" s="2149">
        <f>'بند3-11 ايجاد ظرفيت در جذب گرنت'!S19</f>
        <v>0</v>
      </c>
      <c r="Y584" s="2150"/>
    </row>
    <row r="585" spans="1:25" ht="30" customHeight="1" thickBot="1">
      <c r="A585" s="389">
        <v>15</v>
      </c>
      <c r="B585" s="2108">
        <f>'بند3-11 ايجاد ظرفيت در جذب گرنت'!B20</f>
        <v>0</v>
      </c>
      <c r="C585" s="2109"/>
      <c r="D585" s="2109"/>
      <c r="E585" s="2109"/>
      <c r="F585" s="2109"/>
      <c r="G585" s="2109"/>
      <c r="H585" s="2109"/>
      <c r="I585" s="396">
        <f>'بند3-11 ايجاد ظرفيت در جذب گرنت'!I20</f>
        <v>0</v>
      </c>
      <c r="J585" s="396">
        <f>'بند3-11 ايجاد ظرفيت در جذب گرنت'!J20</f>
        <v>0</v>
      </c>
      <c r="K585" s="2107">
        <f>'بند3-11 ايجاد ظرفيت در جذب گرنت'!K20</f>
        <v>0</v>
      </c>
      <c r="L585" s="2110"/>
      <c r="M585" s="2110"/>
      <c r="N585" s="2107">
        <f>'بند3-11 ايجاد ظرفيت در جذب گرنت'!N20</f>
        <v>0</v>
      </c>
      <c r="O585" s="2110"/>
      <c r="P585" s="2107">
        <f>'بند3-11 ايجاد ظرفيت در جذب گرنت'!P20</f>
        <v>0</v>
      </c>
      <c r="Q585" s="2110"/>
      <c r="R585" s="2110"/>
      <c r="S585" s="2110"/>
      <c r="T585" s="2182">
        <f>'بند3-11 ايجاد ظرفيت در جذب گرنت'!Q20</f>
        <v>0</v>
      </c>
      <c r="U585" s="2183"/>
      <c r="V585" s="2183"/>
      <c r="W585" s="2183"/>
      <c r="X585" s="2149">
        <f>'بند3-11 ايجاد ظرفيت در جذب گرنت'!S20</f>
        <v>0</v>
      </c>
      <c r="Y585" s="2150"/>
    </row>
    <row r="586" spans="1:25" ht="30" customHeight="1" thickBot="1">
      <c r="A586" s="2130" t="s">
        <v>807</v>
      </c>
      <c r="B586" s="2131"/>
      <c r="C586" s="2131"/>
      <c r="D586" s="2131"/>
      <c r="E586" s="2131"/>
      <c r="F586" s="2131"/>
      <c r="G586" s="2131"/>
      <c r="H586" s="2131"/>
      <c r="I586" s="2131"/>
      <c r="J586" s="2131"/>
      <c r="K586" s="2131"/>
      <c r="L586" s="2131"/>
      <c r="M586" s="2131"/>
      <c r="N586" s="2131"/>
      <c r="O586" s="2131"/>
      <c r="P586" s="2131"/>
      <c r="Q586" s="2131"/>
      <c r="R586" s="2131"/>
      <c r="S586" s="2131"/>
      <c r="T586" s="2131"/>
      <c r="U586" s="2131"/>
      <c r="V586" s="2131"/>
      <c r="W586" s="2131"/>
      <c r="X586" s="2151">
        <f>'بند3-11 ايجاد ظرفيت در جذب گرنت'!S21</f>
        <v>0</v>
      </c>
      <c r="Y586" s="2152"/>
    </row>
    <row r="587" spans="1:25" ht="30" customHeight="1" thickBot="1">
      <c r="A587" s="2153" t="s">
        <v>819</v>
      </c>
      <c r="B587" s="2153"/>
      <c r="C587" s="2153"/>
      <c r="D587" s="2153"/>
      <c r="E587" s="2153"/>
      <c r="F587" s="2153"/>
      <c r="G587" s="2153"/>
      <c r="H587" s="2153"/>
      <c r="I587" s="2153"/>
      <c r="J587" s="2153"/>
      <c r="K587" s="2153"/>
      <c r="L587" s="2153"/>
      <c r="M587" s="2153"/>
      <c r="N587" s="2153"/>
      <c r="O587" s="2153"/>
      <c r="P587" s="2153"/>
      <c r="Q587" s="2153"/>
      <c r="R587" s="2153"/>
      <c r="S587" s="2153"/>
      <c r="T587" s="2153"/>
      <c r="U587" s="2153"/>
      <c r="V587" s="2153"/>
      <c r="W587" s="2153"/>
      <c r="X587" s="2153"/>
      <c r="Y587" s="2153"/>
    </row>
    <row r="588" spans="1:25" ht="30" customHeight="1">
      <c r="A588" s="2154" t="s">
        <v>9</v>
      </c>
      <c r="B588" s="2142" t="s">
        <v>382</v>
      </c>
      <c r="C588" s="2142"/>
      <c r="D588" s="2142"/>
      <c r="E588" s="2142"/>
      <c r="F588" s="2142"/>
      <c r="G588" s="2142"/>
      <c r="H588" s="2142"/>
      <c r="I588" s="2142" t="s">
        <v>330</v>
      </c>
      <c r="J588" s="2142"/>
      <c r="K588" s="2156" t="s">
        <v>331</v>
      </c>
      <c r="L588" s="2156"/>
      <c r="M588" s="2156"/>
      <c r="N588" s="2156"/>
      <c r="O588" s="2156" t="s">
        <v>774</v>
      </c>
      <c r="P588" s="2156"/>
      <c r="Q588" s="2156"/>
      <c r="R588" s="2156"/>
      <c r="S588" s="2156"/>
      <c r="T588" s="2156" t="s">
        <v>536</v>
      </c>
      <c r="U588" s="2156"/>
      <c r="V588" s="2156"/>
      <c r="W588" s="2156"/>
      <c r="X588" s="2142" t="s">
        <v>13</v>
      </c>
      <c r="Y588" s="2143"/>
    </row>
    <row r="589" spans="1:25" ht="57.75" customHeight="1" thickBot="1">
      <c r="A589" s="2155"/>
      <c r="B589" s="2144"/>
      <c r="C589" s="2144"/>
      <c r="D589" s="2144"/>
      <c r="E589" s="2144"/>
      <c r="F589" s="2144"/>
      <c r="G589" s="2144"/>
      <c r="H589" s="2144"/>
      <c r="I589" s="2144"/>
      <c r="J589" s="2144"/>
      <c r="K589" s="2157"/>
      <c r="L589" s="2157"/>
      <c r="M589" s="2157"/>
      <c r="N589" s="2157"/>
      <c r="O589" s="2146" t="s">
        <v>327</v>
      </c>
      <c r="P589" s="2146"/>
      <c r="Q589" s="348" t="s">
        <v>328</v>
      </c>
      <c r="R589" s="348" t="s">
        <v>329</v>
      </c>
      <c r="S589" s="397" t="s">
        <v>334</v>
      </c>
      <c r="T589" s="2157"/>
      <c r="U589" s="2157"/>
      <c r="V589" s="2157"/>
      <c r="W589" s="2157"/>
      <c r="X589" s="2144"/>
      <c r="Y589" s="2145"/>
    </row>
    <row r="590" spans="1:25" ht="30" customHeight="1">
      <c r="A590" s="388">
        <v>1</v>
      </c>
      <c r="B590" s="2346">
        <f>'بند3-12 تصنيف تاليف ترجمه كتاب'!B7</f>
        <v>0</v>
      </c>
      <c r="C590" s="2347"/>
      <c r="D590" s="2347"/>
      <c r="E590" s="2347"/>
      <c r="F590" s="2347"/>
      <c r="G590" s="2347"/>
      <c r="H590" s="2348"/>
      <c r="I590" s="2385">
        <f>'بند3-12 تصنيف تاليف ترجمه كتاب'!G7</f>
        <v>0</v>
      </c>
      <c r="J590" s="2386"/>
      <c r="K590" s="2379">
        <f>'بند3-12 تصنيف تاليف ترجمه كتاب'!H7</f>
        <v>0</v>
      </c>
      <c r="L590" s="2380"/>
      <c r="M590" s="2380"/>
      <c r="N590" s="2380"/>
      <c r="O590" s="2379">
        <f>'بند3-12 تصنيف تاليف ترجمه كتاب'!M7</f>
        <v>0</v>
      </c>
      <c r="P590" s="2380"/>
      <c r="Q590" s="398">
        <f>'بند3-12 تصنيف تاليف ترجمه كتاب'!N7</f>
        <v>0</v>
      </c>
      <c r="R590" s="398">
        <f>'بند3-12 تصنيف تاليف ترجمه كتاب'!O7</f>
        <v>0</v>
      </c>
      <c r="S590" s="398">
        <f>'بند3-12 تصنيف تاليف ترجمه كتاب'!P7</f>
        <v>0</v>
      </c>
      <c r="T590" s="2147">
        <f>'بند3-12 تصنيف تاليف ترجمه كتاب'!Q7</f>
        <v>0</v>
      </c>
      <c r="U590" s="2148"/>
      <c r="V590" s="2148"/>
      <c r="W590" s="2148"/>
      <c r="X590" s="2387">
        <f>'بند3-12 تصنيف تاليف ترجمه كتاب'!S7</f>
        <v>0</v>
      </c>
      <c r="Y590" s="2150"/>
    </row>
    <row r="591" spans="1:25" ht="30" customHeight="1">
      <c r="A591" s="389">
        <v>2</v>
      </c>
      <c r="B591" s="2346">
        <f>'بند3-12 تصنيف تاليف ترجمه كتاب'!B8</f>
        <v>0</v>
      </c>
      <c r="C591" s="2347"/>
      <c r="D591" s="2347"/>
      <c r="E591" s="2347"/>
      <c r="F591" s="2347"/>
      <c r="G591" s="2347"/>
      <c r="H591" s="2348"/>
      <c r="I591" s="2385">
        <f>'بند3-12 تصنيف تاليف ترجمه كتاب'!G8</f>
        <v>0</v>
      </c>
      <c r="J591" s="2386"/>
      <c r="K591" s="2379">
        <f>'بند3-12 تصنيف تاليف ترجمه كتاب'!H8</f>
        <v>0</v>
      </c>
      <c r="L591" s="2380"/>
      <c r="M591" s="2380"/>
      <c r="N591" s="2380"/>
      <c r="O591" s="2379">
        <f>'بند3-12 تصنيف تاليف ترجمه كتاب'!M8</f>
        <v>0</v>
      </c>
      <c r="P591" s="2380"/>
      <c r="Q591" s="399">
        <f>'بند3-12 تصنيف تاليف ترجمه كتاب'!N8</f>
        <v>0</v>
      </c>
      <c r="R591" s="399">
        <f>'بند3-12 تصنيف تاليف ترجمه كتاب'!O8</f>
        <v>0</v>
      </c>
      <c r="S591" s="399">
        <f>'بند3-12 تصنيف تاليف ترجمه كتاب'!P8</f>
        <v>0</v>
      </c>
      <c r="T591" s="2125">
        <f>'بند3-12 تصنيف تاليف ترجمه كتاب'!Q8</f>
        <v>0</v>
      </c>
      <c r="U591" s="2126"/>
      <c r="V591" s="2126"/>
      <c r="W591" s="2126"/>
      <c r="X591" s="2387">
        <f>'بند3-12 تصنيف تاليف ترجمه كتاب'!S8</f>
        <v>0</v>
      </c>
      <c r="Y591" s="2150"/>
    </row>
    <row r="592" spans="1:25" ht="19.5" customHeight="1">
      <c r="A592" s="389">
        <v>3</v>
      </c>
      <c r="B592" s="2346">
        <f>'بند3-12 تصنيف تاليف ترجمه كتاب'!B9</f>
        <v>0</v>
      </c>
      <c r="C592" s="2347"/>
      <c r="D592" s="2347"/>
      <c r="E592" s="2347"/>
      <c r="F592" s="2347"/>
      <c r="G592" s="2347"/>
      <c r="H592" s="2348"/>
      <c r="I592" s="2385">
        <f>'بند3-12 تصنيف تاليف ترجمه كتاب'!G9</f>
        <v>0</v>
      </c>
      <c r="J592" s="2386"/>
      <c r="K592" s="2379">
        <f>'بند3-12 تصنيف تاليف ترجمه كتاب'!H9</f>
        <v>0</v>
      </c>
      <c r="L592" s="2380"/>
      <c r="M592" s="2380"/>
      <c r="N592" s="2380"/>
      <c r="O592" s="2379">
        <f>'بند3-12 تصنيف تاليف ترجمه كتاب'!M9</f>
        <v>0</v>
      </c>
      <c r="P592" s="2380"/>
      <c r="Q592" s="399">
        <f>'بند3-12 تصنيف تاليف ترجمه كتاب'!N9</f>
        <v>0</v>
      </c>
      <c r="R592" s="399">
        <f>'بند3-12 تصنيف تاليف ترجمه كتاب'!O9</f>
        <v>0</v>
      </c>
      <c r="S592" s="399">
        <f>'بند3-12 تصنيف تاليف ترجمه كتاب'!P9</f>
        <v>0</v>
      </c>
      <c r="T592" s="2125">
        <f>'بند3-12 تصنيف تاليف ترجمه كتاب'!Q9</f>
        <v>0</v>
      </c>
      <c r="U592" s="2126"/>
      <c r="V592" s="2126"/>
      <c r="W592" s="2126"/>
      <c r="X592" s="2387">
        <f>'بند3-12 تصنيف تاليف ترجمه كتاب'!S9</f>
        <v>0</v>
      </c>
      <c r="Y592" s="2150"/>
    </row>
    <row r="593" spans="1:25" ht="58.5" customHeight="1">
      <c r="A593" s="388">
        <v>4</v>
      </c>
      <c r="B593" s="2346">
        <f>'بند3-12 تصنيف تاليف ترجمه كتاب'!B10</f>
        <v>0</v>
      </c>
      <c r="C593" s="2347"/>
      <c r="D593" s="2347"/>
      <c r="E593" s="2347"/>
      <c r="F593" s="2347"/>
      <c r="G593" s="2347"/>
      <c r="H593" s="2348"/>
      <c r="I593" s="2385">
        <f>'بند3-12 تصنيف تاليف ترجمه كتاب'!G10</f>
        <v>0</v>
      </c>
      <c r="J593" s="2386"/>
      <c r="K593" s="2379">
        <f>'بند3-12 تصنيف تاليف ترجمه كتاب'!H10</f>
        <v>0</v>
      </c>
      <c r="L593" s="2380"/>
      <c r="M593" s="2380"/>
      <c r="N593" s="2380"/>
      <c r="O593" s="2379">
        <f>'بند3-12 تصنيف تاليف ترجمه كتاب'!M10</f>
        <v>0</v>
      </c>
      <c r="P593" s="2380"/>
      <c r="Q593" s="399">
        <f>'بند3-12 تصنيف تاليف ترجمه كتاب'!N10</f>
        <v>0</v>
      </c>
      <c r="R593" s="399">
        <f>'بند3-12 تصنيف تاليف ترجمه كتاب'!O10</f>
        <v>0</v>
      </c>
      <c r="S593" s="399">
        <f>'بند3-12 تصنيف تاليف ترجمه كتاب'!P10</f>
        <v>0</v>
      </c>
      <c r="T593" s="2125">
        <f>'بند3-12 تصنيف تاليف ترجمه كتاب'!Q10</f>
        <v>0</v>
      </c>
      <c r="U593" s="2126"/>
      <c r="V593" s="2126"/>
      <c r="W593" s="2126"/>
      <c r="X593" s="2387">
        <f>'بند3-12 تصنيف تاليف ترجمه كتاب'!S10</f>
        <v>0</v>
      </c>
      <c r="Y593" s="2150"/>
    </row>
    <row r="594" spans="1:25" ht="30" customHeight="1">
      <c r="A594" s="388">
        <v>5</v>
      </c>
      <c r="B594" s="2346">
        <f>'بند3-12 تصنيف تاليف ترجمه كتاب'!B11</f>
        <v>0</v>
      </c>
      <c r="C594" s="2347"/>
      <c r="D594" s="2347"/>
      <c r="E594" s="2347"/>
      <c r="F594" s="2347"/>
      <c r="G594" s="2347"/>
      <c r="H594" s="2348"/>
      <c r="I594" s="2385">
        <f>'بند3-12 تصنيف تاليف ترجمه كتاب'!G11</f>
        <v>0</v>
      </c>
      <c r="J594" s="2386"/>
      <c r="K594" s="2379">
        <f>'بند3-12 تصنيف تاليف ترجمه كتاب'!H11</f>
        <v>0</v>
      </c>
      <c r="L594" s="2380"/>
      <c r="M594" s="2380"/>
      <c r="N594" s="2380"/>
      <c r="O594" s="2379">
        <f>'بند3-12 تصنيف تاليف ترجمه كتاب'!M11</f>
        <v>0</v>
      </c>
      <c r="P594" s="2380"/>
      <c r="Q594" s="399">
        <f>'بند3-12 تصنيف تاليف ترجمه كتاب'!N11</f>
        <v>0</v>
      </c>
      <c r="R594" s="399">
        <f>'بند3-12 تصنيف تاليف ترجمه كتاب'!O11</f>
        <v>0</v>
      </c>
      <c r="S594" s="399">
        <f>'بند3-12 تصنيف تاليف ترجمه كتاب'!P11</f>
        <v>0</v>
      </c>
      <c r="T594" s="2125">
        <f>'بند3-12 تصنيف تاليف ترجمه كتاب'!Q11</f>
        <v>0</v>
      </c>
      <c r="U594" s="2126"/>
      <c r="V594" s="2126"/>
      <c r="W594" s="2126"/>
      <c r="X594" s="2387">
        <f>'بند3-12 تصنيف تاليف ترجمه كتاب'!S11</f>
        <v>0</v>
      </c>
      <c r="Y594" s="2150"/>
    </row>
    <row r="595" spans="1:25" ht="30" customHeight="1">
      <c r="A595" s="388">
        <v>6</v>
      </c>
      <c r="B595" s="2346">
        <f>'بند3-12 تصنيف تاليف ترجمه كتاب'!B12</f>
        <v>0</v>
      </c>
      <c r="C595" s="2347"/>
      <c r="D595" s="2347"/>
      <c r="E595" s="2347"/>
      <c r="F595" s="2347"/>
      <c r="G595" s="2347"/>
      <c r="H595" s="2348"/>
      <c r="I595" s="2385">
        <f>'بند3-12 تصنيف تاليف ترجمه كتاب'!G12</f>
        <v>0</v>
      </c>
      <c r="J595" s="2386"/>
      <c r="K595" s="2379">
        <f>'بند3-12 تصنيف تاليف ترجمه كتاب'!H12</f>
        <v>0</v>
      </c>
      <c r="L595" s="2380"/>
      <c r="M595" s="2380"/>
      <c r="N595" s="2380"/>
      <c r="O595" s="2379">
        <f>'بند3-12 تصنيف تاليف ترجمه كتاب'!M12</f>
        <v>0</v>
      </c>
      <c r="P595" s="2380"/>
      <c r="Q595" s="399">
        <f>'بند3-12 تصنيف تاليف ترجمه كتاب'!N12</f>
        <v>0</v>
      </c>
      <c r="R595" s="399">
        <f>'بند3-12 تصنيف تاليف ترجمه كتاب'!O12</f>
        <v>0</v>
      </c>
      <c r="S595" s="399">
        <f>'بند3-12 تصنيف تاليف ترجمه كتاب'!P12</f>
        <v>0</v>
      </c>
      <c r="T595" s="2125">
        <f>'بند3-12 تصنيف تاليف ترجمه كتاب'!Q12</f>
        <v>0</v>
      </c>
      <c r="U595" s="2126"/>
      <c r="V595" s="2126"/>
      <c r="W595" s="2126"/>
      <c r="X595" s="2387">
        <f>'بند3-12 تصنيف تاليف ترجمه كتاب'!S12</f>
        <v>0</v>
      </c>
      <c r="Y595" s="2150"/>
    </row>
    <row r="596" spans="1:25" ht="30" customHeight="1">
      <c r="A596" s="388">
        <v>7</v>
      </c>
      <c r="B596" s="2346">
        <f>'بند3-12 تصنيف تاليف ترجمه كتاب'!B13</f>
        <v>0</v>
      </c>
      <c r="C596" s="2347"/>
      <c r="D596" s="2347"/>
      <c r="E596" s="2347"/>
      <c r="F596" s="2347"/>
      <c r="G596" s="2347"/>
      <c r="H596" s="2348"/>
      <c r="I596" s="2385">
        <f>'بند3-12 تصنيف تاليف ترجمه كتاب'!G13</f>
        <v>0</v>
      </c>
      <c r="J596" s="2386"/>
      <c r="K596" s="2379">
        <f>'بند3-12 تصنيف تاليف ترجمه كتاب'!H13</f>
        <v>0</v>
      </c>
      <c r="L596" s="2380"/>
      <c r="M596" s="2380"/>
      <c r="N596" s="2380"/>
      <c r="O596" s="2379">
        <f>'بند3-12 تصنيف تاليف ترجمه كتاب'!M13</f>
        <v>0</v>
      </c>
      <c r="P596" s="2380"/>
      <c r="Q596" s="399">
        <f>'بند3-12 تصنيف تاليف ترجمه كتاب'!N13</f>
        <v>0</v>
      </c>
      <c r="R596" s="399">
        <f>'بند3-12 تصنيف تاليف ترجمه كتاب'!O13</f>
        <v>0</v>
      </c>
      <c r="S596" s="399">
        <f>'بند3-12 تصنيف تاليف ترجمه كتاب'!P13</f>
        <v>0</v>
      </c>
      <c r="T596" s="2125">
        <f>'بند3-12 تصنيف تاليف ترجمه كتاب'!Q13</f>
        <v>0</v>
      </c>
      <c r="U596" s="2126"/>
      <c r="V596" s="2126"/>
      <c r="W596" s="2126"/>
      <c r="X596" s="2387">
        <f>'بند3-12 تصنيف تاليف ترجمه كتاب'!S13</f>
        <v>0</v>
      </c>
      <c r="Y596" s="2150"/>
    </row>
    <row r="597" spans="1:25" ht="30" customHeight="1">
      <c r="A597" s="388">
        <v>8</v>
      </c>
      <c r="B597" s="2346">
        <f>'بند3-12 تصنيف تاليف ترجمه كتاب'!B14</f>
        <v>0</v>
      </c>
      <c r="C597" s="2347"/>
      <c r="D597" s="2347"/>
      <c r="E597" s="2347"/>
      <c r="F597" s="2347"/>
      <c r="G597" s="2347"/>
      <c r="H597" s="2348"/>
      <c r="I597" s="2385">
        <f>'بند3-12 تصنيف تاليف ترجمه كتاب'!G14</f>
        <v>0</v>
      </c>
      <c r="J597" s="2386"/>
      <c r="K597" s="2379">
        <f>'بند3-12 تصنيف تاليف ترجمه كتاب'!H14</f>
        <v>0</v>
      </c>
      <c r="L597" s="2380"/>
      <c r="M597" s="2380"/>
      <c r="N597" s="2380"/>
      <c r="O597" s="2379">
        <f>'بند3-12 تصنيف تاليف ترجمه كتاب'!M14</f>
        <v>0</v>
      </c>
      <c r="P597" s="2380"/>
      <c r="Q597" s="399">
        <f>'بند3-12 تصنيف تاليف ترجمه كتاب'!N14</f>
        <v>0</v>
      </c>
      <c r="R597" s="399">
        <f>'بند3-12 تصنيف تاليف ترجمه كتاب'!O14</f>
        <v>0</v>
      </c>
      <c r="S597" s="399">
        <f>'بند3-12 تصنيف تاليف ترجمه كتاب'!P14</f>
        <v>0</v>
      </c>
      <c r="T597" s="2125">
        <f>'بند3-12 تصنيف تاليف ترجمه كتاب'!Q14</f>
        <v>0</v>
      </c>
      <c r="U597" s="2126"/>
      <c r="V597" s="2126"/>
      <c r="W597" s="2126"/>
      <c r="X597" s="2387">
        <f>'بند3-12 تصنيف تاليف ترجمه كتاب'!S14</f>
        <v>0</v>
      </c>
      <c r="Y597" s="2150"/>
    </row>
    <row r="598" spans="1:25" ht="30" customHeight="1">
      <c r="A598" s="388">
        <v>9</v>
      </c>
      <c r="B598" s="2346">
        <f>'بند3-12 تصنيف تاليف ترجمه كتاب'!B15</f>
        <v>0</v>
      </c>
      <c r="C598" s="2347"/>
      <c r="D598" s="2347"/>
      <c r="E598" s="2347"/>
      <c r="F598" s="2347"/>
      <c r="G598" s="2347"/>
      <c r="H598" s="2348"/>
      <c r="I598" s="2385">
        <f>'بند3-12 تصنيف تاليف ترجمه كتاب'!G15</f>
        <v>0</v>
      </c>
      <c r="J598" s="2386"/>
      <c r="K598" s="2379">
        <f>'بند3-12 تصنيف تاليف ترجمه كتاب'!H15</f>
        <v>0</v>
      </c>
      <c r="L598" s="2380"/>
      <c r="M598" s="2380"/>
      <c r="N598" s="2380"/>
      <c r="O598" s="2379">
        <f>'بند3-12 تصنيف تاليف ترجمه كتاب'!M15</f>
        <v>0</v>
      </c>
      <c r="P598" s="2380"/>
      <c r="Q598" s="399">
        <f>'بند3-12 تصنيف تاليف ترجمه كتاب'!N15</f>
        <v>0</v>
      </c>
      <c r="R598" s="399">
        <f>'بند3-12 تصنيف تاليف ترجمه كتاب'!O15</f>
        <v>0</v>
      </c>
      <c r="S598" s="399">
        <f>'بند3-12 تصنيف تاليف ترجمه كتاب'!P15</f>
        <v>0</v>
      </c>
      <c r="T598" s="2125">
        <f>'بند3-12 تصنيف تاليف ترجمه كتاب'!Q15</f>
        <v>0</v>
      </c>
      <c r="U598" s="2126"/>
      <c r="V598" s="2126"/>
      <c r="W598" s="2126"/>
      <c r="X598" s="2387">
        <f>'بند3-12 تصنيف تاليف ترجمه كتاب'!S15</f>
        <v>0</v>
      </c>
      <c r="Y598" s="2150"/>
    </row>
    <row r="599" spans="1:25" ht="30" customHeight="1">
      <c r="A599" s="388">
        <v>10</v>
      </c>
      <c r="B599" s="2346">
        <f>'بند3-12 تصنيف تاليف ترجمه كتاب'!B16</f>
        <v>0</v>
      </c>
      <c r="C599" s="2347"/>
      <c r="D599" s="2347"/>
      <c r="E599" s="2347"/>
      <c r="F599" s="2347"/>
      <c r="G599" s="2347"/>
      <c r="H599" s="2348"/>
      <c r="I599" s="2385">
        <f>'بند3-12 تصنيف تاليف ترجمه كتاب'!G16</f>
        <v>0</v>
      </c>
      <c r="J599" s="2386"/>
      <c r="K599" s="2379">
        <f>'بند3-12 تصنيف تاليف ترجمه كتاب'!H16</f>
        <v>0</v>
      </c>
      <c r="L599" s="2380"/>
      <c r="M599" s="2380"/>
      <c r="N599" s="2380"/>
      <c r="O599" s="2379">
        <f>'بند3-12 تصنيف تاليف ترجمه كتاب'!M16</f>
        <v>0</v>
      </c>
      <c r="P599" s="2380"/>
      <c r="Q599" s="399">
        <f>'بند3-12 تصنيف تاليف ترجمه كتاب'!N16</f>
        <v>0</v>
      </c>
      <c r="R599" s="399">
        <f>'بند3-12 تصنيف تاليف ترجمه كتاب'!O16</f>
        <v>0</v>
      </c>
      <c r="S599" s="399">
        <f>'بند3-12 تصنيف تاليف ترجمه كتاب'!P16</f>
        <v>0</v>
      </c>
      <c r="T599" s="2125">
        <f>'بند3-12 تصنيف تاليف ترجمه كتاب'!Q16</f>
        <v>0</v>
      </c>
      <c r="U599" s="2126"/>
      <c r="V599" s="2126"/>
      <c r="W599" s="2126"/>
      <c r="X599" s="2387">
        <f>'بند3-12 تصنيف تاليف ترجمه كتاب'!S16</f>
        <v>0</v>
      </c>
      <c r="Y599" s="2150"/>
    </row>
    <row r="600" spans="1:25" ht="30" customHeight="1">
      <c r="A600" s="388">
        <v>11</v>
      </c>
      <c r="B600" s="2346">
        <f>'بند3-12 تصنيف تاليف ترجمه كتاب'!B17</f>
        <v>0</v>
      </c>
      <c r="C600" s="2347"/>
      <c r="D600" s="2347"/>
      <c r="E600" s="2347"/>
      <c r="F600" s="2347"/>
      <c r="G600" s="2347"/>
      <c r="H600" s="2348"/>
      <c r="I600" s="2385">
        <f>'بند3-12 تصنيف تاليف ترجمه كتاب'!G17</f>
        <v>0</v>
      </c>
      <c r="J600" s="2386"/>
      <c r="K600" s="2379">
        <f>'بند3-12 تصنيف تاليف ترجمه كتاب'!H17</f>
        <v>0</v>
      </c>
      <c r="L600" s="2380"/>
      <c r="M600" s="2380"/>
      <c r="N600" s="2380"/>
      <c r="O600" s="2379">
        <f>'بند3-12 تصنيف تاليف ترجمه كتاب'!M17</f>
        <v>0</v>
      </c>
      <c r="P600" s="2380"/>
      <c r="Q600" s="399">
        <f>'بند3-12 تصنيف تاليف ترجمه كتاب'!N17</f>
        <v>0</v>
      </c>
      <c r="R600" s="399">
        <f>'بند3-12 تصنيف تاليف ترجمه كتاب'!O17</f>
        <v>0</v>
      </c>
      <c r="S600" s="399">
        <f>'بند3-12 تصنيف تاليف ترجمه كتاب'!P17</f>
        <v>0</v>
      </c>
      <c r="T600" s="2125">
        <f>'بند3-12 تصنيف تاليف ترجمه كتاب'!Q17</f>
        <v>0</v>
      </c>
      <c r="U600" s="2126"/>
      <c r="V600" s="2126"/>
      <c r="W600" s="2126"/>
      <c r="X600" s="2387">
        <f>'بند3-12 تصنيف تاليف ترجمه كتاب'!S17</f>
        <v>0</v>
      </c>
      <c r="Y600" s="2150"/>
    </row>
    <row r="601" spans="1:25" ht="30" customHeight="1">
      <c r="A601" s="388">
        <v>12</v>
      </c>
      <c r="B601" s="2346">
        <f>'بند3-12 تصنيف تاليف ترجمه كتاب'!B18</f>
        <v>0</v>
      </c>
      <c r="C601" s="2347"/>
      <c r="D601" s="2347"/>
      <c r="E601" s="2347"/>
      <c r="F601" s="2347"/>
      <c r="G601" s="2347"/>
      <c r="H601" s="2348"/>
      <c r="I601" s="2385">
        <f>'بند3-12 تصنيف تاليف ترجمه كتاب'!G18</f>
        <v>0</v>
      </c>
      <c r="J601" s="2386"/>
      <c r="K601" s="2379">
        <f>'بند3-12 تصنيف تاليف ترجمه كتاب'!H18</f>
        <v>0</v>
      </c>
      <c r="L601" s="2380"/>
      <c r="M601" s="2380"/>
      <c r="N601" s="2380"/>
      <c r="O601" s="2379">
        <f>'بند3-12 تصنيف تاليف ترجمه كتاب'!M18</f>
        <v>0</v>
      </c>
      <c r="P601" s="2380"/>
      <c r="Q601" s="399">
        <f>'بند3-12 تصنيف تاليف ترجمه كتاب'!N18</f>
        <v>0</v>
      </c>
      <c r="R601" s="399">
        <f>'بند3-12 تصنيف تاليف ترجمه كتاب'!O18</f>
        <v>0</v>
      </c>
      <c r="S601" s="399">
        <f>'بند3-12 تصنيف تاليف ترجمه كتاب'!P18</f>
        <v>0</v>
      </c>
      <c r="T601" s="2125">
        <f>'بند3-12 تصنيف تاليف ترجمه كتاب'!Q18</f>
        <v>0</v>
      </c>
      <c r="U601" s="2126"/>
      <c r="V601" s="2126"/>
      <c r="W601" s="2126"/>
      <c r="X601" s="2387">
        <f>'بند3-12 تصنيف تاليف ترجمه كتاب'!S18</f>
        <v>0</v>
      </c>
      <c r="Y601" s="2150"/>
    </row>
    <row r="602" spans="1:25" ht="30" customHeight="1">
      <c r="A602" s="388">
        <v>13</v>
      </c>
      <c r="B602" s="2346">
        <f>'بند3-12 تصنيف تاليف ترجمه كتاب'!B19</f>
        <v>0</v>
      </c>
      <c r="C602" s="2347"/>
      <c r="D602" s="2347"/>
      <c r="E602" s="2347"/>
      <c r="F602" s="2347"/>
      <c r="G602" s="2347"/>
      <c r="H602" s="2348"/>
      <c r="I602" s="2385">
        <f>'بند3-12 تصنيف تاليف ترجمه كتاب'!G19</f>
        <v>0</v>
      </c>
      <c r="J602" s="2386"/>
      <c r="K602" s="2379">
        <f>'بند3-12 تصنيف تاليف ترجمه كتاب'!H19</f>
        <v>0</v>
      </c>
      <c r="L602" s="2380"/>
      <c r="M602" s="2380"/>
      <c r="N602" s="2380"/>
      <c r="O602" s="2379">
        <f>'بند3-12 تصنيف تاليف ترجمه كتاب'!M19</f>
        <v>0</v>
      </c>
      <c r="P602" s="2380"/>
      <c r="Q602" s="399">
        <f>'بند3-12 تصنيف تاليف ترجمه كتاب'!N19</f>
        <v>0</v>
      </c>
      <c r="R602" s="399">
        <f>'بند3-12 تصنيف تاليف ترجمه كتاب'!O19</f>
        <v>0</v>
      </c>
      <c r="S602" s="399">
        <f>'بند3-12 تصنيف تاليف ترجمه كتاب'!P19</f>
        <v>0</v>
      </c>
      <c r="T602" s="2125">
        <f>'بند3-12 تصنيف تاليف ترجمه كتاب'!Q19</f>
        <v>0</v>
      </c>
      <c r="U602" s="2126"/>
      <c r="V602" s="2126"/>
      <c r="W602" s="2126"/>
      <c r="X602" s="2387">
        <f>'بند3-12 تصنيف تاليف ترجمه كتاب'!S19</f>
        <v>0</v>
      </c>
      <c r="Y602" s="2150"/>
    </row>
    <row r="603" spans="1:25" ht="30" customHeight="1">
      <c r="A603" s="388">
        <v>14</v>
      </c>
      <c r="B603" s="2346">
        <f>'بند3-12 تصنيف تاليف ترجمه كتاب'!B20</f>
        <v>0</v>
      </c>
      <c r="C603" s="2347"/>
      <c r="D603" s="2347"/>
      <c r="E603" s="2347"/>
      <c r="F603" s="2347"/>
      <c r="G603" s="2347"/>
      <c r="H603" s="2348"/>
      <c r="I603" s="2385">
        <f>'بند3-12 تصنيف تاليف ترجمه كتاب'!G20</f>
        <v>0</v>
      </c>
      <c r="J603" s="2386"/>
      <c r="K603" s="2379">
        <f>'بند3-12 تصنيف تاليف ترجمه كتاب'!H20</f>
        <v>0</v>
      </c>
      <c r="L603" s="2380"/>
      <c r="M603" s="2380"/>
      <c r="N603" s="2380"/>
      <c r="O603" s="2379">
        <f>'بند3-12 تصنيف تاليف ترجمه كتاب'!M20</f>
        <v>0</v>
      </c>
      <c r="P603" s="2380"/>
      <c r="Q603" s="399">
        <f>'بند3-12 تصنيف تاليف ترجمه كتاب'!N20</f>
        <v>0</v>
      </c>
      <c r="R603" s="399">
        <f>'بند3-12 تصنيف تاليف ترجمه كتاب'!O20</f>
        <v>0</v>
      </c>
      <c r="S603" s="399">
        <f>'بند3-12 تصنيف تاليف ترجمه كتاب'!P20</f>
        <v>0</v>
      </c>
      <c r="T603" s="2125">
        <f>'بند3-12 تصنيف تاليف ترجمه كتاب'!Q20</f>
        <v>0</v>
      </c>
      <c r="U603" s="2126"/>
      <c r="V603" s="2126"/>
      <c r="W603" s="2126"/>
      <c r="X603" s="2387">
        <f>'بند3-12 تصنيف تاليف ترجمه كتاب'!S20</f>
        <v>0</v>
      </c>
      <c r="Y603" s="2150"/>
    </row>
    <row r="604" spans="1:25" ht="30" customHeight="1">
      <c r="A604" s="388">
        <v>15</v>
      </c>
      <c r="B604" s="2346">
        <f>'بند3-12 تصنيف تاليف ترجمه كتاب'!B21</f>
        <v>0</v>
      </c>
      <c r="C604" s="2347"/>
      <c r="D604" s="2347"/>
      <c r="E604" s="2347"/>
      <c r="F604" s="2347"/>
      <c r="G604" s="2347"/>
      <c r="H604" s="2348"/>
      <c r="I604" s="2385">
        <f>'بند3-12 تصنيف تاليف ترجمه كتاب'!G21</f>
        <v>0</v>
      </c>
      <c r="J604" s="2386"/>
      <c r="K604" s="2379">
        <f>'بند3-12 تصنيف تاليف ترجمه كتاب'!H21</f>
        <v>0</v>
      </c>
      <c r="L604" s="2380"/>
      <c r="M604" s="2380"/>
      <c r="N604" s="2380"/>
      <c r="O604" s="2379">
        <f>'بند3-12 تصنيف تاليف ترجمه كتاب'!M21</f>
        <v>0</v>
      </c>
      <c r="P604" s="2380"/>
      <c r="Q604" s="399">
        <f>'بند3-12 تصنيف تاليف ترجمه كتاب'!N21</f>
        <v>0</v>
      </c>
      <c r="R604" s="399">
        <f>'بند3-12 تصنيف تاليف ترجمه كتاب'!O21</f>
        <v>0</v>
      </c>
      <c r="S604" s="399">
        <f>'بند3-12 تصنيف تاليف ترجمه كتاب'!P21</f>
        <v>0</v>
      </c>
      <c r="T604" s="2125">
        <f>'بند3-12 تصنيف تاليف ترجمه كتاب'!Q21</f>
        <v>0</v>
      </c>
      <c r="U604" s="2126"/>
      <c r="V604" s="2126"/>
      <c r="W604" s="2126"/>
      <c r="X604" s="2387">
        <f>'بند3-12 تصنيف تاليف ترجمه كتاب'!S21</f>
        <v>0</v>
      </c>
      <c r="Y604" s="2150"/>
    </row>
    <row r="605" spans="1:25" ht="30" customHeight="1">
      <c r="A605" s="388">
        <v>16</v>
      </c>
      <c r="B605" s="2346">
        <f>'بند3-12 تصنيف تاليف ترجمه كتاب'!B22</f>
        <v>0</v>
      </c>
      <c r="C605" s="2347"/>
      <c r="D605" s="2347"/>
      <c r="E605" s="2347"/>
      <c r="F605" s="2347"/>
      <c r="G605" s="2347"/>
      <c r="H605" s="2348"/>
      <c r="I605" s="2385">
        <f>'بند3-12 تصنيف تاليف ترجمه كتاب'!G22</f>
        <v>0</v>
      </c>
      <c r="J605" s="2386"/>
      <c r="K605" s="2379">
        <f>'بند3-12 تصنيف تاليف ترجمه كتاب'!H22</f>
        <v>0</v>
      </c>
      <c r="L605" s="2380"/>
      <c r="M605" s="2380"/>
      <c r="N605" s="2380"/>
      <c r="O605" s="2379">
        <f>'بند3-12 تصنيف تاليف ترجمه كتاب'!M22</f>
        <v>0</v>
      </c>
      <c r="P605" s="2380"/>
      <c r="Q605" s="399">
        <f>'بند3-12 تصنيف تاليف ترجمه كتاب'!N22</f>
        <v>0</v>
      </c>
      <c r="R605" s="399">
        <f>'بند3-12 تصنيف تاليف ترجمه كتاب'!O22</f>
        <v>0</v>
      </c>
      <c r="S605" s="399">
        <f>'بند3-12 تصنيف تاليف ترجمه كتاب'!P22</f>
        <v>0</v>
      </c>
      <c r="T605" s="2125">
        <f>'بند3-12 تصنيف تاليف ترجمه كتاب'!Q22</f>
        <v>0</v>
      </c>
      <c r="U605" s="2126"/>
      <c r="V605" s="2126"/>
      <c r="W605" s="2126"/>
      <c r="X605" s="2387">
        <f>'بند3-12 تصنيف تاليف ترجمه كتاب'!S22</f>
        <v>0</v>
      </c>
      <c r="Y605" s="2150"/>
    </row>
    <row r="606" spans="1:25" ht="30" customHeight="1">
      <c r="A606" s="389">
        <v>17</v>
      </c>
      <c r="B606" s="2346">
        <f>'بند3-12 تصنيف تاليف ترجمه كتاب'!B23</f>
        <v>0</v>
      </c>
      <c r="C606" s="2347"/>
      <c r="D606" s="2347"/>
      <c r="E606" s="2347"/>
      <c r="F606" s="2347"/>
      <c r="G606" s="2347"/>
      <c r="H606" s="2348"/>
      <c r="I606" s="2385">
        <f>'بند3-12 تصنيف تاليف ترجمه كتاب'!G23</f>
        <v>0</v>
      </c>
      <c r="J606" s="2386"/>
      <c r="K606" s="2379">
        <f>'بند3-12 تصنيف تاليف ترجمه كتاب'!H23</f>
        <v>0</v>
      </c>
      <c r="L606" s="2380"/>
      <c r="M606" s="2380"/>
      <c r="N606" s="2380"/>
      <c r="O606" s="2379">
        <f>'بند3-12 تصنيف تاليف ترجمه كتاب'!M23</f>
        <v>0</v>
      </c>
      <c r="P606" s="2380"/>
      <c r="Q606" s="399">
        <f>'بند3-12 تصنيف تاليف ترجمه كتاب'!N23</f>
        <v>0</v>
      </c>
      <c r="R606" s="399">
        <f>'بند3-12 تصنيف تاليف ترجمه كتاب'!O23</f>
        <v>0</v>
      </c>
      <c r="S606" s="399">
        <f>'بند3-12 تصنيف تاليف ترجمه كتاب'!P23</f>
        <v>0</v>
      </c>
      <c r="T606" s="2125">
        <f>'بند3-12 تصنيف تاليف ترجمه كتاب'!Q23</f>
        <v>0</v>
      </c>
      <c r="U606" s="2126"/>
      <c r="V606" s="2126"/>
      <c r="W606" s="2126"/>
      <c r="X606" s="2387">
        <f>'بند3-12 تصنيف تاليف ترجمه كتاب'!S23</f>
        <v>0</v>
      </c>
      <c r="Y606" s="2150"/>
    </row>
    <row r="607" spans="1:25" ht="30" customHeight="1">
      <c r="A607" s="389">
        <v>18</v>
      </c>
      <c r="B607" s="2346">
        <f>'بند3-12 تصنيف تاليف ترجمه كتاب'!B24</f>
        <v>0</v>
      </c>
      <c r="C607" s="2347"/>
      <c r="D607" s="2347"/>
      <c r="E607" s="2347"/>
      <c r="F607" s="2347"/>
      <c r="G607" s="2347"/>
      <c r="H607" s="2348"/>
      <c r="I607" s="2385">
        <f>'بند3-12 تصنيف تاليف ترجمه كتاب'!G24</f>
        <v>0</v>
      </c>
      <c r="J607" s="2386"/>
      <c r="K607" s="2379">
        <f>'بند3-12 تصنيف تاليف ترجمه كتاب'!H24</f>
        <v>0</v>
      </c>
      <c r="L607" s="2380"/>
      <c r="M607" s="2380"/>
      <c r="N607" s="2380"/>
      <c r="O607" s="2379">
        <f>'بند3-12 تصنيف تاليف ترجمه كتاب'!M24</f>
        <v>0</v>
      </c>
      <c r="P607" s="2380"/>
      <c r="Q607" s="399">
        <f>'بند3-12 تصنيف تاليف ترجمه كتاب'!N24</f>
        <v>0</v>
      </c>
      <c r="R607" s="399">
        <f>'بند3-12 تصنيف تاليف ترجمه كتاب'!O24</f>
        <v>0</v>
      </c>
      <c r="S607" s="399">
        <f>'بند3-12 تصنيف تاليف ترجمه كتاب'!P24</f>
        <v>0</v>
      </c>
      <c r="T607" s="2125">
        <f>'بند3-12 تصنيف تاليف ترجمه كتاب'!Q24</f>
        <v>0</v>
      </c>
      <c r="U607" s="2126"/>
      <c r="V607" s="2126"/>
      <c r="W607" s="2126"/>
      <c r="X607" s="2387">
        <f>'بند3-12 تصنيف تاليف ترجمه كتاب'!S24</f>
        <v>0</v>
      </c>
      <c r="Y607" s="2150"/>
    </row>
    <row r="608" spans="1:25" ht="30" customHeight="1">
      <c r="A608" s="388">
        <v>19</v>
      </c>
      <c r="B608" s="2346">
        <f>'بند3-12 تصنيف تاليف ترجمه كتاب'!B25</f>
        <v>0</v>
      </c>
      <c r="C608" s="2347"/>
      <c r="D608" s="2347"/>
      <c r="E608" s="2347"/>
      <c r="F608" s="2347"/>
      <c r="G608" s="2347"/>
      <c r="H608" s="2348"/>
      <c r="I608" s="2385">
        <f>'بند3-12 تصنيف تاليف ترجمه كتاب'!G25</f>
        <v>0</v>
      </c>
      <c r="J608" s="2386"/>
      <c r="K608" s="2379">
        <f>'بند3-12 تصنيف تاليف ترجمه كتاب'!H25</f>
        <v>0</v>
      </c>
      <c r="L608" s="2380"/>
      <c r="M608" s="2380"/>
      <c r="N608" s="2380"/>
      <c r="O608" s="2379">
        <f>'بند3-12 تصنيف تاليف ترجمه كتاب'!M25</f>
        <v>0</v>
      </c>
      <c r="P608" s="2380"/>
      <c r="Q608" s="399">
        <f>'بند3-12 تصنيف تاليف ترجمه كتاب'!N25</f>
        <v>0</v>
      </c>
      <c r="R608" s="399">
        <f>'بند3-12 تصنيف تاليف ترجمه كتاب'!O25</f>
        <v>0</v>
      </c>
      <c r="S608" s="399">
        <f>'بند3-12 تصنيف تاليف ترجمه كتاب'!P25</f>
        <v>0</v>
      </c>
      <c r="T608" s="2125">
        <f>'بند3-12 تصنيف تاليف ترجمه كتاب'!Q25</f>
        <v>0</v>
      </c>
      <c r="U608" s="2126"/>
      <c r="V608" s="2126"/>
      <c r="W608" s="2126"/>
      <c r="X608" s="2387">
        <f>'بند3-12 تصنيف تاليف ترجمه كتاب'!S25</f>
        <v>0</v>
      </c>
      <c r="Y608" s="2150"/>
    </row>
    <row r="609" spans="1:25" ht="30" customHeight="1" thickBot="1">
      <c r="A609" s="390">
        <v>20</v>
      </c>
      <c r="B609" s="2393">
        <f>'بند3-12 تصنيف تاليف ترجمه كتاب'!B26</f>
        <v>0</v>
      </c>
      <c r="C609" s="2394"/>
      <c r="D609" s="2394"/>
      <c r="E609" s="2394"/>
      <c r="F609" s="2394"/>
      <c r="G609" s="2394"/>
      <c r="H609" s="2395"/>
      <c r="I609" s="2396">
        <f>'بند3-12 تصنيف تاليف ترجمه كتاب'!G26</f>
        <v>0</v>
      </c>
      <c r="J609" s="2397"/>
      <c r="K609" s="2398">
        <f>'بند3-12 تصنيف تاليف ترجمه كتاب'!H26</f>
        <v>0</v>
      </c>
      <c r="L609" s="2399"/>
      <c r="M609" s="2399"/>
      <c r="N609" s="2399"/>
      <c r="O609" s="2398">
        <f>'بند3-12 تصنيف تاليف ترجمه كتاب'!M26</f>
        <v>0</v>
      </c>
      <c r="P609" s="2399"/>
      <c r="Q609" s="400">
        <f>'بند3-12 تصنيف تاليف ترجمه كتاب'!N26</f>
        <v>0</v>
      </c>
      <c r="R609" s="400">
        <f>'بند3-12 تصنيف تاليف ترجمه كتاب'!O26</f>
        <v>0</v>
      </c>
      <c r="S609" s="400">
        <f>'بند3-12 تصنيف تاليف ترجمه كتاب'!P26</f>
        <v>0</v>
      </c>
      <c r="T609" s="2388">
        <f>'بند3-12 تصنيف تاليف ترجمه كتاب'!Q26</f>
        <v>0</v>
      </c>
      <c r="U609" s="2389"/>
      <c r="V609" s="2389"/>
      <c r="W609" s="2389"/>
      <c r="X609" s="2400">
        <f>'بند3-12 تصنيف تاليف ترجمه كتاب'!S26</f>
        <v>0</v>
      </c>
      <c r="Y609" s="2401"/>
    </row>
    <row r="610" spans="1:25" ht="30" customHeight="1" thickBot="1">
      <c r="A610" s="2130" t="s">
        <v>807</v>
      </c>
      <c r="B610" s="2131"/>
      <c r="C610" s="2131"/>
      <c r="D610" s="2131"/>
      <c r="E610" s="2131"/>
      <c r="F610" s="2131"/>
      <c r="G610" s="2131"/>
      <c r="H610" s="2131"/>
      <c r="I610" s="2131"/>
      <c r="J610" s="2131"/>
      <c r="K610" s="2131"/>
      <c r="L610" s="2131"/>
      <c r="M610" s="2131"/>
      <c r="N610" s="2131"/>
      <c r="O610" s="2131"/>
      <c r="P610" s="2131"/>
      <c r="Q610" s="2131"/>
      <c r="R610" s="2131"/>
      <c r="S610" s="2131"/>
      <c r="T610" s="2131"/>
      <c r="U610" s="2131"/>
      <c r="V610" s="2131"/>
      <c r="W610" s="2131"/>
      <c r="X610" s="2151">
        <f>'بند3-12 تصنيف تاليف ترجمه كتاب'!S29</f>
        <v>0</v>
      </c>
      <c r="Y610" s="2152"/>
    </row>
    <row r="611" spans="1:25" ht="30" customHeight="1" thickBot="1">
      <c r="A611" s="2337" t="s">
        <v>820</v>
      </c>
      <c r="B611" s="2337"/>
      <c r="C611" s="2337"/>
      <c r="D611" s="2337"/>
      <c r="E611" s="2337"/>
      <c r="F611" s="2337"/>
      <c r="G611" s="2337"/>
      <c r="H611" s="2337"/>
      <c r="I611" s="2337"/>
      <c r="J611" s="2337"/>
      <c r="K611" s="2337"/>
      <c r="L611" s="2337"/>
      <c r="M611" s="2337"/>
      <c r="N611" s="2337"/>
      <c r="O611" s="2337"/>
      <c r="P611" s="2337"/>
      <c r="Q611" s="2337"/>
      <c r="R611" s="2337"/>
      <c r="S611" s="2337"/>
      <c r="T611" s="2337"/>
      <c r="U611" s="2337"/>
      <c r="V611" s="2337"/>
      <c r="W611" s="2337"/>
      <c r="X611" s="2337"/>
      <c r="Y611" s="2337"/>
    </row>
    <row r="612" spans="1:25" ht="30" customHeight="1" thickBot="1">
      <c r="A612" s="355" t="s">
        <v>9</v>
      </c>
      <c r="B612" s="2127" t="s">
        <v>495</v>
      </c>
      <c r="C612" s="2128"/>
      <c r="D612" s="2128"/>
      <c r="E612" s="2128"/>
      <c r="F612" s="2128"/>
      <c r="G612" s="2128"/>
      <c r="H612" s="2128"/>
      <c r="I612" s="2245" t="s">
        <v>330</v>
      </c>
      <c r="J612" s="2245"/>
      <c r="K612" s="2245"/>
      <c r="L612" s="2246" t="s">
        <v>775</v>
      </c>
      <c r="M612" s="2247"/>
      <c r="N612" s="2247"/>
      <c r="O612" s="2247"/>
      <c r="P612" s="2247"/>
      <c r="Q612" s="2248"/>
      <c r="R612" s="2127" t="s">
        <v>776</v>
      </c>
      <c r="S612" s="2128"/>
      <c r="T612" s="2128"/>
      <c r="U612" s="2128"/>
      <c r="V612" s="2128"/>
      <c r="W612" s="2129"/>
      <c r="X612" s="2117" t="s">
        <v>13</v>
      </c>
      <c r="Y612" s="2118"/>
    </row>
    <row r="613" spans="1:25" ht="30" customHeight="1">
      <c r="A613" s="393">
        <v>1</v>
      </c>
      <c r="B613" s="2402">
        <f>'بند 3-14 کرسی های نظریه پردازی'!B6</f>
        <v>0</v>
      </c>
      <c r="C613" s="2403"/>
      <c r="D613" s="2403"/>
      <c r="E613" s="2403"/>
      <c r="F613" s="2403"/>
      <c r="G613" s="2403"/>
      <c r="H613" s="2403"/>
      <c r="I613" s="2404">
        <f>'بند 3-14 کرسی های نظریه پردازی'!G6</f>
        <v>0</v>
      </c>
      <c r="J613" s="2405"/>
      <c r="K613" s="2405"/>
      <c r="L613" s="2406">
        <f>'بند 3-14 کرسی های نظریه پردازی'!J6</f>
        <v>0</v>
      </c>
      <c r="M613" s="2407"/>
      <c r="N613" s="2407"/>
      <c r="O613" s="2407"/>
      <c r="P613" s="2407"/>
      <c r="Q613" s="2408"/>
      <c r="R613" s="2390">
        <f>'بند 3-14 کرسی های نظریه پردازی'!M6</f>
        <v>0</v>
      </c>
      <c r="S613" s="2391"/>
      <c r="T613" s="2391"/>
      <c r="U613" s="2391"/>
      <c r="V613" s="2391"/>
      <c r="W613" s="2392"/>
      <c r="X613" s="2409">
        <f>'بند 3-14 کرسی های نظریه پردازی'!R6</f>
        <v>0</v>
      </c>
      <c r="Y613" s="2410"/>
    </row>
    <row r="614" spans="1:25" ht="30" customHeight="1">
      <c r="A614" s="389">
        <v>2</v>
      </c>
      <c r="B614" s="2119">
        <f>'بند 3-14 کرسی های نظریه پردازی'!B7</f>
        <v>0</v>
      </c>
      <c r="C614" s="2120"/>
      <c r="D614" s="2120"/>
      <c r="E614" s="2120"/>
      <c r="F614" s="2120"/>
      <c r="G614" s="2120"/>
      <c r="H614" s="2120"/>
      <c r="I614" s="2107">
        <f>'بند 3-14 کرسی های نظریه پردازی'!G7</f>
        <v>0</v>
      </c>
      <c r="J614" s="2110"/>
      <c r="K614" s="2110"/>
      <c r="L614" s="2107">
        <f>'بند 3-14 کرسی های نظریه پردازی'!J7</f>
        <v>0</v>
      </c>
      <c r="M614" s="2110"/>
      <c r="N614" s="2110"/>
      <c r="O614" s="2110"/>
      <c r="P614" s="2110"/>
      <c r="Q614" s="2110"/>
      <c r="R614" s="2125">
        <f>'بند 3-14 کرسی های نظریه پردازی'!M7</f>
        <v>0</v>
      </c>
      <c r="S614" s="2126"/>
      <c r="T614" s="2126"/>
      <c r="U614" s="2126"/>
      <c r="V614" s="2126"/>
      <c r="W614" s="2126"/>
      <c r="X614" s="2121">
        <f>'بند 3-14 کرسی های نظریه پردازی'!R7</f>
        <v>0</v>
      </c>
      <c r="Y614" s="2122"/>
    </row>
    <row r="615" spans="1:25" ht="30" customHeight="1">
      <c r="A615" s="389">
        <v>3</v>
      </c>
      <c r="B615" s="2119">
        <f>'بند 3-14 کرسی های نظریه پردازی'!B8</f>
        <v>0</v>
      </c>
      <c r="C615" s="2120"/>
      <c r="D615" s="2120"/>
      <c r="E615" s="2120"/>
      <c r="F615" s="2120"/>
      <c r="G615" s="2120"/>
      <c r="H615" s="2120"/>
      <c r="I615" s="2107">
        <f>'بند 3-14 کرسی های نظریه پردازی'!G8</f>
        <v>0</v>
      </c>
      <c r="J615" s="2110"/>
      <c r="K615" s="2110"/>
      <c r="L615" s="2107">
        <f>'بند 3-14 کرسی های نظریه پردازی'!J8</f>
        <v>0</v>
      </c>
      <c r="M615" s="2110"/>
      <c r="N615" s="2110"/>
      <c r="O615" s="2110"/>
      <c r="P615" s="2110"/>
      <c r="Q615" s="2110"/>
      <c r="R615" s="2125">
        <f>'بند 3-14 کرسی های نظریه پردازی'!M8</f>
        <v>0</v>
      </c>
      <c r="S615" s="2126"/>
      <c r="T615" s="2126"/>
      <c r="U615" s="2126"/>
      <c r="V615" s="2126"/>
      <c r="W615" s="2126"/>
      <c r="X615" s="2121">
        <f>'بند 3-14 کرسی های نظریه پردازی'!R8</f>
        <v>0</v>
      </c>
      <c r="Y615" s="2122"/>
    </row>
    <row r="616" spans="1:25" ht="30" customHeight="1">
      <c r="A616" s="389">
        <v>4</v>
      </c>
      <c r="B616" s="2119">
        <f>'بند 3-14 کرسی های نظریه پردازی'!B9</f>
        <v>0</v>
      </c>
      <c r="C616" s="2120"/>
      <c r="D616" s="2120"/>
      <c r="E616" s="2120"/>
      <c r="F616" s="2120"/>
      <c r="G616" s="2120"/>
      <c r="H616" s="2120"/>
      <c r="I616" s="2107">
        <f>'بند 3-14 کرسی های نظریه پردازی'!G9</f>
        <v>0</v>
      </c>
      <c r="J616" s="2110"/>
      <c r="K616" s="2110"/>
      <c r="L616" s="2107">
        <f>'بند 3-14 کرسی های نظریه پردازی'!J9</f>
        <v>0</v>
      </c>
      <c r="M616" s="2110"/>
      <c r="N616" s="2110"/>
      <c r="O616" s="2110"/>
      <c r="P616" s="2110"/>
      <c r="Q616" s="2110"/>
      <c r="R616" s="2125">
        <f>'بند 3-14 کرسی های نظریه پردازی'!M9</f>
        <v>0</v>
      </c>
      <c r="S616" s="2126"/>
      <c r="T616" s="2126"/>
      <c r="U616" s="2126"/>
      <c r="V616" s="2126"/>
      <c r="W616" s="2126"/>
      <c r="X616" s="2121">
        <f>'بند 3-14 کرسی های نظریه پردازی'!R9</f>
        <v>0</v>
      </c>
      <c r="Y616" s="2122"/>
    </row>
    <row r="617" spans="1:25" ht="30" customHeight="1">
      <c r="A617" s="390">
        <v>5</v>
      </c>
      <c r="B617" s="2119">
        <f>'بند 3-14 کرسی های نظریه پردازی'!B10</f>
        <v>0</v>
      </c>
      <c r="C617" s="2120"/>
      <c r="D617" s="2120"/>
      <c r="E617" s="2120"/>
      <c r="F617" s="2120"/>
      <c r="G617" s="2120"/>
      <c r="H617" s="2120"/>
      <c r="I617" s="2107">
        <f>'بند 3-14 کرسی های نظریه پردازی'!G10</f>
        <v>0</v>
      </c>
      <c r="J617" s="2110"/>
      <c r="K617" s="2110"/>
      <c r="L617" s="2107">
        <f>'بند 3-14 کرسی های نظریه پردازی'!J10</f>
        <v>0</v>
      </c>
      <c r="M617" s="2110"/>
      <c r="N617" s="2110"/>
      <c r="O617" s="2110"/>
      <c r="P617" s="2110"/>
      <c r="Q617" s="2110"/>
      <c r="R617" s="2125">
        <f>'بند 3-14 کرسی های نظریه پردازی'!M10</f>
        <v>0</v>
      </c>
      <c r="S617" s="2126"/>
      <c r="T617" s="2126"/>
      <c r="U617" s="2126"/>
      <c r="V617" s="2126"/>
      <c r="W617" s="2126"/>
      <c r="X617" s="2121">
        <f>'بند 3-14 کرسی های نظریه پردازی'!R10</f>
        <v>0</v>
      </c>
      <c r="Y617" s="2122"/>
    </row>
    <row r="618" spans="1:25" ht="30" customHeight="1">
      <c r="A618" s="389">
        <v>6</v>
      </c>
      <c r="B618" s="2119">
        <f>'بند 3-14 کرسی های نظریه پردازی'!B11</f>
        <v>0</v>
      </c>
      <c r="C618" s="2120"/>
      <c r="D618" s="2120"/>
      <c r="E618" s="2120"/>
      <c r="F618" s="2120"/>
      <c r="G618" s="2120"/>
      <c r="H618" s="2120"/>
      <c r="I618" s="2107">
        <f>'بند 3-14 کرسی های نظریه پردازی'!G11</f>
        <v>0</v>
      </c>
      <c r="J618" s="2110"/>
      <c r="K618" s="2110"/>
      <c r="L618" s="2107">
        <f>'بند 3-14 کرسی های نظریه پردازی'!J11</f>
        <v>0</v>
      </c>
      <c r="M618" s="2110"/>
      <c r="N618" s="2110"/>
      <c r="O618" s="2110"/>
      <c r="P618" s="2110"/>
      <c r="Q618" s="2110"/>
      <c r="R618" s="2125">
        <f>'بند 3-14 کرسی های نظریه پردازی'!M11</f>
        <v>0</v>
      </c>
      <c r="S618" s="2126"/>
      <c r="T618" s="2126"/>
      <c r="U618" s="2126"/>
      <c r="V618" s="2126"/>
      <c r="W618" s="2126"/>
      <c r="X618" s="2121">
        <f>'بند 3-14 کرسی های نظریه پردازی'!R11</f>
        <v>0</v>
      </c>
      <c r="Y618" s="2122"/>
    </row>
    <row r="619" spans="1:25" ht="30" customHeight="1">
      <c r="A619" s="389">
        <v>7</v>
      </c>
      <c r="B619" s="2119">
        <f>'بند 3-14 کرسی های نظریه پردازی'!B12</f>
        <v>0</v>
      </c>
      <c r="C619" s="2120"/>
      <c r="D619" s="2120"/>
      <c r="E619" s="2120"/>
      <c r="F619" s="2120"/>
      <c r="G619" s="2120"/>
      <c r="H619" s="2120"/>
      <c r="I619" s="2107">
        <f>'بند 3-14 کرسی های نظریه پردازی'!G12</f>
        <v>0</v>
      </c>
      <c r="J619" s="2110"/>
      <c r="K619" s="2110"/>
      <c r="L619" s="2107">
        <f>'بند 3-14 کرسی های نظریه پردازی'!J12</f>
        <v>0</v>
      </c>
      <c r="M619" s="2110"/>
      <c r="N619" s="2110"/>
      <c r="O619" s="2110"/>
      <c r="P619" s="2110"/>
      <c r="Q619" s="2110"/>
      <c r="R619" s="2125">
        <f>'بند 3-14 کرسی های نظریه پردازی'!M12</f>
        <v>0</v>
      </c>
      <c r="S619" s="2126"/>
      <c r="T619" s="2126"/>
      <c r="U619" s="2126"/>
      <c r="V619" s="2126"/>
      <c r="W619" s="2126"/>
      <c r="X619" s="2121">
        <f>'بند 3-14 کرسی های نظریه پردازی'!R12</f>
        <v>0</v>
      </c>
      <c r="Y619" s="2122"/>
    </row>
    <row r="620" spans="1:25" ht="30" customHeight="1">
      <c r="A620" s="390">
        <v>8</v>
      </c>
      <c r="B620" s="2119">
        <f>'بند 3-14 کرسی های نظریه پردازی'!B13</f>
        <v>0</v>
      </c>
      <c r="C620" s="2120"/>
      <c r="D620" s="2120"/>
      <c r="E620" s="2120"/>
      <c r="F620" s="2120"/>
      <c r="G620" s="2120"/>
      <c r="H620" s="2120"/>
      <c r="I620" s="2107">
        <f>'بند 3-14 کرسی های نظریه پردازی'!G13</f>
        <v>0</v>
      </c>
      <c r="J620" s="2110"/>
      <c r="K620" s="2110"/>
      <c r="L620" s="2107">
        <f>'بند 3-14 کرسی های نظریه پردازی'!J13</f>
        <v>0</v>
      </c>
      <c r="M620" s="2110"/>
      <c r="N620" s="2110"/>
      <c r="O620" s="2110"/>
      <c r="P620" s="2110"/>
      <c r="Q620" s="2110"/>
      <c r="R620" s="2125">
        <f>'بند 3-14 کرسی های نظریه پردازی'!M13</f>
        <v>0</v>
      </c>
      <c r="S620" s="2126"/>
      <c r="T620" s="2126"/>
      <c r="U620" s="2126"/>
      <c r="V620" s="2126"/>
      <c r="W620" s="2126"/>
      <c r="X620" s="2121">
        <f>'بند 3-14 کرسی های نظریه پردازی'!R13</f>
        <v>0</v>
      </c>
      <c r="Y620" s="2122"/>
    </row>
    <row r="621" spans="1:25" ht="30" customHeight="1">
      <c r="A621" s="389">
        <v>9</v>
      </c>
      <c r="B621" s="2119">
        <f>'بند 3-14 کرسی های نظریه پردازی'!B14</f>
        <v>0</v>
      </c>
      <c r="C621" s="2120"/>
      <c r="D621" s="2120"/>
      <c r="E621" s="2120"/>
      <c r="F621" s="2120"/>
      <c r="G621" s="2120"/>
      <c r="H621" s="2120"/>
      <c r="I621" s="2107">
        <f>'بند 3-14 کرسی های نظریه پردازی'!G14</f>
        <v>0</v>
      </c>
      <c r="J621" s="2110"/>
      <c r="K621" s="2110"/>
      <c r="L621" s="2107">
        <f>'بند 3-14 کرسی های نظریه پردازی'!J14</f>
        <v>0</v>
      </c>
      <c r="M621" s="2110"/>
      <c r="N621" s="2110"/>
      <c r="O621" s="2110"/>
      <c r="P621" s="2110"/>
      <c r="Q621" s="2110"/>
      <c r="R621" s="2125">
        <f>'بند 3-14 کرسی های نظریه پردازی'!M14</f>
        <v>0</v>
      </c>
      <c r="S621" s="2126"/>
      <c r="T621" s="2126"/>
      <c r="U621" s="2126"/>
      <c r="V621" s="2126"/>
      <c r="W621" s="2126"/>
      <c r="X621" s="2121">
        <f>'بند 3-14 کرسی های نظریه پردازی'!R14</f>
        <v>0</v>
      </c>
      <c r="Y621" s="2122"/>
    </row>
    <row r="622" spans="1:25" ht="30" customHeight="1" thickBot="1">
      <c r="A622" s="390">
        <v>10</v>
      </c>
      <c r="B622" s="2133">
        <f>'بند 3-14 کرسی های نظریه پردازی'!B15</f>
        <v>0</v>
      </c>
      <c r="C622" s="2134"/>
      <c r="D622" s="2134"/>
      <c r="E622" s="2134"/>
      <c r="F622" s="2134"/>
      <c r="G622" s="2134"/>
      <c r="H622" s="2134"/>
      <c r="I622" s="2113">
        <f>'بند 3-14 کرسی های نظریه پردازی'!G15</f>
        <v>0</v>
      </c>
      <c r="J622" s="2114"/>
      <c r="K622" s="2114"/>
      <c r="L622" s="2113">
        <f>'بند 3-14 کرسی های نظریه پردازی'!J15</f>
        <v>0</v>
      </c>
      <c r="M622" s="2114"/>
      <c r="N622" s="2114"/>
      <c r="O622" s="2114"/>
      <c r="P622" s="2114"/>
      <c r="Q622" s="2114"/>
      <c r="R622" s="2388">
        <f>'بند 3-14 کرسی های نظریه پردازی'!M15</f>
        <v>0</v>
      </c>
      <c r="S622" s="2389"/>
      <c r="T622" s="2389"/>
      <c r="U622" s="2389"/>
      <c r="V622" s="2389"/>
      <c r="W622" s="2389"/>
      <c r="X622" s="2135">
        <f>'بند 3-14 کرسی های نظریه پردازی'!R15</f>
        <v>0</v>
      </c>
      <c r="Y622" s="2136"/>
    </row>
    <row r="623" spans="1:25" ht="30" customHeight="1" thickBot="1">
      <c r="A623" s="2130" t="s">
        <v>766</v>
      </c>
      <c r="B623" s="2131"/>
      <c r="C623" s="2131"/>
      <c r="D623" s="2131"/>
      <c r="E623" s="2131"/>
      <c r="F623" s="2131"/>
      <c r="G623" s="2131"/>
      <c r="H623" s="2131"/>
      <c r="I623" s="2131"/>
      <c r="J623" s="2131"/>
      <c r="K623" s="2131"/>
      <c r="L623" s="2131"/>
      <c r="M623" s="2131"/>
      <c r="N623" s="2131"/>
      <c r="O623" s="2131"/>
      <c r="P623" s="2131"/>
      <c r="Q623" s="2131"/>
      <c r="R623" s="2131"/>
      <c r="S623" s="2131"/>
      <c r="T623" s="2131"/>
      <c r="U623" s="2131"/>
      <c r="V623" s="2131"/>
      <c r="W623" s="2131"/>
      <c r="X623" s="2123">
        <f>'بند 3-14 کرسی های نظریه پردازی'!R16</f>
        <v>0</v>
      </c>
      <c r="Y623" s="2124"/>
    </row>
    <row r="624" spans="1:25" ht="30" customHeight="1" thickBot="1">
      <c r="A624" s="2132" t="s">
        <v>821</v>
      </c>
      <c r="B624" s="2132"/>
      <c r="C624" s="2132"/>
      <c r="D624" s="2132"/>
      <c r="E624" s="2132"/>
      <c r="F624" s="2132"/>
      <c r="G624" s="2132"/>
      <c r="H624" s="2132"/>
      <c r="I624" s="2132"/>
      <c r="J624" s="2132"/>
      <c r="K624" s="2132"/>
      <c r="L624" s="2132"/>
      <c r="M624" s="2132"/>
      <c r="N624" s="2132"/>
      <c r="O624" s="2132"/>
      <c r="P624" s="2132"/>
      <c r="Q624" s="2132"/>
      <c r="R624" s="2132"/>
      <c r="S624" s="2132"/>
      <c r="T624" s="2132"/>
      <c r="U624" s="2132"/>
      <c r="V624" s="2132"/>
      <c r="W624" s="2132"/>
      <c r="X624" s="2132"/>
      <c r="Y624" s="2132"/>
    </row>
    <row r="625" spans="1:25" ht="30" customHeight="1" thickBot="1">
      <c r="A625" s="355" t="s">
        <v>9</v>
      </c>
      <c r="B625" s="2127" t="s">
        <v>404</v>
      </c>
      <c r="C625" s="2128"/>
      <c r="D625" s="2128"/>
      <c r="E625" s="2128"/>
      <c r="F625" s="2128"/>
      <c r="G625" s="2128"/>
      <c r="H625" s="2128"/>
      <c r="I625" s="2128"/>
      <c r="J625" s="2128"/>
      <c r="K625" s="2129"/>
      <c r="L625" s="2127" t="s">
        <v>367</v>
      </c>
      <c r="M625" s="2128"/>
      <c r="N625" s="2128"/>
      <c r="O625" s="2129"/>
      <c r="P625" s="2128" t="s">
        <v>402</v>
      </c>
      <c r="Q625" s="2129"/>
      <c r="R625" s="2247" t="s">
        <v>403</v>
      </c>
      <c r="S625" s="2247"/>
      <c r="T625" s="2247"/>
      <c r="U625" s="2247"/>
      <c r="V625" s="2247"/>
      <c r="W625" s="2248"/>
      <c r="X625" s="2117" t="s">
        <v>13</v>
      </c>
      <c r="Y625" s="2118"/>
    </row>
    <row r="626" spans="1:25" ht="30" customHeight="1">
      <c r="A626" s="388">
        <v>1</v>
      </c>
      <c r="B626" s="2416">
        <f>'بند 3-16 داوري و نظارت پژوهشي'!B6</f>
        <v>0</v>
      </c>
      <c r="C626" s="2262"/>
      <c r="D626" s="2262"/>
      <c r="E626" s="2262"/>
      <c r="F626" s="2262"/>
      <c r="G626" s="2262"/>
      <c r="H626" s="2262"/>
      <c r="I626" s="2262"/>
      <c r="J626" s="2262"/>
      <c r="K626" s="2217"/>
      <c r="L626" s="2139">
        <f>'بند 3-16 داوري و نظارت پژوهشي'!G6</f>
        <v>0</v>
      </c>
      <c r="M626" s="2140"/>
      <c r="N626" s="2140"/>
      <c r="O626" s="2141"/>
      <c r="P626" s="2417">
        <f>'بند 3-16 داوري و نظارت پژوهشي'!J6</f>
        <v>0</v>
      </c>
      <c r="Q626" s="2386"/>
      <c r="R626" s="2139">
        <f>'بند 3-16 داوري و نظارت پژوهشي'!M6</f>
        <v>0</v>
      </c>
      <c r="S626" s="2140"/>
      <c r="T626" s="2140"/>
      <c r="U626" s="2140"/>
      <c r="V626" s="2140"/>
      <c r="W626" s="2141"/>
      <c r="X626" s="2149">
        <f>'بند 3-16 داوري و نظارت پژوهشي'!R6</f>
        <v>0</v>
      </c>
      <c r="Y626" s="2150"/>
    </row>
    <row r="627" spans="1:25" ht="30" customHeight="1">
      <c r="A627" s="389">
        <v>2</v>
      </c>
      <c r="B627" s="2416">
        <f>'بند 3-16 داوري و نظارت پژوهشي'!B7</f>
        <v>0</v>
      </c>
      <c r="C627" s="2262"/>
      <c r="D627" s="2262"/>
      <c r="E627" s="2262"/>
      <c r="F627" s="2262"/>
      <c r="G627" s="2262"/>
      <c r="H627" s="2262"/>
      <c r="I627" s="2262"/>
      <c r="J627" s="2262"/>
      <c r="K627" s="2217"/>
      <c r="L627" s="2139">
        <f>'بند 3-16 داوري و نظارت پژوهشي'!G7</f>
        <v>0</v>
      </c>
      <c r="M627" s="2140"/>
      <c r="N627" s="2140"/>
      <c r="O627" s="2141"/>
      <c r="P627" s="2417">
        <f>'بند 3-16 داوري و نظارت پژوهشي'!J7</f>
        <v>0</v>
      </c>
      <c r="Q627" s="2386"/>
      <c r="R627" s="2139">
        <f>'بند 3-16 داوري و نظارت پژوهشي'!M7</f>
        <v>0</v>
      </c>
      <c r="S627" s="2140"/>
      <c r="T627" s="2140"/>
      <c r="U627" s="2140"/>
      <c r="V627" s="2140"/>
      <c r="W627" s="2141"/>
      <c r="X627" s="2149">
        <f>'بند 3-16 داوري و نظارت پژوهشي'!R7</f>
        <v>0</v>
      </c>
      <c r="Y627" s="2150"/>
    </row>
    <row r="628" spans="1:25" ht="30" customHeight="1">
      <c r="A628" s="389">
        <v>3</v>
      </c>
      <c r="B628" s="2416">
        <f>'بند 3-16 داوري و نظارت پژوهشي'!B8</f>
        <v>0</v>
      </c>
      <c r="C628" s="2262"/>
      <c r="D628" s="2262"/>
      <c r="E628" s="2262"/>
      <c r="F628" s="2262"/>
      <c r="G628" s="2262"/>
      <c r="H628" s="2262"/>
      <c r="I628" s="2262"/>
      <c r="J628" s="2262"/>
      <c r="K628" s="2217"/>
      <c r="L628" s="2139">
        <f>'بند 3-16 داوري و نظارت پژوهشي'!G8</f>
        <v>0</v>
      </c>
      <c r="M628" s="2140"/>
      <c r="N628" s="2140"/>
      <c r="O628" s="2141"/>
      <c r="P628" s="2417">
        <f>'بند 3-16 داوري و نظارت پژوهشي'!J8</f>
        <v>0</v>
      </c>
      <c r="Q628" s="2386"/>
      <c r="R628" s="2139">
        <f>'بند 3-16 داوري و نظارت پژوهشي'!M8</f>
        <v>0</v>
      </c>
      <c r="S628" s="2140"/>
      <c r="T628" s="2140"/>
      <c r="U628" s="2140"/>
      <c r="V628" s="2140"/>
      <c r="W628" s="2141"/>
      <c r="X628" s="2149">
        <f>'بند 3-16 داوري و نظارت پژوهشي'!R8</f>
        <v>0</v>
      </c>
      <c r="Y628" s="2150"/>
    </row>
    <row r="629" spans="1:25" ht="36" customHeight="1">
      <c r="A629" s="389">
        <v>4</v>
      </c>
      <c r="B629" s="2416">
        <f>'بند 3-16 داوري و نظارت پژوهشي'!B9</f>
        <v>0</v>
      </c>
      <c r="C629" s="2262"/>
      <c r="D629" s="2262"/>
      <c r="E629" s="2262"/>
      <c r="F629" s="2262"/>
      <c r="G629" s="2262"/>
      <c r="H629" s="2262"/>
      <c r="I629" s="2262"/>
      <c r="J629" s="2262"/>
      <c r="K629" s="2217"/>
      <c r="L629" s="2139">
        <f>'بند 3-16 داوري و نظارت پژوهشي'!G9</f>
        <v>0</v>
      </c>
      <c r="M629" s="2140"/>
      <c r="N629" s="2140"/>
      <c r="O629" s="2141"/>
      <c r="P629" s="2417">
        <f>'بند 3-16 داوري و نظارت پژوهشي'!J9</f>
        <v>0</v>
      </c>
      <c r="Q629" s="2386"/>
      <c r="R629" s="2139">
        <f>'بند 3-16 داوري و نظارت پژوهشي'!M9</f>
        <v>0</v>
      </c>
      <c r="S629" s="2140"/>
      <c r="T629" s="2140"/>
      <c r="U629" s="2140"/>
      <c r="V629" s="2140"/>
      <c r="W629" s="2141"/>
      <c r="X629" s="2149">
        <f>'بند 3-16 داوري و نظارت پژوهشي'!R9</f>
        <v>0</v>
      </c>
      <c r="Y629" s="2150"/>
    </row>
    <row r="630" spans="1:25" ht="30" customHeight="1">
      <c r="A630" s="389">
        <v>5</v>
      </c>
      <c r="B630" s="2416">
        <f>'بند 3-16 داوري و نظارت پژوهشي'!B10</f>
        <v>0</v>
      </c>
      <c r="C630" s="2262"/>
      <c r="D630" s="2262"/>
      <c r="E630" s="2262"/>
      <c r="F630" s="2262"/>
      <c r="G630" s="2262"/>
      <c r="H630" s="2262"/>
      <c r="I630" s="2262"/>
      <c r="J630" s="2262"/>
      <c r="K630" s="2217"/>
      <c r="L630" s="2139">
        <f>'بند 3-16 داوري و نظارت پژوهشي'!G10</f>
        <v>0</v>
      </c>
      <c r="M630" s="2140"/>
      <c r="N630" s="2140"/>
      <c r="O630" s="2141"/>
      <c r="P630" s="2417">
        <f>'بند 3-16 داوري و نظارت پژوهشي'!J10</f>
        <v>0</v>
      </c>
      <c r="Q630" s="2386"/>
      <c r="R630" s="2139">
        <f>'بند 3-16 داوري و نظارت پژوهشي'!M10</f>
        <v>0</v>
      </c>
      <c r="S630" s="2140"/>
      <c r="T630" s="2140"/>
      <c r="U630" s="2140"/>
      <c r="V630" s="2140"/>
      <c r="W630" s="2141"/>
      <c r="X630" s="2149">
        <f>'بند 3-16 داوري و نظارت پژوهشي'!R10</f>
        <v>0</v>
      </c>
      <c r="Y630" s="2150"/>
    </row>
    <row r="631" spans="1:25" ht="30" customHeight="1">
      <c r="A631" s="389">
        <v>6</v>
      </c>
      <c r="B631" s="2416">
        <f>'بند 3-16 داوري و نظارت پژوهشي'!B11</f>
        <v>0</v>
      </c>
      <c r="C631" s="2262"/>
      <c r="D631" s="2262"/>
      <c r="E631" s="2262"/>
      <c r="F631" s="2262"/>
      <c r="G631" s="2262"/>
      <c r="H631" s="2262"/>
      <c r="I631" s="2262"/>
      <c r="J631" s="2262"/>
      <c r="K631" s="2217"/>
      <c r="L631" s="2139">
        <f>'بند 3-16 داوري و نظارت پژوهشي'!G11</f>
        <v>0</v>
      </c>
      <c r="M631" s="2140"/>
      <c r="N631" s="2140"/>
      <c r="O631" s="2141"/>
      <c r="P631" s="2417">
        <f>'بند 3-16 داوري و نظارت پژوهشي'!J11</f>
        <v>0</v>
      </c>
      <c r="Q631" s="2386"/>
      <c r="R631" s="2139">
        <f>'بند 3-16 داوري و نظارت پژوهشي'!M11</f>
        <v>0</v>
      </c>
      <c r="S631" s="2140"/>
      <c r="T631" s="2140"/>
      <c r="U631" s="2140"/>
      <c r="V631" s="2140"/>
      <c r="W631" s="2141"/>
      <c r="X631" s="2149">
        <f>'بند 3-16 داوري و نظارت پژوهشي'!R11</f>
        <v>0</v>
      </c>
      <c r="Y631" s="2150"/>
    </row>
    <row r="632" spans="1:25" ht="30" customHeight="1">
      <c r="A632" s="389">
        <v>7</v>
      </c>
      <c r="B632" s="2416">
        <f>'بند 3-16 داوري و نظارت پژوهشي'!B12</f>
        <v>0</v>
      </c>
      <c r="C632" s="2262"/>
      <c r="D632" s="2262"/>
      <c r="E632" s="2262"/>
      <c r="F632" s="2262"/>
      <c r="G632" s="2262"/>
      <c r="H632" s="2262"/>
      <c r="I632" s="2262"/>
      <c r="J632" s="2262"/>
      <c r="K632" s="2217"/>
      <c r="L632" s="2139">
        <f>'بند 3-16 داوري و نظارت پژوهشي'!G12</f>
        <v>0</v>
      </c>
      <c r="M632" s="2140"/>
      <c r="N632" s="2140"/>
      <c r="O632" s="2141"/>
      <c r="P632" s="2417">
        <f>'بند 3-16 داوري و نظارت پژوهشي'!J12</f>
        <v>0</v>
      </c>
      <c r="Q632" s="2386"/>
      <c r="R632" s="2139">
        <f>'بند 3-16 داوري و نظارت پژوهشي'!M12</f>
        <v>0</v>
      </c>
      <c r="S632" s="2140"/>
      <c r="T632" s="2140"/>
      <c r="U632" s="2140"/>
      <c r="V632" s="2140"/>
      <c r="W632" s="2141"/>
      <c r="X632" s="2149">
        <f>'بند 3-16 داوري و نظارت پژوهشي'!R12</f>
        <v>0</v>
      </c>
      <c r="Y632" s="2150"/>
    </row>
    <row r="633" spans="1:25" ht="30" customHeight="1">
      <c r="A633" s="390">
        <v>8</v>
      </c>
      <c r="B633" s="2416">
        <f>'بند 3-16 داوري و نظارت پژوهشي'!B13</f>
        <v>0</v>
      </c>
      <c r="C633" s="2262"/>
      <c r="D633" s="2262"/>
      <c r="E633" s="2262"/>
      <c r="F633" s="2262"/>
      <c r="G633" s="2262"/>
      <c r="H633" s="2262"/>
      <c r="I633" s="2262"/>
      <c r="J633" s="2262"/>
      <c r="K633" s="2217"/>
      <c r="L633" s="2139">
        <f>'بند 3-16 داوري و نظارت پژوهشي'!G13</f>
        <v>0</v>
      </c>
      <c r="M633" s="2140"/>
      <c r="N633" s="2140"/>
      <c r="O633" s="2141"/>
      <c r="P633" s="2417">
        <f>'بند 3-16 داوري و نظارت پژوهشي'!J13</f>
        <v>0</v>
      </c>
      <c r="Q633" s="2386"/>
      <c r="R633" s="2139">
        <f>'بند 3-16 داوري و نظارت پژوهشي'!M13</f>
        <v>0</v>
      </c>
      <c r="S633" s="2140"/>
      <c r="T633" s="2140"/>
      <c r="U633" s="2140"/>
      <c r="V633" s="2140"/>
      <c r="W633" s="2141"/>
      <c r="X633" s="2149">
        <f>'بند 3-16 داوري و نظارت پژوهشي'!R13</f>
        <v>0</v>
      </c>
      <c r="Y633" s="2150"/>
    </row>
    <row r="634" spans="1:25" ht="30" customHeight="1">
      <c r="A634" s="389">
        <v>9</v>
      </c>
      <c r="B634" s="2416">
        <f>'بند 3-16 داوري و نظارت پژوهشي'!B14</f>
        <v>0</v>
      </c>
      <c r="C634" s="2262"/>
      <c r="D634" s="2262"/>
      <c r="E634" s="2262"/>
      <c r="F634" s="2262"/>
      <c r="G634" s="2262"/>
      <c r="H634" s="2262"/>
      <c r="I634" s="2262"/>
      <c r="J634" s="2262"/>
      <c r="K634" s="2217"/>
      <c r="L634" s="2139">
        <f>'بند 3-16 داوري و نظارت پژوهشي'!G14</f>
        <v>0</v>
      </c>
      <c r="M634" s="2140"/>
      <c r="N634" s="2140"/>
      <c r="O634" s="2141"/>
      <c r="P634" s="2417">
        <f>'بند 3-16 داوري و نظارت پژوهشي'!J14</f>
        <v>0</v>
      </c>
      <c r="Q634" s="2386"/>
      <c r="R634" s="2139">
        <f>'بند 3-16 داوري و نظارت پژوهشي'!M14</f>
        <v>0</v>
      </c>
      <c r="S634" s="2140"/>
      <c r="T634" s="2140"/>
      <c r="U634" s="2140"/>
      <c r="V634" s="2140"/>
      <c r="W634" s="2141"/>
      <c r="X634" s="2149">
        <f>'بند 3-16 داوري و نظارت پژوهشي'!R14</f>
        <v>0</v>
      </c>
      <c r="Y634" s="2150"/>
    </row>
    <row r="635" spans="1:25" ht="30" customHeight="1">
      <c r="A635" s="389">
        <v>10</v>
      </c>
      <c r="B635" s="2416">
        <f>'بند 3-16 داوري و نظارت پژوهشي'!B15</f>
        <v>0</v>
      </c>
      <c r="C635" s="2262"/>
      <c r="D635" s="2262"/>
      <c r="E635" s="2262"/>
      <c r="F635" s="2262"/>
      <c r="G635" s="2262"/>
      <c r="H635" s="2262"/>
      <c r="I635" s="2262"/>
      <c r="J635" s="2262"/>
      <c r="K635" s="2217"/>
      <c r="L635" s="2139">
        <f>'بند 3-16 داوري و نظارت پژوهشي'!G15</f>
        <v>0</v>
      </c>
      <c r="M635" s="2140"/>
      <c r="N635" s="2140"/>
      <c r="O635" s="2141"/>
      <c r="P635" s="2417">
        <f>'بند 3-16 داوري و نظارت پژوهشي'!J15</f>
        <v>0</v>
      </c>
      <c r="Q635" s="2386"/>
      <c r="R635" s="2139">
        <f>'بند 3-16 داوري و نظارت پژوهشي'!M15</f>
        <v>0</v>
      </c>
      <c r="S635" s="2140"/>
      <c r="T635" s="2140"/>
      <c r="U635" s="2140"/>
      <c r="V635" s="2140"/>
      <c r="W635" s="2141"/>
      <c r="X635" s="2149">
        <f>'بند 3-16 داوري و نظارت پژوهشي'!R15</f>
        <v>0</v>
      </c>
      <c r="Y635" s="2150"/>
    </row>
    <row r="636" spans="1:25" ht="30" customHeight="1">
      <c r="A636" s="390">
        <v>11</v>
      </c>
      <c r="B636" s="2416">
        <f>'بند 3-16 داوري و نظارت پژوهشي'!B16</f>
        <v>0</v>
      </c>
      <c r="C636" s="2262"/>
      <c r="D636" s="2262"/>
      <c r="E636" s="2262"/>
      <c r="F636" s="2262"/>
      <c r="G636" s="2262"/>
      <c r="H636" s="2262"/>
      <c r="I636" s="2262"/>
      <c r="J636" s="2262"/>
      <c r="K636" s="2217"/>
      <c r="L636" s="2139">
        <f>'بند 3-16 داوري و نظارت پژوهشي'!G16</f>
        <v>0</v>
      </c>
      <c r="M636" s="2140"/>
      <c r="N636" s="2140"/>
      <c r="O636" s="2141"/>
      <c r="P636" s="2417">
        <f>'بند 3-16 داوري و نظارت پژوهشي'!J16</f>
        <v>0</v>
      </c>
      <c r="Q636" s="2386"/>
      <c r="R636" s="2139">
        <f>'بند 3-16 داوري و نظارت پژوهشي'!M16</f>
        <v>0</v>
      </c>
      <c r="S636" s="2140"/>
      <c r="T636" s="2140"/>
      <c r="U636" s="2140"/>
      <c r="V636" s="2140"/>
      <c r="W636" s="2141"/>
      <c r="X636" s="2149">
        <f>'بند 3-16 داوري و نظارت پژوهشي'!R16</f>
        <v>0</v>
      </c>
      <c r="Y636" s="2150"/>
    </row>
    <row r="637" spans="1:25" ht="30" customHeight="1">
      <c r="A637" s="389">
        <v>12</v>
      </c>
      <c r="B637" s="2416">
        <f>'بند 3-16 داوري و نظارت پژوهشي'!B17</f>
        <v>0</v>
      </c>
      <c r="C637" s="2262"/>
      <c r="D637" s="2262"/>
      <c r="E637" s="2262"/>
      <c r="F637" s="2262"/>
      <c r="G637" s="2262"/>
      <c r="H637" s="2262"/>
      <c r="I637" s="2262"/>
      <c r="J637" s="2262"/>
      <c r="K637" s="2217"/>
      <c r="L637" s="2139">
        <f>'بند 3-16 داوري و نظارت پژوهشي'!G17</f>
        <v>0</v>
      </c>
      <c r="M637" s="2140"/>
      <c r="N637" s="2140"/>
      <c r="O637" s="2141"/>
      <c r="P637" s="2417">
        <f>'بند 3-16 داوري و نظارت پژوهشي'!J17</f>
        <v>0</v>
      </c>
      <c r="Q637" s="2386"/>
      <c r="R637" s="2139">
        <f>'بند 3-16 داوري و نظارت پژوهشي'!M17</f>
        <v>0</v>
      </c>
      <c r="S637" s="2140"/>
      <c r="T637" s="2140"/>
      <c r="U637" s="2140"/>
      <c r="V637" s="2140"/>
      <c r="W637" s="2141"/>
      <c r="X637" s="2149">
        <f>'بند 3-16 داوري و نظارت پژوهشي'!R17</f>
        <v>0</v>
      </c>
      <c r="Y637" s="2150"/>
    </row>
    <row r="638" spans="1:25" ht="30" customHeight="1">
      <c r="A638" s="389">
        <v>13</v>
      </c>
      <c r="B638" s="2416">
        <f>'بند 3-16 داوري و نظارت پژوهشي'!B18</f>
        <v>0</v>
      </c>
      <c r="C638" s="2262"/>
      <c r="D638" s="2262"/>
      <c r="E638" s="2262"/>
      <c r="F638" s="2262"/>
      <c r="G638" s="2262"/>
      <c r="H638" s="2262"/>
      <c r="I638" s="2262"/>
      <c r="J638" s="2262"/>
      <c r="K638" s="2217"/>
      <c r="L638" s="2139">
        <f>'بند 3-16 داوري و نظارت پژوهشي'!G18</f>
        <v>0</v>
      </c>
      <c r="M638" s="2140"/>
      <c r="N638" s="2140"/>
      <c r="O638" s="2141"/>
      <c r="P638" s="2417">
        <f>'بند 3-16 داوري و نظارت پژوهشي'!J18</f>
        <v>0</v>
      </c>
      <c r="Q638" s="2386"/>
      <c r="R638" s="2139">
        <f>'بند 3-16 داوري و نظارت پژوهشي'!M18</f>
        <v>0</v>
      </c>
      <c r="S638" s="2140"/>
      <c r="T638" s="2140"/>
      <c r="U638" s="2140"/>
      <c r="V638" s="2140"/>
      <c r="W638" s="2141"/>
      <c r="X638" s="2149">
        <f>'بند 3-16 داوري و نظارت پژوهشي'!R18</f>
        <v>0</v>
      </c>
      <c r="Y638" s="2150"/>
    </row>
    <row r="639" spans="1:25" ht="30" customHeight="1">
      <c r="A639" s="390">
        <v>14</v>
      </c>
      <c r="B639" s="2416">
        <f>'بند 3-16 داوري و نظارت پژوهشي'!B19</f>
        <v>0</v>
      </c>
      <c r="C639" s="2262"/>
      <c r="D639" s="2262"/>
      <c r="E639" s="2262"/>
      <c r="F639" s="2262"/>
      <c r="G639" s="2262"/>
      <c r="H639" s="2262"/>
      <c r="I639" s="2262"/>
      <c r="J639" s="2262"/>
      <c r="K639" s="2217"/>
      <c r="L639" s="2139">
        <f>'بند 3-16 داوري و نظارت پژوهشي'!G19</f>
        <v>0</v>
      </c>
      <c r="M639" s="2140"/>
      <c r="N639" s="2140"/>
      <c r="O639" s="2141"/>
      <c r="P639" s="2417">
        <f>'بند 3-16 داوري و نظارت پژوهشي'!J19</f>
        <v>0</v>
      </c>
      <c r="Q639" s="2386"/>
      <c r="R639" s="2139">
        <f>'بند 3-16 داوري و نظارت پژوهشي'!M19</f>
        <v>0</v>
      </c>
      <c r="S639" s="2140"/>
      <c r="T639" s="2140"/>
      <c r="U639" s="2140"/>
      <c r="V639" s="2140"/>
      <c r="W639" s="2141"/>
      <c r="X639" s="2149">
        <f>'بند 3-16 داوري و نظارت پژوهشي'!R19</f>
        <v>0</v>
      </c>
      <c r="Y639" s="2150"/>
    </row>
    <row r="640" spans="1:25" ht="30" customHeight="1">
      <c r="A640" s="389">
        <v>15</v>
      </c>
      <c r="B640" s="2416">
        <f>'بند 3-16 داوري و نظارت پژوهشي'!B20</f>
        <v>0</v>
      </c>
      <c r="C640" s="2262"/>
      <c r="D640" s="2262"/>
      <c r="E640" s="2262"/>
      <c r="F640" s="2262"/>
      <c r="G640" s="2262"/>
      <c r="H640" s="2262"/>
      <c r="I640" s="2262"/>
      <c r="J640" s="2262"/>
      <c r="K640" s="2217"/>
      <c r="L640" s="2139">
        <f>'بند 3-16 داوري و نظارت پژوهشي'!G20</f>
        <v>0</v>
      </c>
      <c r="M640" s="2140"/>
      <c r="N640" s="2140"/>
      <c r="O640" s="2141"/>
      <c r="P640" s="2417">
        <f>'بند 3-16 داوري و نظارت پژوهشي'!J20</f>
        <v>0</v>
      </c>
      <c r="Q640" s="2386"/>
      <c r="R640" s="2139">
        <f>'بند 3-16 داوري و نظارت پژوهشي'!M20</f>
        <v>0</v>
      </c>
      <c r="S640" s="2140"/>
      <c r="T640" s="2140"/>
      <c r="U640" s="2140"/>
      <c r="V640" s="2140"/>
      <c r="W640" s="2141"/>
      <c r="X640" s="2149">
        <f>'بند 3-16 داوري و نظارت پژوهشي'!R20</f>
        <v>0</v>
      </c>
      <c r="Y640" s="2150"/>
    </row>
    <row r="641" spans="1:25" ht="30" customHeight="1">
      <c r="A641" s="389">
        <v>16</v>
      </c>
      <c r="B641" s="2416">
        <f>'بند 3-16 داوري و نظارت پژوهشي'!B21</f>
        <v>0</v>
      </c>
      <c r="C641" s="2262"/>
      <c r="D641" s="2262"/>
      <c r="E641" s="2262"/>
      <c r="F641" s="2262"/>
      <c r="G641" s="2262"/>
      <c r="H641" s="2262"/>
      <c r="I641" s="2262"/>
      <c r="J641" s="2262"/>
      <c r="K641" s="2217"/>
      <c r="L641" s="2139">
        <f>'بند 3-16 داوري و نظارت پژوهشي'!G21</f>
        <v>0</v>
      </c>
      <c r="M641" s="2140"/>
      <c r="N641" s="2140"/>
      <c r="O641" s="2141"/>
      <c r="P641" s="2417">
        <f>'بند 3-16 داوري و نظارت پژوهشي'!J21</f>
        <v>0</v>
      </c>
      <c r="Q641" s="2386"/>
      <c r="R641" s="2139">
        <f>'بند 3-16 داوري و نظارت پژوهشي'!M21</f>
        <v>0</v>
      </c>
      <c r="S641" s="2140"/>
      <c r="T641" s="2140"/>
      <c r="U641" s="2140"/>
      <c r="V641" s="2140"/>
      <c r="W641" s="2141"/>
      <c r="X641" s="2149">
        <f>'بند 3-16 داوري و نظارت پژوهشي'!R21</f>
        <v>0</v>
      </c>
      <c r="Y641" s="2150"/>
    </row>
    <row r="642" spans="1:25" ht="30" customHeight="1">
      <c r="A642" s="389">
        <v>17</v>
      </c>
      <c r="B642" s="2416">
        <f>'بند 3-16 داوري و نظارت پژوهشي'!B22</f>
        <v>0</v>
      </c>
      <c r="C642" s="2262"/>
      <c r="D642" s="2262"/>
      <c r="E642" s="2262"/>
      <c r="F642" s="2262"/>
      <c r="G642" s="2262"/>
      <c r="H642" s="2262"/>
      <c r="I642" s="2262"/>
      <c r="J642" s="2262"/>
      <c r="K642" s="2217"/>
      <c r="L642" s="2139">
        <f>'بند 3-16 داوري و نظارت پژوهشي'!G22</f>
        <v>0</v>
      </c>
      <c r="M642" s="2140"/>
      <c r="N642" s="2140"/>
      <c r="O642" s="2141"/>
      <c r="P642" s="2417">
        <f>'بند 3-16 داوري و نظارت پژوهشي'!J22</f>
        <v>0</v>
      </c>
      <c r="Q642" s="2386"/>
      <c r="R642" s="2139">
        <f>'بند 3-16 داوري و نظارت پژوهشي'!M22</f>
        <v>0</v>
      </c>
      <c r="S642" s="2140"/>
      <c r="T642" s="2140"/>
      <c r="U642" s="2140"/>
      <c r="V642" s="2140"/>
      <c r="W642" s="2141"/>
      <c r="X642" s="2149">
        <f>'بند 3-16 داوري و نظارت پژوهشي'!R22</f>
        <v>0</v>
      </c>
      <c r="Y642" s="2150"/>
    </row>
    <row r="643" spans="1:25" ht="30" customHeight="1">
      <c r="A643" s="390">
        <v>18</v>
      </c>
      <c r="B643" s="2416">
        <f>'بند 3-16 داوري و نظارت پژوهشي'!B23</f>
        <v>0</v>
      </c>
      <c r="C643" s="2262"/>
      <c r="D643" s="2262"/>
      <c r="E643" s="2262"/>
      <c r="F643" s="2262"/>
      <c r="G643" s="2262"/>
      <c r="H643" s="2262"/>
      <c r="I643" s="2262"/>
      <c r="J643" s="2262"/>
      <c r="K643" s="2217"/>
      <c r="L643" s="2139">
        <f>'بند 3-16 داوري و نظارت پژوهشي'!G23</f>
        <v>0</v>
      </c>
      <c r="M643" s="2140"/>
      <c r="N643" s="2140"/>
      <c r="O643" s="2141"/>
      <c r="P643" s="2417">
        <f>'بند 3-16 داوري و نظارت پژوهشي'!J23</f>
        <v>0</v>
      </c>
      <c r="Q643" s="2386"/>
      <c r="R643" s="2139">
        <f>'بند 3-16 داوري و نظارت پژوهشي'!M23</f>
        <v>0</v>
      </c>
      <c r="S643" s="2140"/>
      <c r="T643" s="2140"/>
      <c r="U643" s="2140"/>
      <c r="V643" s="2140"/>
      <c r="W643" s="2141"/>
      <c r="X643" s="2149">
        <f>'بند 3-16 داوري و نظارت پژوهشي'!R23</f>
        <v>0</v>
      </c>
      <c r="Y643" s="2150"/>
    </row>
    <row r="644" spans="1:25" ht="30" customHeight="1">
      <c r="A644" s="389">
        <v>19</v>
      </c>
      <c r="B644" s="2416">
        <f>'بند 3-16 داوري و نظارت پژوهشي'!B24</f>
        <v>0</v>
      </c>
      <c r="C644" s="2262"/>
      <c r="D644" s="2262"/>
      <c r="E644" s="2262"/>
      <c r="F644" s="2262"/>
      <c r="G644" s="2262"/>
      <c r="H644" s="2262"/>
      <c r="I644" s="2262"/>
      <c r="J644" s="2262"/>
      <c r="K644" s="2217"/>
      <c r="L644" s="2139">
        <f>'بند 3-16 داوري و نظارت پژوهشي'!G24</f>
        <v>0</v>
      </c>
      <c r="M644" s="2140"/>
      <c r="N644" s="2140"/>
      <c r="O644" s="2141"/>
      <c r="P644" s="2417">
        <f>'بند 3-16 داوري و نظارت پژوهشي'!J24</f>
        <v>0</v>
      </c>
      <c r="Q644" s="2386"/>
      <c r="R644" s="2139">
        <f>'بند 3-16 داوري و نظارت پژوهشي'!M24</f>
        <v>0</v>
      </c>
      <c r="S644" s="2140"/>
      <c r="T644" s="2140"/>
      <c r="U644" s="2140"/>
      <c r="V644" s="2140"/>
      <c r="W644" s="2141"/>
      <c r="X644" s="2149">
        <f>'بند 3-16 داوري و نظارت پژوهشي'!R24</f>
        <v>0</v>
      </c>
      <c r="Y644" s="2150"/>
    </row>
    <row r="645" spans="1:25" ht="30" customHeight="1" thickBot="1">
      <c r="A645" s="389">
        <v>20</v>
      </c>
      <c r="B645" s="2416">
        <f>'بند 3-16 داوري و نظارت پژوهشي'!B25</f>
        <v>0</v>
      </c>
      <c r="C645" s="2262"/>
      <c r="D645" s="2262"/>
      <c r="E645" s="2262"/>
      <c r="F645" s="2262"/>
      <c r="G645" s="2262"/>
      <c r="H645" s="2262"/>
      <c r="I645" s="2262"/>
      <c r="J645" s="2262"/>
      <c r="K645" s="2217"/>
      <c r="L645" s="2139">
        <f>'بند 3-16 داوري و نظارت پژوهشي'!G25</f>
        <v>0</v>
      </c>
      <c r="M645" s="2140"/>
      <c r="N645" s="2140"/>
      <c r="O645" s="2141"/>
      <c r="P645" s="2417">
        <f>'بند 3-16 داوري و نظارت پژوهشي'!J25</f>
        <v>0</v>
      </c>
      <c r="Q645" s="2386"/>
      <c r="R645" s="2139">
        <f>'بند 3-16 داوري و نظارت پژوهشي'!M25</f>
        <v>0</v>
      </c>
      <c r="S645" s="2140"/>
      <c r="T645" s="2140"/>
      <c r="U645" s="2140"/>
      <c r="V645" s="2140"/>
      <c r="W645" s="2141"/>
      <c r="X645" s="2149">
        <f>'بند 3-16 داوري و نظارت پژوهشي'!R25</f>
        <v>0</v>
      </c>
      <c r="Y645" s="2150"/>
    </row>
    <row r="646" spans="1:25" ht="30" customHeight="1" thickBot="1">
      <c r="A646" s="2130" t="s">
        <v>807</v>
      </c>
      <c r="B646" s="2131"/>
      <c r="C646" s="2131"/>
      <c r="D646" s="2131"/>
      <c r="E646" s="2131"/>
      <c r="F646" s="2131"/>
      <c r="G646" s="2131"/>
      <c r="H646" s="2131"/>
      <c r="I646" s="2131"/>
      <c r="J646" s="2131"/>
      <c r="K646" s="2131"/>
      <c r="L646" s="2131"/>
      <c r="M646" s="2131"/>
      <c r="N646" s="2131"/>
      <c r="O646" s="2131"/>
      <c r="P646" s="2131"/>
      <c r="Q646" s="2131"/>
      <c r="R646" s="2131"/>
      <c r="S646" s="2131"/>
      <c r="T646" s="2131"/>
      <c r="U646" s="2131"/>
      <c r="V646" s="2131"/>
      <c r="W646" s="2424"/>
      <c r="X646" s="2412">
        <f>'بند 3-16 داوري و نظارت پژوهشي'!R26</f>
        <v>0</v>
      </c>
      <c r="Y646" s="2413"/>
    </row>
    <row r="647" spans="1:25" ht="51.75" customHeight="1" thickBot="1">
      <c r="A647" s="2425" t="s">
        <v>823</v>
      </c>
      <c r="B647" s="2337"/>
      <c r="C647" s="2337"/>
      <c r="D647" s="2337"/>
      <c r="E647" s="2337"/>
      <c r="F647" s="2337"/>
      <c r="G647" s="2337"/>
      <c r="H647" s="2337"/>
      <c r="I647" s="2337"/>
      <c r="J647" s="2337"/>
      <c r="K647" s="2337"/>
      <c r="L647" s="2337"/>
      <c r="M647" s="2337"/>
      <c r="N647" s="2337"/>
      <c r="O647" s="2337"/>
      <c r="P647" s="2337"/>
      <c r="Q647" s="2337"/>
      <c r="R647" s="2337"/>
      <c r="S647" s="2337"/>
      <c r="T647" s="2337"/>
      <c r="U647" s="2337"/>
      <c r="V647" s="2337"/>
      <c r="W647" s="2337"/>
      <c r="X647" s="2337"/>
      <c r="Y647" s="2337"/>
    </row>
    <row r="648" spans="1:25" ht="30" customHeight="1" thickBot="1">
      <c r="A648" s="355" t="s">
        <v>9</v>
      </c>
      <c r="B648" s="2127" t="s">
        <v>480</v>
      </c>
      <c r="C648" s="2128"/>
      <c r="D648" s="2128"/>
      <c r="E648" s="2128"/>
      <c r="F648" s="2128"/>
      <c r="G648" s="2128"/>
      <c r="H648" s="2128"/>
      <c r="I648" s="2128"/>
      <c r="J648" s="2128"/>
      <c r="K648" s="2128"/>
      <c r="L648" s="2129"/>
      <c r="M648" s="2247" t="s">
        <v>481</v>
      </c>
      <c r="N648" s="2247"/>
      <c r="O648" s="2247"/>
      <c r="P648" s="2248"/>
      <c r="Q648" s="2246" t="s">
        <v>479</v>
      </c>
      <c r="R648" s="2247"/>
      <c r="S648" s="2248"/>
      <c r="T648" s="2127" t="s">
        <v>455</v>
      </c>
      <c r="U648" s="2128"/>
      <c r="V648" s="2128"/>
      <c r="W648" s="2129"/>
      <c r="X648" s="2117" t="s">
        <v>13</v>
      </c>
      <c r="Y648" s="2118"/>
    </row>
    <row r="649" spans="1:25" ht="30" customHeight="1">
      <c r="A649" s="393">
        <v>1</v>
      </c>
      <c r="B649" s="2297">
        <f>'بند4-8 دبيري همايش هاي علمي...'!B6</f>
        <v>0</v>
      </c>
      <c r="C649" s="2307"/>
      <c r="D649" s="2307"/>
      <c r="E649" s="2307"/>
      <c r="F649" s="2307"/>
      <c r="G649" s="2307"/>
      <c r="H649" s="2307"/>
      <c r="I649" s="2307"/>
      <c r="J649" s="2307"/>
      <c r="K649" s="2307"/>
      <c r="L649" s="2298"/>
      <c r="M649" s="2309">
        <f>'بند4-8 دبيري همايش هاي علمي...'!I6</f>
        <v>0</v>
      </c>
      <c r="N649" s="2310"/>
      <c r="O649" s="2310"/>
      <c r="P649" s="2311"/>
      <c r="Q649" s="2437">
        <f>'بند4-8 دبيري همايش هاي علمي...'!L6</f>
        <v>0</v>
      </c>
      <c r="R649" s="2438"/>
      <c r="S649" s="2439"/>
      <c r="T649" s="2440">
        <f>'بند4-8 دبيري همايش هاي علمي...'!O6</f>
        <v>0</v>
      </c>
      <c r="U649" s="2440"/>
      <c r="V649" s="2440"/>
      <c r="W649" s="2441"/>
      <c r="X649" s="2409">
        <f>'بند4-8 دبيري همايش هاي علمي...'!S6</f>
        <v>0</v>
      </c>
      <c r="Y649" s="2410"/>
    </row>
    <row r="650" spans="1:25" ht="30" customHeight="1">
      <c r="A650" s="389">
        <v>2</v>
      </c>
      <c r="B650" s="2109">
        <f>'بند4-8 دبيري همايش هاي علمي...'!B7</f>
        <v>0</v>
      </c>
      <c r="C650" s="2109"/>
      <c r="D650" s="2109"/>
      <c r="E650" s="2109"/>
      <c r="F650" s="2109"/>
      <c r="G650" s="2109"/>
      <c r="H650" s="2109"/>
      <c r="I650" s="2109"/>
      <c r="J650" s="2109"/>
      <c r="K650" s="2109"/>
      <c r="L650" s="2109"/>
      <c r="M650" s="2180">
        <f>'بند4-8 دبيري همايش هاي علمي...'!I7</f>
        <v>0</v>
      </c>
      <c r="N650" s="2180"/>
      <c r="O650" s="2180"/>
      <c r="P650" s="2180"/>
      <c r="Q650" s="2181">
        <f>'بند4-8 دبيري همايش هاي علمي...'!L7</f>
        <v>0</v>
      </c>
      <c r="R650" s="2181"/>
      <c r="S650" s="2181"/>
      <c r="T650" s="2423">
        <f>'بند4-8 دبيري همايش هاي علمي...'!O7</f>
        <v>0</v>
      </c>
      <c r="U650" s="2423"/>
      <c r="V650" s="2423"/>
      <c r="W650" s="2423"/>
      <c r="X650" s="2121">
        <f>'بند4-8 دبيري همايش هاي علمي...'!S7</f>
        <v>0</v>
      </c>
      <c r="Y650" s="2122"/>
    </row>
    <row r="651" spans="1:25" ht="41.25" customHeight="1">
      <c r="A651" s="389">
        <v>3</v>
      </c>
      <c r="B651" s="2109">
        <f>'بند4-8 دبيري همايش هاي علمي...'!B8</f>
        <v>0</v>
      </c>
      <c r="C651" s="2109"/>
      <c r="D651" s="2109"/>
      <c r="E651" s="2109"/>
      <c r="F651" s="2109"/>
      <c r="G651" s="2109"/>
      <c r="H651" s="2109"/>
      <c r="I651" s="2109"/>
      <c r="J651" s="2109"/>
      <c r="K651" s="2109"/>
      <c r="L651" s="2109"/>
      <c r="M651" s="2180">
        <f>'بند4-8 دبيري همايش هاي علمي...'!I8</f>
        <v>0</v>
      </c>
      <c r="N651" s="2180"/>
      <c r="O651" s="2180"/>
      <c r="P651" s="2180"/>
      <c r="Q651" s="2181">
        <f>'بند4-8 دبيري همايش هاي علمي...'!L8</f>
        <v>0</v>
      </c>
      <c r="R651" s="2181"/>
      <c r="S651" s="2181"/>
      <c r="T651" s="2423">
        <f>'بند4-8 دبيري همايش هاي علمي...'!O8</f>
        <v>0</v>
      </c>
      <c r="U651" s="2423"/>
      <c r="V651" s="2423"/>
      <c r="W651" s="2423"/>
      <c r="X651" s="2121">
        <f>'بند4-8 دبيري همايش هاي علمي...'!S8</f>
        <v>0</v>
      </c>
      <c r="Y651" s="2122"/>
    </row>
    <row r="652" spans="1:25" ht="30" customHeight="1">
      <c r="A652" s="389">
        <v>4</v>
      </c>
      <c r="B652" s="2109">
        <f>'بند4-8 دبيري همايش هاي علمي...'!B9</f>
        <v>0</v>
      </c>
      <c r="C652" s="2109"/>
      <c r="D652" s="2109"/>
      <c r="E652" s="2109"/>
      <c r="F652" s="2109"/>
      <c r="G652" s="2109"/>
      <c r="H652" s="2109"/>
      <c r="I652" s="2109"/>
      <c r="J652" s="2109"/>
      <c r="K652" s="2109"/>
      <c r="L652" s="2109"/>
      <c r="M652" s="2180">
        <f>'بند4-8 دبيري همايش هاي علمي...'!I9</f>
        <v>0</v>
      </c>
      <c r="N652" s="2180"/>
      <c r="O652" s="2180"/>
      <c r="P652" s="2180"/>
      <c r="Q652" s="2181">
        <f>'بند4-8 دبيري همايش هاي علمي...'!L9</f>
        <v>0</v>
      </c>
      <c r="R652" s="2181"/>
      <c r="S652" s="2181"/>
      <c r="T652" s="2423">
        <f>'بند4-8 دبيري همايش هاي علمي...'!O9</f>
        <v>0</v>
      </c>
      <c r="U652" s="2423"/>
      <c r="V652" s="2423"/>
      <c r="W652" s="2423"/>
      <c r="X652" s="2121">
        <f>'بند4-8 دبيري همايش هاي علمي...'!S9</f>
        <v>0</v>
      </c>
      <c r="Y652" s="2122"/>
    </row>
    <row r="653" spans="1:25" ht="30" customHeight="1">
      <c r="A653" s="390">
        <v>5</v>
      </c>
      <c r="B653" s="2109">
        <f>'بند4-8 دبيري همايش هاي علمي...'!B10</f>
        <v>0</v>
      </c>
      <c r="C653" s="2109"/>
      <c r="D653" s="2109"/>
      <c r="E653" s="2109"/>
      <c r="F653" s="2109"/>
      <c r="G653" s="2109"/>
      <c r="H653" s="2109"/>
      <c r="I653" s="2109"/>
      <c r="J653" s="2109"/>
      <c r="K653" s="2109"/>
      <c r="L653" s="2109"/>
      <c r="M653" s="2180">
        <f>'بند4-8 دبيري همايش هاي علمي...'!I10</f>
        <v>0</v>
      </c>
      <c r="N653" s="2180"/>
      <c r="O653" s="2180"/>
      <c r="P653" s="2180"/>
      <c r="Q653" s="2181">
        <f>'بند4-8 دبيري همايش هاي علمي...'!L10</f>
        <v>0</v>
      </c>
      <c r="R653" s="2181"/>
      <c r="S653" s="2181"/>
      <c r="T653" s="2423">
        <f>'بند4-8 دبيري همايش هاي علمي...'!O10</f>
        <v>0</v>
      </c>
      <c r="U653" s="2423"/>
      <c r="V653" s="2423"/>
      <c r="W653" s="2423"/>
      <c r="X653" s="2121">
        <f>'بند4-8 دبيري همايش هاي علمي...'!S10</f>
        <v>0</v>
      </c>
      <c r="Y653" s="2122"/>
    </row>
    <row r="654" spans="1:25" ht="30" customHeight="1">
      <c r="A654" s="389">
        <v>6</v>
      </c>
      <c r="B654" s="2109">
        <f>'بند4-8 دبيري همايش هاي علمي...'!B11</f>
        <v>0</v>
      </c>
      <c r="C654" s="2109"/>
      <c r="D654" s="2109"/>
      <c r="E654" s="2109"/>
      <c r="F654" s="2109"/>
      <c r="G654" s="2109"/>
      <c r="H654" s="2109"/>
      <c r="I654" s="2109"/>
      <c r="J654" s="2109"/>
      <c r="K654" s="2109"/>
      <c r="L654" s="2109"/>
      <c r="M654" s="2180">
        <f>'بند4-8 دبيري همايش هاي علمي...'!I11</f>
        <v>0</v>
      </c>
      <c r="N654" s="2180"/>
      <c r="O654" s="2180"/>
      <c r="P654" s="2180"/>
      <c r="Q654" s="2181">
        <f>'بند4-8 دبيري همايش هاي علمي...'!L11</f>
        <v>0</v>
      </c>
      <c r="R654" s="2181"/>
      <c r="S654" s="2181"/>
      <c r="T654" s="2423">
        <f>'بند4-8 دبيري همايش هاي علمي...'!O11</f>
        <v>0</v>
      </c>
      <c r="U654" s="2423"/>
      <c r="V654" s="2423"/>
      <c r="W654" s="2423"/>
      <c r="X654" s="2121">
        <f>'بند4-8 دبيري همايش هاي علمي...'!S11</f>
        <v>0</v>
      </c>
      <c r="Y654" s="2122"/>
    </row>
    <row r="655" spans="1:25" ht="30" customHeight="1">
      <c r="A655" s="389">
        <v>7</v>
      </c>
      <c r="B655" s="2109">
        <f>'بند4-8 دبيري همايش هاي علمي...'!B12</f>
        <v>0</v>
      </c>
      <c r="C655" s="2109"/>
      <c r="D655" s="2109"/>
      <c r="E655" s="2109"/>
      <c r="F655" s="2109"/>
      <c r="G655" s="2109"/>
      <c r="H655" s="2109"/>
      <c r="I655" s="2109"/>
      <c r="J655" s="2109"/>
      <c r="K655" s="2109"/>
      <c r="L655" s="2109"/>
      <c r="M655" s="2180">
        <f>'بند4-8 دبيري همايش هاي علمي...'!I12</f>
        <v>0</v>
      </c>
      <c r="N655" s="2180"/>
      <c r="O655" s="2180"/>
      <c r="P655" s="2180"/>
      <c r="Q655" s="2181">
        <f>'بند4-8 دبيري همايش هاي علمي...'!L12</f>
        <v>0</v>
      </c>
      <c r="R655" s="2181"/>
      <c r="S655" s="2181"/>
      <c r="T655" s="2423">
        <f>'بند4-8 دبيري همايش هاي علمي...'!O12</f>
        <v>0</v>
      </c>
      <c r="U655" s="2423"/>
      <c r="V655" s="2423"/>
      <c r="W655" s="2423"/>
      <c r="X655" s="2121">
        <f>'بند4-8 دبيري همايش هاي علمي...'!S12</f>
        <v>0</v>
      </c>
      <c r="Y655" s="2122"/>
    </row>
    <row r="656" spans="1:25" ht="30" customHeight="1">
      <c r="A656" s="390">
        <v>8</v>
      </c>
      <c r="B656" s="2109">
        <f>'بند4-8 دبيري همايش هاي علمي...'!B13</f>
        <v>0</v>
      </c>
      <c r="C656" s="2109"/>
      <c r="D656" s="2109"/>
      <c r="E656" s="2109"/>
      <c r="F656" s="2109"/>
      <c r="G656" s="2109"/>
      <c r="H656" s="2109"/>
      <c r="I656" s="2109"/>
      <c r="J656" s="2109"/>
      <c r="K656" s="2109"/>
      <c r="L656" s="2109"/>
      <c r="M656" s="2180">
        <f>'بند4-8 دبيري همايش هاي علمي...'!I13</f>
        <v>0</v>
      </c>
      <c r="N656" s="2180"/>
      <c r="O656" s="2180"/>
      <c r="P656" s="2180"/>
      <c r="Q656" s="2181">
        <f>'بند4-8 دبيري همايش هاي علمي...'!L13</f>
        <v>0</v>
      </c>
      <c r="R656" s="2181"/>
      <c r="S656" s="2181"/>
      <c r="T656" s="2423">
        <f>'بند4-8 دبيري همايش هاي علمي...'!O13</f>
        <v>0</v>
      </c>
      <c r="U656" s="2423"/>
      <c r="V656" s="2423"/>
      <c r="W656" s="2423"/>
      <c r="X656" s="2121">
        <f>'بند4-8 دبيري همايش هاي علمي...'!S13</f>
        <v>0</v>
      </c>
      <c r="Y656" s="2122"/>
    </row>
    <row r="657" spans="1:25" ht="30" customHeight="1">
      <c r="A657" s="389">
        <v>9</v>
      </c>
      <c r="B657" s="2109">
        <f>'بند4-8 دبيري همايش هاي علمي...'!B14</f>
        <v>0</v>
      </c>
      <c r="C657" s="2109"/>
      <c r="D657" s="2109"/>
      <c r="E657" s="2109"/>
      <c r="F657" s="2109"/>
      <c r="G657" s="2109"/>
      <c r="H657" s="2109"/>
      <c r="I657" s="2109"/>
      <c r="J657" s="2109"/>
      <c r="K657" s="2109"/>
      <c r="L657" s="2109"/>
      <c r="M657" s="2180">
        <f>'بند4-8 دبيري همايش هاي علمي...'!I14</f>
        <v>0</v>
      </c>
      <c r="N657" s="2180"/>
      <c r="O657" s="2180"/>
      <c r="P657" s="2180"/>
      <c r="Q657" s="2181">
        <f>'بند4-8 دبيري همايش هاي علمي...'!L14</f>
        <v>0</v>
      </c>
      <c r="R657" s="2181"/>
      <c r="S657" s="2181"/>
      <c r="T657" s="2423">
        <f>'بند4-8 دبيري همايش هاي علمي...'!O14</f>
        <v>0</v>
      </c>
      <c r="U657" s="2423"/>
      <c r="V657" s="2423"/>
      <c r="W657" s="2423"/>
      <c r="X657" s="2121">
        <f>'بند4-8 دبيري همايش هاي علمي...'!S14</f>
        <v>0</v>
      </c>
      <c r="Y657" s="2122"/>
    </row>
    <row r="658" spans="1:25" ht="30" customHeight="1" thickBot="1">
      <c r="A658" s="401">
        <v>10</v>
      </c>
      <c r="B658" s="2426">
        <f>'بند4-8 دبيري همايش هاي علمي...'!B15</f>
        <v>0</v>
      </c>
      <c r="C658" s="2427"/>
      <c r="D658" s="2427"/>
      <c r="E658" s="2427"/>
      <c r="F658" s="2427"/>
      <c r="G658" s="2427"/>
      <c r="H658" s="2427"/>
      <c r="I658" s="2427"/>
      <c r="J658" s="2427"/>
      <c r="K658" s="2427"/>
      <c r="L658" s="2428"/>
      <c r="M658" s="2429">
        <f>'بند4-8 دبيري همايش هاي علمي...'!I15</f>
        <v>0</v>
      </c>
      <c r="N658" s="2371"/>
      <c r="O658" s="2371"/>
      <c r="P658" s="2372"/>
      <c r="Q658" s="2430">
        <f>'بند4-8 دبيري همايش هاي علمي...'!L15</f>
        <v>0</v>
      </c>
      <c r="R658" s="2431"/>
      <c r="S658" s="2432"/>
      <c r="T658" s="2433">
        <f>'بند4-8 دبيري همايش هاي علمي...'!O15</f>
        <v>0</v>
      </c>
      <c r="U658" s="2433"/>
      <c r="V658" s="2433"/>
      <c r="W658" s="2434"/>
      <c r="X658" s="2435">
        <f>'بند4-8 دبيري همايش هاي علمي...'!S15</f>
        <v>0</v>
      </c>
      <c r="Y658" s="2436"/>
    </row>
    <row r="659" spans="1:25" ht="30" customHeight="1" thickBot="1">
      <c r="A659" s="2130" t="s">
        <v>807</v>
      </c>
      <c r="B659" s="2131"/>
      <c r="C659" s="2131"/>
      <c r="D659" s="2131"/>
      <c r="E659" s="2131"/>
      <c r="F659" s="2131"/>
      <c r="G659" s="2131"/>
      <c r="H659" s="2131"/>
      <c r="I659" s="2131"/>
      <c r="J659" s="2131"/>
      <c r="K659" s="2131"/>
      <c r="L659" s="2131"/>
      <c r="M659" s="2131"/>
      <c r="N659" s="2131"/>
      <c r="O659" s="2131"/>
      <c r="P659" s="2131"/>
      <c r="Q659" s="2131"/>
      <c r="R659" s="2131"/>
      <c r="S659" s="2131"/>
      <c r="T659" s="2131"/>
      <c r="U659" s="2131"/>
      <c r="V659" s="2131"/>
      <c r="W659" s="2131"/>
      <c r="X659" s="2123">
        <f>'بند4-8 دبيري همايش هاي علمي...'!S16</f>
        <v>0</v>
      </c>
      <c r="Y659" s="2124"/>
    </row>
    <row r="660" spans="1:25" ht="50.25" customHeight="1" thickBot="1">
      <c r="A660" s="2415" t="s">
        <v>832</v>
      </c>
      <c r="B660" s="2415"/>
      <c r="C660" s="2415"/>
      <c r="D660" s="2415"/>
      <c r="E660" s="2415"/>
      <c r="F660" s="2415"/>
      <c r="G660" s="2415"/>
      <c r="H660" s="2415"/>
      <c r="I660" s="2415"/>
      <c r="J660" s="2415"/>
      <c r="K660" s="2415"/>
      <c r="L660" s="2415"/>
      <c r="M660" s="2415"/>
      <c r="N660" s="2415"/>
      <c r="O660" s="2415"/>
      <c r="P660" s="2415"/>
      <c r="Q660" s="2415"/>
      <c r="R660" s="2415"/>
      <c r="S660" s="2415"/>
      <c r="T660" s="2415"/>
      <c r="U660" s="2415"/>
      <c r="V660" s="2415"/>
      <c r="W660" s="2415"/>
      <c r="X660" s="2415"/>
      <c r="Y660" s="2415"/>
    </row>
    <row r="661" spans="1:25" ht="40.5" customHeight="1">
      <c r="A661" s="367" t="s">
        <v>9</v>
      </c>
      <c r="B661" s="2242" t="s">
        <v>825</v>
      </c>
      <c r="C661" s="2243"/>
      <c r="D661" s="2243"/>
      <c r="E661" s="2243"/>
      <c r="F661" s="2243"/>
      <c r="G661" s="2243"/>
      <c r="H661" s="2244"/>
      <c r="I661" s="2102" t="s">
        <v>826</v>
      </c>
      <c r="J661" s="2104"/>
      <c r="K661" s="2103" t="s">
        <v>331</v>
      </c>
      <c r="L661" s="2103"/>
      <c r="M661" s="2103"/>
      <c r="N661" s="2103"/>
      <c r="O661" s="2104"/>
      <c r="P661" s="2102" t="s">
        <v>367</v>
      </c>
      <c r="Q661" s="2104"/>
      <c r="R661" s="2102" t="s">
        <v>536</v>
      </c>
      <c r="S661" s="2103"/>
      <c r="T661" s="2103"/>
      <c r="U661" s="2103"/>
      <c r="V661" s="2103"/>
      <c r="W661" s="2104"/>
      <c r="X661" s="2414" t="s">
        <v>13</v>
      </c>
      <c r="Y661" s="2410"/>
    </row>
    <row r="662" spans="1:25" ht="30" customHeight="1">
      <c r="A662" s="402">
        <v>1</v>
      </c>
      <c r="B662" s="2108">
        <f>'بند4-16 تدوين كتاب به شيوه ...'!B6</f>
        <v>0</v>
      </c>
      <c r="C662" s="2109"/>
      <c r="D662" s="2109"/>
      <c r="E662" s="2109"/>
      <c r="F662" s="2109"/>
      <c r="G662" s="2109"/>
      <c r="H662" s="2109"/>
      <c r="I662" s="2107">
        <f>'بند4-16 تدوين كتاب به شيوه ...'!H6</f>
        <v>0</v>
      </c>
      <c r="J662" s="2107"/>
      <c r="K662" s="2107">
        <f>'بند4-16 تدوين كتاب به شيوه ...'!I6</f>
        <v>0</v>
      </c>
      <c r="L662" s="2107"/>
      <c r="M662" s="2107"/>
      <c r="N662" s="2107"/>
      <c r="O662" s="2107"/>
      <c r="P662" s="2107">
        <f>'بند4-16 تدوين كتاب به شيوه ...'!L6</f>
        <v>0</v>
      </c>
      <c r="Q662" s="2110"/>
      <c r="R662" s="2105">
        <f>'بند4-16 تدوين كتاب به شيوه ...'!O6</f>
        <v>0</v>
      </c>
      <c r="S662" s="2106"/>
      <c r="T662" s="2106"/>
      <c r="U662" s="2106"/>
      <c r="V662" s="2106"/>
      <c r="W662" s="2106"/>
      <c r="X662" s="2121">
        <f>'بند4-16 تدوين كتاب به شيوه ...'!S6</f>
        <v>0</v>
      </c>
      <c r="Y662" s="2411"/>
    </row>
    <row r="663" spans="1:25" ht="30" customHeight="1">
      <c r="A663" s="402">
        <v>2</v>
      </c>
      <c r="B663" s="2108">
        <f>'بند4-16 تدوين كتاب به شيوه ...'!B7</f>
        <v>0</v>
      </c>
      <c r="C663" s="2109"/>
      <c r="D663" s="2109"/>
      <c r="E663" s="2109"/>
      <c r="F663" s="2109"/>
      <c r="G663" s="2109"/>
      <c r="H663" s="2109"/>
      <c r="I663" s="2107">
        <f>'بند4-16 تدوين كتاب به شيوه ...'!H7</f>
        <v>0</v>
      </c>
      <c r="J663" s="2107"/>
      <c r="K663" s="2107">
        <f>'بند4-16 تدوين كتاب به شيوه ...'!I7</f>
        <v>0</v>
      </c>
      <c r="L663" s="2107"/>
      <c r="M663" s="2107"/>
      <c r="N663" s="2107"/>
      <c r="O663" s="2107"/>
      <c r="P663" s="2107">
        <f>'بند4-16 تدوين كتاب به شيوه ...'!L7</f>
        <v>0</v>
      </c>
      <c r="Q663" s="2110"/>
      <c r="R663" s="2105">
        <f>'بند4-16 تدوين كتاب به شيوه ...'!O7</f>
        <v>0</v>
      </c>
      <c r="S663" s="2106"/>
      <c r="T663" s="2106"/>
      <c r="U663" s="2106"/>
      <c r="V663" s="2106"/>
      <c r="W663" s="2106"/>
      <c r="X663" s="2121">
        <f>'بند4-16 تدوين كتاب به شيوه ...'!S7</f>
        <v>0</v>
      </c>
      <c r="Y663" s="2411"/>
    </row>
    <row r="664" spans="1:25" ht="45.75" customHeight="1">
      <c r="A664" s="402">
        <v>3</v>
      </c>
      <c r="B664" s="2108">
        <f>'بند4-16 تدوين كتاب به شيوه ...'!B8</f>
        <v>0</v>
      </c>
      <c r="C664" s="2109"/>
      <c r="D664" s="2109"/>
      <c r="E664" s="2109"/>
      <c r="F664" s="2109"/>
      <c r="G664" s="2109"/>
      <c r="H664" s="2109"/>
      <c r="I664" s="2107">
        <f>'بند4-16 تدوين كتاب به شيوه ...'!H8</f>
        <v>0</v>
      </c>
      <c r="J664" s="2107"/>
      <c r="K664" s="2107">
        <f>'بند4-16 تدوين كتاب به شيوه ...'!I8</f>
        <v>0</v>
      </c>
      <c r="L664" s="2107"/>
      <c r="M664" s="2107"/>
      <c r="N664" s="2107"/>
      <c r="O664" s="2107"/>
      <c r="P664" s="2107">
        <f>'بند4-16 تدوين كتاب به شيوه ...'!L8</f>
        <v>0</v>
      </c>
      <c r="Q664" s="2110"/>
      <c r="R664" s="2105">
        <f>'بند4-16 تدوين كتاب به شيوه ...'!O8</f>
        <v>0</v>
      </c>
      <c r="S664" s="2106"/>
      <c r="T664" s="2106"/>
      <c r="U664" s="2106"/>
      <c r="V664" s="2106"/>
      <c r="W664" s="2106"/>
      <c r="X664" s="2121">
        <f>'بند4-16 تدوين كتاب به شيوه ...'!S8</f>
        <v>0</v>
      </c>
      <c r="Y664" s="2411"/>
    </row>
    <row r="665" spans="1:25" ht="38.25" customHeight="1">
      <c r="A665" s="402">
        <v>4</v>
      </c>
      <c r="B665" s="2108">
        <f>'بند4-16 تدوين كتاب به شيوه ...'!B9</f>
        <v>0</v>
      </c>
      <c r="C665" s="2109"/>
      <c r="D665" s="2109"/>
      <c r="E665" s="2109"/>
      <c r="F665" s="2109"/>
      <c r="G665" s="2109"/>
      <c r="H665" s="2109"/>
      <c r="I665" s="2107">
        <f>'بند4-16 تدوين كتاب به شيوه ...'!H9</f>
        <v>0</v>
      </c>
      <c r="J665" s="2107"/>
      <c r="K665" s="2107">
        <f>'بند4-16 تدوين كتاب به شيوه ...'!I9</f>
        <v>0</v>
      </c>
      <c r="L665" s="2107"/>
      <c r="M665" s="2107"/>
      <c r="N665" s="2107"/>
      <c r="O665" s="2107"/>
      <c r="P665" s="2107">
        <f>'بند4-16 تدوين كتاب به شيوه ...'!L9</f>
        <v>0</v>
      </c>
      <c r="Q665" s="2110"/>
      <c r="R665" s="2105">
        <f>'بند4-16 تدوين كتاب به شيوه ...'!O9</f>
        <v>0</v>
      </c>
      <c r="S665" s="2106"/>
      <c r="T665" s="2106"/>
      <c r="U665" s="2106"/>
      <c r="V665" s="2106"/>
      <c r="W665" s="2106"/>
      <c r="X665" s="2121">
        <f>'بند4-16 تدوين كتاب به شيوه ...'!S9</f>
        <v>0</v>
      </c>
      <c r="Y665" s="2411"/>
    </row>
    <row r="666" spans="1:25" ht="30" customHeight="1">
      <c r="A666" s="402">
        <v>5</v>
      </c>
      <c r="B666" s="2108">
        <f>'بند4-16 تدوين كتاب به شيوه ...'!B10</f>
        <v>0</v>
      </c>
      <c r="C666" s="2109"/>
      <c r="D666" s="2109"/>
      <c r="E666" s="2109"/>
      <c r="F666" s="2109"/>
      <c r="G666" s="2109"/>
      <c r="H666" s="2109"/>
      <c r="I666" s="2107">
        <f>'بند4-16 تدوين كتاب به شيوه ...'!H10</f>
        <v>0</v>
      </c>
      <c r="J666" s="2107"/>
      <c r="K666" s="2107">
        <f>'بند4-16 تدوين كتاب به شيوه ...'!I10</f>
        <v>0</v>
      </c>
      <c r="L666" s="2107"/>
      <c r="M666" s="2107"/>
      <c r="N666" s="2107"/>
      <c r="O666" s="2107"/>
      <c r="P666" s="2107">
        <f>'بند4-16 تدوين كتاب به شيوه ...'!L10</f>
        <v>0</v>
      </c>
      <c r="Q666" s="2110"/>
      <c r="R666" s="2105">
        <f>'بند4-16 تدوين كتاب به شيوه ...'!O10</f>
        <v>0</v>
      </c>
      <c r="S666" s="2106"/>
      <c r="T666" s="2106"/>
      <c r="U666" s="2106"/>
      <c r="V666" s="2106"/>
      <c r="W666" s="2106"/>
      <c r="X666" s="2121">
        <f>'بند4-16 تدوين كتاب به شيوه ...'!S10</f>
        <v>0</v>
      </c>
      <c r="Y666" s="2411"/>
    </row>
    <row r="667" spans="1:25" ht="30" customHeight="1">
      <c r="A667" s="402">
        <v>6</v>
      </c>
      <c r="B667" s="2108">
        <f>'بند4-16 تدوين كتاب به شيوه ...'!B11</f>
        <v>0</v>
      </c>
      <c r="C667" s="2109"/>
      <c r="D667" s="2109"/>
      <c r="E667" s="2109"/>
      <c r="F667" s="2109"/>
      <c r="G667" s="2109"/>
      <c r="H667" s="2109"/>
      <c r="I667" s="2107">
        <f>'بند4-16 تدوين كتاب به شيوه ...'!H11</f>
        <v>0</v>
      </c>
      <c r="J667" s="2107"/>
      <c r="K667" s="2107">
        <f>'بند4-16 تدوين كتاب به شيوه ...'!I11</f>
        <v>0</v>
      </c>
      <c r="L667" s="2107"/>
      <c r="M667" s="2107"/>
      <c r="N667" s="2107"/>
      <c r="O667" s="2107"/>
      <c r="P667" s="2107">
        <f>'بند4-16 تدوين كتاب به شيوه ...'!L11</f>
        <v>0</v>
      </c>
      <c r="Q667" s="2110"/>
      <c r="R667" s="2105">
        <f>'بند4-16 تدوين كتاب به شيوه ...'!O11</f>
        <v>0</v>
      </c>
      <c r="S667" s="2106"/>
      <c r="T667" s="2106"/>
      <c r="U667" s="2106"/>
      <c r="V667" s="2106"/>
      <c r="W667" s="2106"/>
      <c r="X667" s="2121">
        <f>'بند4-16 تدوين كتاب به شيوه ...'!S11</f>
        <v>0</v>
      </c>
      <c r="Y667" s="2411"/>
    </row>
    <row r="668" spans="1:25" ht="30" customHeight="1">
      <c r="A668" s="402">
        <v>7</v>
      </c>
      <c r="B668" s="2108">
        <f>'بند4-16 تدوين كتاب به شيوه ...'!B12</f>
        <v>0</v>
      </c>
      <c r="C668" s="2109"/>
      <c r="D668" s="2109"/>
      <c r="E668" s="2109"/>
      <c r="F668" s="2109"/>
      <c r="G668" s="2109"/>
      <c r="H668" s="2109"/>
      <c r="I668" s="2107">
        <f>'بند4-16 تدوين كتاب به شيوه ...'!H12</f>
        <v>0</v>
      </c>
      <c r="J668" s="2107"/>
      <c r="K668" s="2107">
        <f>'بند4-16 تدوين كتاب به شيوه ...'!I12</f>
        <v>0</v>
      </c>
      <c r="L668" s="2107"/>
      <c r="M668" s="2107"/>
      <c r="N668" s="2107"/>
      <c r="O668" s="2107"/>
      <c r="P668" s="2107">
        <f>'بند4-16 تدوين كتاب به شيوه ...'!L12</f>
        <v>0</v>
      </c>
      <c r="Q668" s="2110"/>
      <c r="R668" s="2105">
        <f>'بند4-16 تدوين كتاب به شيوه ...'!O12</f>
        <v>0</v>
      </c>
      <c r="S668" s="2106"/>
      <c r="T668" s="2106"/>
      <c r="U668" s="2106"/>
      <c r="V668" s="2106"/>
      <c r="W668" s="2106"/>
      <c r="X668" s="2121">
        <f>'بند4-16 تدوين كتاب به شيوه ...'!S12</f>
        <v>0</v>
      </c>
      <c r="Y668" s="2411"/>
    </row>
    <row r="669" spans="1:25" ht="30" customHeight="1">
      <c r="A669" s="402">
        <v>8</v>
      </c>
      <c r="B669" s="2108">
        <f>'بند4-16 تدوين كتاب به شيوه ...'!B13</f>
        <v>0</v>
      </c>
      <c r="C669" s="2109"/>
      <c r="D669" s="2109"/>
      <c r="E669" s="2109"/>
      <c r="F669" s="2109"/>
      <c r="G669" s="2109"/>
      <c r="H669" s="2109"/>
      <c r="I669" s="2107">
        <f>'بند4-16 تدوين كتاب به شيوه ...'!H13</f>
        <v>0</v>
      </c>
      <c r="J669" s="2107"/>
      <c r="K669" s="2107">
        <f>'بند4-16 تدوين كتاب به شيوه ...'!I13</f>
        <v>0</v>
      </c>
      <c r="L669" s="2107"/>
      <c r="M669" s="2107"/>
      <c r="N669" s="2107"/>
      <c r="O669" s="2107"/>
      <c r="P669" s="2107">
        <f>'بند4-16 تدوين كتاب به شيوه ...'!L13</f>
        <v>0</v>
      </c>
      <c r="Q669" s="2110"/>
      <c r="R669" s="2105">
        <f>'بند4-16 تدوين كتاب به شيوه ...'!O13</f>
        <v>0</v>
      </c>
      <c r="S669" s="2106"/>
      <c r="T669" s="2106"/>
      <c r="U669" s="2106"/>
      <c r="V669" s="2106"/>
      <c r="W669" s="2106"/>
      <c r="X669" s="2121">
        <f>'بند4-16 تدوين كتاب به شيوه ...'!S13</f>
        <v>0</v>
      </c>
      <c r="Y669" s="2411"/>
    </row>
    <row r="670" spans="1:25" ht="30" customHeight="1">
      <c r="A670" s="402">
        <v>9</v>
      </c>
      <c r="B670" s="2108">
        <f>'بند4-16 تدوين كتاب به شيوه ...'!B14</f>
        <v>0</v>
      </c>
      <c r="C670" s="2109"/>
      <c r="D670" s="2109"/>
      <c r="E670" s="2109"/>
      <c r="F670" s="2109"/>
      <c r="G670" s="2109"/>
      <c r="H670" s="2109"/>
      <c r="I670" s="2107">
        <f>'بند4-16 تدوين كتاب به شيوه ...'!H14</f>
        <v>0</v>
      </c>
      <c r="J670" s="2107"/>
      <c r="K670" s="2107">
        <f>'بند4-16 تدوين كتاب به شيوه ...'!I14</f>
        <v>0</v>
      </c>
      <c r="L670" s="2107"/>
      <c r="M670" s="2107"/>
      <c r="N670" s="2107"/>
      <c r="O670" s="2107"/>
      <c r="P670" s="2107">
        <f>'بند4-16 تدوين كتاب به شيوه ...'!L14</f>
        <v>0</v>
      </c>
      <c r="Q670" s="2110"/>
      <c r="R670" s="2105">
        <f>'بند4-16 تدوين كتاب به شيوه ...'!O14</f>
        <v>0</v>
      </c>
      <c r="S670" s="2106"/>
      <c r="T670" s="2106"/>
      <c r="U670" s="2106"/>
      <c r="V670" s="2106"/>
      <c r="W670" s="2106"/>
      <c r="X670" s="2121">
        <f>'بند4-16 تدوين كتاب به شيوه ...'!S14</f>
        <v>0</v>
      </c>
      <c r="Y670" s="2411"/>
    </row>
    <row r="671" spans="1:25" ht="30" customHeight="1" thickBot="1">
      <c r="A671" s="403">
        <v>10</v>
      </c>
      <c r="B671" s="2111">
        <f>'بند4-16 تدوين كتاب به شيوه ...'!B15</f>
        <v>0</v>
      </c>
      <c r="C671" s="2112"/>
      <c r="D671" s="2112"/>
      <c r="E671" s="2112"/>
      <c r="F671" s="2112"/>
      <c r="G671" s="2112"/>
      <c r="H671" s="2112"/>
      <c r="I671" s="2113">
        <f>'بند4-16 تدوين كتاب به شيوه ...'!H15</f>
        <v>0</v>
      </c>
      <c r="J671" s="2113"/>
      <c r="K671" s="2113">
        <f>'بند4-16 تدوين كتاب به شيوه ...'!I15</f>
        <v>0</v>
      </c>
      <c r="L671" s="2113"/>
      <c r="M671" s="2113"/>
      <c r="N671" s="2113"/>
      <c r="O671" s="2113"/>
      <c r="P671" s="2113">
        <f>'بند4-16 تدوين كتاب به شيوه ...'!L15</f>
        <v>0</v>
      </c>
      <c r="Q671" s="2114"/>
      <c r="R671" s="2420">
        <f>'بند4-16 تدوين كتاب به شيوه ...'!O15</f>
        <v>0</v>
      </c>
      <c r="S671" s="2421"/>
      <c r="T671" s="2421"/>
      <c r="U671" s="2421"/>
      <c r="V671" s="2421"/>
      <c r="W671" s="2421"/>
      <c r="X671" s="2135">
        <f>'بند4-16 تدوين كتاب به شيوه ...'!S15</f>
        <v>0</v>
      </c>
      <c r="Y671" s="2419"/>
    </row>
    <row r="672" spans="1:25" ht="30" customHeight="1">
      <c r="A672" s="2115" t="s">
        <v>833</v>
      </c>
      <c r="B672" s="2116"/>
      <c r="C672" s="2116"/>
      <c r="D672" s="2116"/>
      <c r="E672" s="2116"/>
      <c r="F672" s="2116"/>
      <c r="G672" s="2116"/>
      <c r="H672" s="2116"/>
      <c r="I672" s="2116"/>
      <c r="J672" s="2116"/>
      <c r="K672" s="2116"/>
      <c r="L672" s="2116"/>
      <c r="M672" s="2116"/>
      <c r="N672" s="2116"/>
      <c r="O672" s="2116"/>
      <c r="P672" s="2116"/>
      <c r="Q672" s="2116"/>
      <c r="R672" s="2116"/>
      <c r="S672" s="2116"/>
      <c r="T672" s="2116"/>
      <c r="U672" s="2116"/>
      <c r="V672" s="2116"/>
      <c r="W672" s="2116"/>
      <c r="X672" s="2137">
        <f>'بند4-16 تدوين كتاب به شيوه ...'!S16</f>
        <v>0</v>
      </c>
      <c r="Y672" s="2138"/>
    </row>
    <row r="673" spans="1:25" ht="30" customHeight="1" thickBot="1">
      <c r="A673" s="2100" t="s">
        <v>834</v>
      </c>
      <c r="B673" s="2101"/>
      <c r="C673" s="2101"/>
      <c r="D673" s="2101"/>
      <c r="E673" s="2101"/>
      <c r="F673" s="2101"/>
      <c r="G673" s="2101"/>
      <c r="H673" s="2101"/>
      <c r="I673" s="2101"/>
      <c r="J673" s="2101"/>
      <c r="K673" s="2101"/>
      <c r="L673" s="2101"/>
      <c r="M673" s="2101"/>
      <c r="N673" s="2101"/>
      <c r="O673" s="2101"/>
      <c r="P673" s="2101"/>
      <c r="Q673" s="2101"/>
      <c r="R673" s="2101"/>
      <c r="S673" s="2101"/>
      <c r="T673" s="2101"/>
      <c r="U673" s="2101"/>
      <c r="V673" s="2101"/>
      <c r="W673" s="2101"/>
      <c r="X673" s="2418">
        <f>'بند4-16 تدوين كتاب به شيوه ...'!S17</f>
        <v>0</v>
      </c>
      <c r="Y673" s="2364"/>
    </row>
    <row r="674" spans="1:25" ht="30" customHeight="1">
      <c r="A674" s="404"/>
      <c r="B674" s="404"/>
      <c r="C674" s="404"/>
      <c r="D674" s="404"/>
      <c r="E674" s="404"/>
      <c r="F674" s="404"/>
      <c r="G674" s="404"/>
      <c r="H674" s="404"/>
      <c r="I674" s="404"/>
      <c r="J674" s="404"/>
      <c r="K674" s="404"/>
      <c r="L674" s="404"/>
      <c r="M674" s="404"/>
      <c r="N674" s="404"/>
      <c r="O674" s="404"/>
      <c r="P674" s="404"/>
      <c r="Q674" s="404"/>
      <c r="R674" s="404"/>
      <c r="S674" s="404"/>
      <c r="T674" s="404"/>
      <c r="U674" s="404"/>
      <c r="V674" s="404"/>
      <c r="W674" s="404"/>
      <c r="X674" s="405"/>
      <c r="Y674" s="405"/>
    </row>
  </sheetData>
  <sheetProtection algorithmName="SHA-512" hashValue="7flHFjAe9J31BbvV1kAXuESTnaUlp2uaLmaG4MdE1lEwRtrVvo/nvoY72S3vkzPPcRopHnkG1IqXV1YRpe6TYA==" saltValue="sXu7AUad79pgM/Mbm54NDg==" spinCount="100000" sheet="1" objects="1" scenarios="1" formatCells="0" formatRows="0"/>
  <mergeCells count="2977">
    <mergeCell ref="A542:W542"/>
    <mergeCell ref="X542:Y542"/>
    <mergeCell ref="B658:L658"/>
    <mergeCell ref="M658:P658"/>
    <mergeCell ref="Q658:S658"/>
    <mergeCell ref="T658:W658"/>
    <mergeCell ref="X658:Y658"/>
    <mergeCell ref="A659:W659"/>
    <mergeCell ref="X659:Y659"/>
    <mergeCell ref="T648:W648"/>
    <mergeCell ref="Q648:S648"/>
    <mergeCell ref="M648:P648"/>
    <mergeCell ref="B648:L648"/>
    <mergeCell ref="B649:L649"/>
    <mergeCell ref="M649:P649"/>
    <mergeCell ref="Q649:S649"/>
    <mergeCell ref="T649:W649"/>
    <mergeCell ref="B650:L650"/>
    <mergeCell ref="M650:P650"/>
    <mergeCell ref="Q650:S650"/>
    <mergeCell ref="T650:W650"/>
    <mergeCell ref="B651:L651"/>
    <mergeCell ref="M651:P651"/>
    <mergeCell ref="Q651:S651"/>
    <mergeCell ref="T651:W651"/>
    <mergeCell ref="B652:L652"/>
    <mergeCell ref="M652:P652"/>
    <mergeCell ref="Q652:S652"/>
    <mergeCell ref="T652:W652"/>
    <mergeCell ref="X654:Y654"/>
    <mergeCell ref="X655:Y655"/>
    <mergeCell ref="X656:Y656"/>
    <mergeCell ref="X657:Y657"/>
    <mergeCell ref="B654:L654"/>
    <mergeCell ref="B644:K644"/>
    <mergeCell ref="L644:O644"/>
    <mergeCell ref="P644:Q644"/>
    <mergeCell ref="R644:W644"/>
    <mergeCell ref="M654:P654"/>
    <mergeCell ref="Q654:S654"/>
    <mergeCell ref="T654:W654"/>
    <mergeCell ref="B655:L655"/>
    <mergeCell ref="M655:P655"/>
    <mergeCell ref="Q655:S655"/>
    <mergeCell ref="T655:W655"/>
    <mergeCell ref="B656:L656"/>
    <mergeCell ref="M656:P656"/>
    <mergeCell ref="Q656:S656"/>
    <mergeCell ref="T656:W656"/>
    <mergeCell ref="X650:Y650"/>
    <mergeCell ref="X651:Y651"/>
    <mergeCell ref="X652:Y652"/>
    <mergeCell ref="X653:Y653"/>
    <mergeCell ref="B653:L653"/>
    <mergeCell ref="M653:P653"/>
    <mergeCell ref="Q653:S653"/>
    <mergeCell ref="T653:W653"/>
    <mergeCell ref="L640:O640"/>
    <mergeCell ref="P640:Q640"/>
    <mergeCell ref="R640:W640"/>
    <mergeCell ref="X640:Y640"/>
    <mergeCell ref="B657:L657"/>
    <mergeCell ref="M657:P657"/>
    <mergeCell ref="Q657:S657"/>
    <mergeCell ref="T657:W657"/>
    <mergeCell ref="B645:K645"/>
    <mergeCell ref="L645:O645"/>
    <mergeCell ref="P645:Q645"/>
    <mergeCell ref="R645:W645"/>
    <mergeCell ref="X645:Y645"/>
    <mergeCell ref="A646:W646"/>
    <mergeCell ref="A647:Y647"/>
    <mergeCell ref="X648:Y648"/>
    <mergeCell ref="X649:Y649"/>
    <mergeCell ref="B641:K641"/>
    <mergeCell ref="L641:O641"/>
    <mergeCell ref="P641:Q641"/>
    <mergeCell ref="R641:W641"/>
    <mergeCell ref="X641:Y641"/>
    <mergeCell ref="B642:K642"/>
    <mergeCell ref="L642:O642"/>
    <mergeCell ref="P642:Q642"/>
    <mergeCell ref="R642:W642"/>
    <mergeCell ref="X642:Y642"/>
    <mergeCell ref="B643:K643"/>
    <mergeCell ref="L643:O643"/>
    <mergeCell ref="P643:Q643"/>
    <mergeCell ref="R643:W643"/>
    <mergeCell ref="X643:Y643"/>
    <mergeCell ref="X632:Y632"/>
    <mergeCell ref="B633:K633"/>
    <mergeCell ref="L633:O633"/>
    <mergeCell ref="P633:Q633"/>
    <mergeCell ref="R633:W633"/>
    <mergeCell ref="X633:Y633"/>
    <mergeCell ref="B634:K634"/>
    <mergeCell ref="L634:O634"/>
    <mergeCell ref="P634:Q634"/>
    <mergeCell ref="R634:W634"/>
    <mergeCell ref="X634:Y634"/>
    <mergeCell ref="B635:K635"/>
    <mergeCell ref="L635:O635"/>
    <mergeCell ref="P635:Q635"/>
    <mergeCell ref="R635:W635"/>
    <mergeCell ref="X635:Y635"/>
    <mergeCell ref="X644:Y644"/>
    <mergeCell ref="L637:O637"/>
    <mergeCell ref="P637:Q637"/>
    <mergeCell ref="R637:W637"/>
    <mergeCell ref="X637:Y637"/>
    <mergeCell ref="B638:K638"/>
    <mergeCell ref="L638:O638"/>
    <mergeCell ref="P638:Q638"/>
    <mergeCell ref="R638:W638"/>
    <mergeCell ref="X638:Y638"/>
    <mergeCell ref="B639:K639"/>
    <mergeCell ref="L639:O639"/>
    <mergeCell ref="P639:Q639"/>
    <mergeCell ref="R639:W639"/>
    <mergeCell ref="X639:Y639"/>
    <mergeCell ref="B640:K640"/>
    <mergeCell ref="L627:O627"/>
    <mergeCell ref="P627:Q627"/>
    <mergeCell ref="R627:W627"/>
    <mergeCell ref="B632:K632"/>
    <mergeCell ref="L632:O632"/>
    <mergeCell ref="P632:Q632"/>
    <mergeCell ref="R632:W632"/>
    <mergeCell ref="H500:I500"/>
    <mergeCell ref="B497:D497"/>
    <mergeCell ref="B499:D499"/>
    <mergeCell ref="S495:U496"/>
    <mergeCell ref="E489:G490"/>
    <mergeCell ref="H489:I489"/>
    <mergeCell ref="X627:Y627"/>
    <mergeCell ref="B628:K628"/>
    <mergeCell ref="L628:O628"/>
    <mergeCell ref="P628:Q628"/>
    <mergeCell ref="R628:W628"/>
    <mergeCell ref="X628:Y628"/>
    <mergeCell ref="B629:K629"/>
    <mergeCell ref="L629:O629"/>
    <mergeCell ref="P629:Q629"/>
    <mergeCell ref="R629:W629"/>
    <mergeCell ref="X629:Y629"/>
    <mergeCell ref="B630:K630"/>
    <mergeCell ref="L630:O630"/>
    <mergeCell ref="P630:Q630"/>
    <mergeCell ref="R630:W630"/>
    <mergeCell ref="X630:Y630"/>
    <mergeCell ref="X631:Y631"/>
    <mergeCell ref="P631:Q631"/>
    <mergeCell ref="R631:W631"/>
    <mergeCell ref="A497:A498"/>
    <mergeCell ref="E497:G498"/>
    <mergeCell ref="H497:I497"/>
    <mergeCell ref="J497:P498"/>
    <mergeCell ref="Q497:R498"/>
    <mergeCell ref="S497:U498"/>
    <mergeCell ref="H498:I498"/>
    <mergeCell ref="A499:A500"/>
    <mergeCell ref="E499:G500"/>
    <mergeCell ref="H499:I499"/>
    <mergeCell ref="J499:P500"/>
    <mergeCell ref="Q499:R500"/>
    <mergeCell ref="S499:U500"/>
    <mergeCell ref="P636:Q636"/>
    <mergeCell ref="R636:W636"/>
    <mergeCell ref="B311:D311"/>
    <mergeCell ref="B315:D315"/>
    <mergeCell ref="B317:D317"/>
    <mergeCell ref="B319:D319"/>
    <mergeCell ref="B321:D321"/>
    <mergeCell ref="B325:D325"/>
    <mergeCell ref="B327:D327"/>
    <mergeCell ref="B329:D329"/>
    <mergeCell ref="B331:D331"/>
    <mergeCell ref="B335:D335"/>
    <mergeCell ref="B337:D337"/>
    <mergeCell ref="B339:D339"/>
    <mergeCell ref="B341:D341"/>
    <mergeCell ref="B345:D345"/>
    <mergeCell ref="B347:D347"/>
    <mergeCell ref="B349:D349"/>
    <mergeCell ref="B627:K627"/>
    <mergeCell ref="E487:G488"/>
    <mergeCell ref="H487:I487"/>
    <mergeCell ref="J487:P488"/>
    <mergeCell ref="Q487:R488"/>
    <mergeCell ref="S487:U488"/>
    <mergeCell ref="H488:I488"/>
    <mergeCell ref="B485:D485"/>
    <mergeCell ref="B487:D487"/>
    <mergeCell ref="A489:A490"/>
    <mergeCell ref="J489:P490"/>
    <mergeCell ref="Q489:R490"/>
    <mergeCell ref="S489:U490"/>
    <mergeCell ref="H490:I490"/>
    <mergeCell ref="B491:D491"/>
    <mergeCell ref="J501:P502"/>
    <mergeCell ref="Q501:R502"/>
    <mergeCell ref="S501:U502"/>
    <mergeCell ref="A493:A494"/>
    <mergeCell ref="B493:D493"/>
    <mergeCell ref="E493:G494"/>
    <mergeCell ref="H493:I493"/>
    <mergeCell ref="J493:P494"/>
    <mergeCell ref="Q493:R494"/>
    <mergeCell ref="S493:U494"/>
    <mergeCell ref="H494:I494"/>
    <mergeCell ref="A495:A496"/>
    <mergeCell ref="E495:G496"/>
    <mergeCell ref="H495:I495"/>
    <mergeCell ref="J495:P496"/>
    <mergeCell ref="Q495:R496"/>
    <mergeCell ref="H496:I496"/>
    <mergeCell ref="B495:D495"/>
    <mergeCell ref="A491:A492"/>
    <mergeCell ref="E491:G492"/>
    <mergeCell ref="H491:I491"/>
    <mergeCell ref="J491:P492"/>
    <mergeCell ref="Q491:R492"/>
    <mergeCell ref="S491:U492"/>
    <mergeCell ref="H492:I492"/>
    <mergeCell ref="B489:D489"/>
    <mergeCell ref="A481:A482"/>
    <mergeCell ref="E481:G482"/>
    <mergeCell ref="H481:I481"/>
    <mergeCell ref="J481:P482"/>
    <mergeCell ref="Q481:R482"/>
    <mergeCell ref="S481:U482"/>
    <mergeCell ref="H482:I482"/>
    <mergeCell ref="A483:A484"/>
    <mergeCell ref="B483:D483"/>
    <mergeCell ref="E483:G484"/>
    <mergeCell ref="H483:I483"/>
    <mergeCell ref="J483:P484"/>
    <mergeCell ref="Q483:R484"/>
    <mergeCell ref="S483:U484"/>
    <mergeCell ref="H484:I484"/>
    <mergeCell ref="B481:D481"/>
    <mergeCell ref="A485:A486"/>
    <mergeCell ref="E485:G486"/>
    <mergeCell ref="H485:I485"/>
    <mergeCell ref="J485:P486"/>
    <mergeCell ref="Q485:R486"/>
    <mergeCell ref="S485:U486"/>
    <mergeCell ref="H486:I486"/>
    <mergeCell ref="A487:A488"/>
    <mergeCell ref="A477:A478"/>
    <mergeCell ref="E477:G478"/>
    <mergeCell ref="H477:I477"/>
    <mergeCell ref="J477:P478"/>
    <mergeCell ref="Q477:R478"/>
    <mergeCell ref="S477:U478"/>
    <mergeCell ref="H478:I478"/>
    <mergeCell ref="A479:A480"/>
    <mergeCell ref="E479:G480"/>
    <mergeCell ref="H479:I479"/>
    <mergeCell ref="J479:P480"/>
    <mergeCell ref="Q479:R480"/>
    <mergeCell ref="S479:U480"/>
    <mergeCell ref="H480:I480"/>
    <mergeCell ref="B477:D477"/>
    <mergeCell ref="B479:D479"/>
    <mergeCell ref="A473:A474"/>
    <mergeCell ref="B473:D473"/>
    <mergeCell ref="E473:G474"/>
    <mergeCell ref="H473:I473"/>
    <mergeCell ref="J473:P474"/>
    <mergeCell ref="Q473:R474"/>
    <mergeCell ref="S473:U474"/>
    <mergeCell ref="H474:I474"/>
    <mergeCell ref="A475:A476"/>
    <mergeCell ref="E475:G476"/>
    <mergeCell ref="H475:I475"/>
    <mergeCell ref="J475:P476"/>
    <mergeCell ref="Q475:R476"/>
    <mergeCell ref="S475:U476"/>
    <mergeCell ref="H476:I476"/>
    <mergeCell ref="B475:D475"/>
    <mergeCell ref="A469:A470"/>
    <mergeCell ref="E469:G470"/>
    <mergeCell ref="H469:I469"/>
    <mergeCell ref="J469:P470"/>
    <mergeCell ref="Q469:R470"/>
    <mergeCell ref="S469:U470"/>
    <mergeCell ref="H470:I470"/>
    <mergeCell ref="A471:A472"/>
    <mergeCell ref="E471:G472"/>
    <mergeCell ref="H471:I471"/>
    <mergeCell ref="J471:P472"/>
    <mergeCell ref="Q471:R472"/>
    <mergeCell ref="S471:U472"/>
    <mergeCell ref="H472:I472"/>
    <mergeCell ref="B469:D469"/>
    <mergeCell ref="B471:D471"/>
    <mergeCell ref="A465:A466"/>
    <mergeCell ref="E465:G466"/>
    <mergeCell ref="H465:I465"/>
    <mergeCell ref="J465:P466"/>
    <mergeCell ref="Q465:R466"/>
    <mergeCell ref="S465:U466"/>
    <mergeCell ref="H466:I466"/>
    <mergeCell ref="A467:A468"/>
    <mergeCell ref="E467:G468"/>
    <mergeCell ref="H467:I467"/>
    <mergeCell ref="J467:P468"/>
    <mergeCell ref="Q467:R468"/>
    <mergeCell ref="S467:U468"/>
    <mergeCell ref="H468:I468"/>
    <mergeCell ref="B465:D465"/>
    <mergeCell ref="B467:D467"/>
    <mergeCell ref="A461:A462"/>
    <mergeCell ref="E461:G462"/>
    <mergeCell ref="H461:I461"/>
    <mergeCell ref="J461:P462"/>
    <mergeCell ref="Q461:R462"/>
    <mergeCell ref="S461:U462"/>
    <mergeCell ref="H462:I462"/>
    <mergeCell ref="A463:A464"/>
    <mergeCell ref="B463:D463"/>
    <mergeCell ref="E463:G464"/>
    <mergeCell ref="H463:I463"/>
    <mergeCell ref="J463:P464"/>
    <mergeCell ref="Q463:R464"/>
    <mergeCell ref="S463:U464"/>
    <mergeCell ref="H464:I464"/>
    <mergeCell ref="B461:D461"/>
    <mergeCell ref="A457:A458"/>
    <mergeCell ref="E457:G458"/>
    <mergeCell ref="H457:I457"/>
    <mergeCell ref="J457:P458"/>
    <mergeCell ref="Q457:R458"/>
    <mergeCell ref="S457:U458"/>
    <mergeCell ref="H458:I458"/>
    <mergeCell ref="A459:A460"/>
    <mergeCell ref="E459:G460"/>
    <mergeCell ref="H459:I459"/>
    <mergeCell ref="J459:P460"/>
    <mergeCell ref="Q459:R460"/>
    <mergeCell ref="S459:U460"/>
    <mergeCell ref="H460:I460"/>
    <mergeCell ref="B457:D457"/>
    <mergeCell ref="B459:D459"/>
    <mergeCell ref="A453:A454"/>
    <mergeCell ref="B453:D453"/>
    <mergeCell ref="E453:G454"/>
    <mergeCell ref="H453:I453"/>
    <mergeCell ref="J453:P454"/>
    <mergeCell ref="Q453:R454"/>
    <mergeCell ref="S453:U454"/>
    <mergeCell ref="H454:I454"/>
    <mergeCell ref="A455:A456"/>
    <mergeCell ref="E455:G456"/>
    <mergeCell ref="H455:I455"/>
    <mergeCell ref="J455:P456"/>
    <mergeCell ref="Q455:R456"/>
    <mergeCell ref="S455:U456"/>
    <mergeCell ref="H456:I456"/>
    <mergeCell ref="B455:D455"/>
    <mergeCell ref="A449:A450"/>
    <mergeCell ref="E449:G450"/>
    <mergeCell ref="H449:I449"/>
    <mergeCell ref="J449:P450"/>
    <mergeCell ref="Q449:R450"/>
    <mergeCell ref="S449:U450"/>
    <mergeCell ref="H450:I450"/>
    <mergeCell ref="A451:A452"/>
    <mergeCell ref="E451:G452"/>
    <mergeCell ref="H451:I451"/>
    <mergeCell ref="J451:P452"/>
    <mergeCell ref="Q451:R452"/>
    <mergeCell ref="S451:U452"/>
    <mergeCell ref="H452:I452"/>
    <mergeCell ref="B449:D449"/>
    <mergeCell ref="B451:D451"/>
    <mergeCell ref="A445:A446"/>
    <mergeCell ref="E445:G446"/>
    <mergeCell ref="H445:I445"/>
    <mergeCell ref="J445:P446"/>
    <mergeCell ref="Q445:R446"/>
    <mergeCell ref="S445:U446"/>
    <mergeCell ref="H446:I446"/>
    <mergeCell ref="A447:A448"/>
    <mergeCell ref="E447:G448"/>
    <mergeCell ref="H447:I447"/>
    <mergeCell ref="J447:P448"/>
    <mergeCell ref="Q447:R448"/>
    <mergeCell ref="S447:U448"/>
    <mergeCell ref="H448:I448"/>
    <mergeCell ref="B445:D445"/>
    <mergeCell ref="B447:D447"/>
    <mergeCell ref="A441:A442"/>
    <mergeCell ref="E441:G442"/>
    <mergeCell ref="H441:I441"/>
    <mergeCell ref="J441:P442"/>
    <mergeCell ref="Q441:R442"/>
    <mergeCell ref="S441:U442"/>
    <mergeCell ref="H442:I442"/>
    <mergeCell ref="A443:A444"/>
    <mergeCell ref="B443:D443"/>
    <mergeCell ref="E443:G444"/>
    <mergeCell ref="H443:I443"/>
    <mergeCell ref="J443:P444"/>
    <mergeCell ref="Q443:R444"/>
    <mergeCell ref="S443:U444"/>
    <mergeCell ref="H444:I444"/>
    <mergeCell ref="B441:D441"/>
    <mergeCell ref="A437:A438"/>
    <mergeCell ref="E437:G438"/>
    <mergeCell ref="H437:I437"/>
    <mergeCell ref="J437:P438"/>
    <mergeCell ref="Q437:R438"/>
    <mergeCell ref="S437:U438"/>
    <mergeCell ref="H438:I438"/>
    <mergeCell ref="A439:A440"/>
    <mergeCell ref="E439:G440"/>
    <mergeCell ref="H439:I439"/>
    <mergeCell ref="J439:P440"/>
    <mergeCell ref="Q439:R440"/>
    <mergeCell ref="S439:U440"/>
    <mergeCell ref="H440:I440"/>
    <mergeCell ref="B437:D437"/>
    <mergeCell ref="B439:D439"/>
    <mergeCell ref="A433:A434"/>
    <mergeCell ref="B433:D433"/>
    <mergeCell ref="E433:G434"/>
    <mergeCell ref="H433:I433"/>
    <mergeCell ref="J433:P434"/>
    <mergeCell ref="Q433:R434"/>
    <mergeCell ref="S433:U434"/>
    <mergeCell ref="H434:I434"/>
    <mergeCell ref="A435:A436"/>
    <mergeCell ref="E435:G436"/>
    <mergeCell ref="H435:I435"/>
    <mergeCell ref="J435:P436"/>
    <mergeCell ref="Q435:R436"/>
    <mergeCell ref="S435:U436"/>
    <mergeCell ref="H436:I436"/>
    <mergeCell ref="B435:D435"/>
    <mergeCell ref="A429:A430"/>
    <mergeCell ref="E429:G430"/>
    <mergeCell ref="H429:I429"/>
    <mergeCell ref="J429:P430"/>
    <mergeCell ref="Q429:R430"/>
    <mergeCell ref="S429:U430"/>
    <mergeCell ref="H430:I430"/>
    <mergeCell ref="A431:A432"/>
    <mergeCell ref="E431:G432"/>
    <mergeCell ref="H431:I431"/>
    <mergeCell ref="J431:P432"/>
    <mergeCell ref="Q431:R432"/>
    <mergeCell ref="S431:U432"/>
    <mergeCell ref="H432:I432"/>
    <mergeCell ref="B429:D429"/>
    <mergeCell ref="B431:D431"/>
    <mergeCell ref="A425:A426"/>
    <mergeCell ref="E425:G426"/>
    <mergeCell ref="H425:I425"/>
    <mergeCell ref="J425:P426"/>
    <mergeCell ref="Q425:R426"/>
    <mergeCell ref="S425:U426"/>
    <mergeCell ref="H426:I426"/>
    <mergeCell ref="A427:A428"/>
    <mergeCell ref="E427:G428"/>
    <mergeCell ref="H427:I427"/>
    <mergeCell ref="J427:P428"/>
    <mergeCell ref="Q427:R428"/>
    <mergeCell ref="S427:U428"/>
    <mergeCell ref="H428:I428"/>
    <mergeCell ref="B425:D425"/>
    <mergeCell ref="B427:D427"/>
    <mergeCell ref="A421:A422"/>
    <mergeCell ref="E421:G422"/>
    <mergeCell ref="H421:I421"/>
    <mergeCell ref="J421:P422"/>
    <mergeCell ref="Q421:R422"/>
    <mergeCell ref="S421:U422"/>
    <mergeCell ref="H422:I422"/>
    <mergeCell ref="A423:A424"/>
    <mergeCell ref="B423:D423"/>
    <mergeCell ref="E423:G424"/>
    <mergeCell ref="H423:I423"/>
    <mergeCell ref="J423:P424"/>
    <mergeCell ref="Q423:R424"/>
    <mergeCell ref="S423:U424"/>
    <mergeCell ref="H424:I424"/>
    <mergeCell ref="B421:D421"/>
    <mergeCell ref="A417:A418"/>
    <mergeCell ref="E417:G418"/>
    <mergeCell ref="H417:I417"/>
    <mergeCell ref="J417:P418"/>
    <mergeCell ref="Q417:R418"/>
    <mergeCell ref="S417:U418"/>
    <mergeCell ref="H418:I418"/>
    <mergeCell ref="A419:A420"/>
    <mergeCell ref="E419:G420"/>
    <mergeCell ref="H419:I419"/>
    <mergeCell ref="J419:P420"/>
    <mergeCell ref="Q419:R420"/>
    <mergeCell ref="S419:U420"/>
    <mergeCell ref="H420:I420"/>
    <mergeCell ref="B417:D417"/>
    <mergeCell ref="B419:D419"/>
    <mergeCell ref="A413:A414"/>
    <mergeCell ref="B413:D413"/>
    <mergeCell ref="E413:G414"/>
    <mergeCell ref="H413:I413"/>
    <mergeCell ref="J413:P414"/>
    <mergeCell ref="Q413:R414"/>
    <mergeCell ref="S413:U414"/>
    <mergeCell ref="H414:I414"/>
    <mergeCell ref="A415:A416"/>
    <mergeCell ref="E415:G416"/>
    <mergeCell ref="H415:I415"/>
    <mergeCell ref="J415:P416"/>
    <mergeCell ref="Q415:R416"/>
    <mergeCell ref="S415:U416"/>
    <mergeCell ref="H416:I416"/>
    <mergeCell ref="B415:D415"/>
    <mergeCell ref="A409:A410"/>
    <mergeCell ref="E409:G410"/>
    <mergeCell ref="H409:I409"/>
    <mergeCell ref="J409:P410"/>
    <mergeCell ref="Q409:R410"/>
    <mergeCell ref="S409:U410"/>
    <mergeCell ref="H410:I410"/>
    <mergeCell ref="A411:A412"/>
    <mergeCell ref="E411:G412"/>
    <mergeCell ref="H411:I411"/>
    <mergeCell ref="J411:P412"/>
    <mergeCell ref="Q411:R412"/>
    <mergeCell ref="S411:U412"/>
    <mergeCell ref="H412:I412"/>
    <mergeCell ref="B409:D409"/>
    <mergeCell ref="B411:D411"/>
    <mergeCell ref="A405:A406"/>
    <mergeCell ref="E405:G406"/>
    <mergeCell ref="H405:I405"/>
    <mergeCell ref="J405:P406"/>
    <mergeCell ref="Q405:R406"/>
    <mergeCell ref="S405:U406"/>
    <mergeCell ref="H406:I406"/>
    <mergeCell ref="A407:A408"/>
    <mergeCell ref="E407:G408"/>
    <mergeCell ref="H407:I407"/>
    <mergeCell ref="J407:P408"/>
    <mergeCell ref="Q407:R408"/>
    <mergeCell ref="S407:U408"/>
    <mergeCell ref="H408:I408"/>
    <mergeCell ref="B405:D405"/>
    <mergeCell ref="B407:D407"/>
    <mergeCell ref="A401:A402"/>
    <mergeCell ref="E401:G402"/>
    <mergeCell ref="H401:I401"/>
    <mergeCell ref="J401:P402"/>
    <mergeCell ref="Q401:R402"/>
    <mergeCell ref="S401:U402"/>
    <mergeCell ref="H402:I402"/>
    <mergeCell ref="A403:A404"/>
    <mergeCell ref="B403:D403"/>
    <mergeCell ref="E403:G404"/>
    <mergeCell ref="H403:I403"/>
    <mergeCell ref="J403:P404"/>
    <mergeCell ref="Q403:R404"/>
    <mergeCell ref="S403:U404"/>
    <mergeCell ref="H404:I404"/>
    <mergeCell ref="B401:D401"/>
    <mergeCell ref="A397:A398"/>
    <mergeCell ref="E397:G398"/>
    <mergeCell ref="H397:I397"/>
    <mergeCell ref="J397:P398"/>
    <mergeCell ref="Q397:R398"/>
    <mergeCell ref="S397:U398"/>
    <mergeCell ref="H398:I398"/>
    <mergeCell ref="A399:A400"/>
    <mergeCell ref="E399:G400"/>
    <mergeCell ref="H399:I399"/>
    <mergeCell ref="J399:P400"/>
    <mergeCell ref="Q399:R400"/>
    <mergeCell ref="S399:U400"/>
    <mergeCell ref="H400:I400"/>
    <mergeCell ref="B397:D397"/>
    <mergeCell ref="B399:D399"/>
    <mergeCell ref="A393:A394"/>
    <mergeCell ref="B393:D393"/>
    <mergeCell ref="E393:G394"/>
    <mergeCell ref="H393:I393"/>
    <mergeCell ref="J393:P394"/>
    <mergeCell ref="Q393:R394"/>
    <mergeCell ref="S393:U394"/>
    <mergeCell ref="H394:I394"/>
    <mergeCell ref="A395:A396"/>
    <mergeCell ref="E395:G396"/>
    <mergeCell ref="H395:I395"/>
    <mergeCell ref="J395:P396"/>
    <mergeCell ref="Q395:R396"/>
    <mergeCell ref="S395:U396"/>
    <mergeCell ref="H396:I396"/>
    <mergeCell ref="B395:D395"/>
    <mergeCell ref="A389:A390"/>
    <mergeCell ref="E389:G390"/>
    <mergeCell ref="H389:I389"/>
    <mergeCell ref="J389:P390"/>
    <mergeCell ref="Q389:R390"/>
    <mergeCell ref="S389:U390"/>
    <mergeCell ref="H390:I390"/>
    <mergeCell ref="A391:A392"/>
    <mergeCell ref="E391:G392"/>
    <mergeCell ref="H391:I391"/>
    <mergeCell ref="J391:P392"/>
    <mergeCell ref="Q391:R392"/>
    <mergeCell ref="S391:U392"/>
    <mergeCell ref="H392:I392"/>
    <mergeCell ref="B389:D389"/>
    <mergeCell ref="B391:D391"/>
    <mergeCell ref="A385:A386"/>
    <mergeCell ref="E385:G386"/>
    <mergeCell ref="H385:I385"/>
    <mergeCell ref="J385:P386"/>
    <mergeCell ref="Q385:R386"/>
    <mergeCell ref="S385:U386"/>
    <mergeCell ref="H386:I386"/>
    <mergeCell ref="A387:A388"/>
    <mergeCell ref="E387:G388"/>
    <mergeCell ref="H387:I387"/>
    <mergeCell ref="J387:P388"/>
    <mergeCell ref="Q387:R388"/>
    <mergeCell ref="S387:U388"/>
    <mergeCell ref="H388:I388"/>
    <mergeCell ref="B385:D385"/>
    <mergeCell ref="B387:D387"/>
    <mergeCell ref="A381:A382"/>
    <mergeCell ref="E381:G382"/>
    <mergeCell ref="H381:I381"/>
    <mergeCell ref="J381:P382"/>
    <mergeCell ref="Q381:R382"/>
    <mergeCell ref="S381:U382"/>
    <mergeCell ref="H382:I382"/>
    <mergeCell ref="A383:A384"/>
    <mergeCell ref="B383:D383"/>
    <mergeCell ref="E383:G384"/>
    <mergeCell ref="H383:I383"/>
    <mergeCell ref="J383:P384"/>
    <mergeCell ref="Q383:R384"/>
    <mergeCell ref="S383:U384"/>
    <mergeCell ref="H384:I384"/>
    <mergeCell ref="B381:D381"/>
    <mergeCell ref="A377:A378"/>
    <mergeCell ref="E377:G378"/>
    <mergeCell ref="H377:I377"/>
    <mergeCell ref="J377:P378"/>
    <mergeCell ref="Q377:R378"/>
    <mergeCell ref="S377:U378"/>
    <mergeCell ref="H378:I378"/>
    <mergeCell ref="A379:A380"/>
    <mergeCell ref="E379:G380"/>
    <mergeCell ref="H379:I379"/>
    <mergeCell ref="J379:P380"/>
    <mergeCell ref="Q379:R380"/>
    <mergeCell ref="S379:U380"/>
    <mergeCell ref="H380:I380"/>
    <mergeCell ref="B377:D377"/>
    <mergeCell ref="B379:D379"/>
    <mergeCell ref="A373:A374"/>
    <mergeCell ref="B373:D373"/>
    <mergeCell ref="E373:G374"/>
    <mergeCell ref="H373:I373"/>
    <mergeCell ref="J373:P374"/>
    <mergeCell ref="Q373:R374"/>
    <mergeCell ref="S373:U374"/>
    <mergeCell ref="H374:I374"/>
    <mergeCell ref="A375:A376"/>
    <mergeCell ref="E375:G376"/>
    <mergeCell ref="H375:I375"/>
    <mergeCell ref="J375:P376"/>
    <mergeCell ref="Q375:R376"/>
    <mergeCell ref="S375:U376"/>
    <mergeCell ref="H376:I376"/>
    <mergeCell ref="B375:D375"/>
    <mergeCell ref="A369:A370"/>
    <mergeCell ref="E369:G370"/>
    <mergeCell ref="H369:I369"/>
    <mergeCell ref="J369:P370"/>
    <mergeCell ref="Q369:R370"/>
    <mergeCell ref="S369:U370"/>
    <mergeCell ref="H370:I370"/>
    <mergeCell ref="A371:A372"/>
    <mergeCell ref="E371:G372"/>
    <mergeCell ref="H371:I371"/>
    <mergeCell ref="J371:P372"/>
    <mergeCell ref="Q371:R372"/>
    <mergeCell ref="S371:U372"/>
    <mergeCell ref="H372:I372"/>
    <mergeCell ref="B369:D369"/>
    <mergeCell ref="B371:D371"/>
    <mergeCell ref="A365:A366"/>
    <mergeCell ref="E365:G366"/>
    <mergeCell ref="H365:I365"/>
    <mergeCell ref="J365:P366"/>
    <mergeCell ref="Q365:R366"/>
    <mergeCell ref="S365:U366"/>
    <mergeCell ref="H366:I366"/>
    <mergeCell ref="A367:A368"/>
    <mergeCell ref="E367:G368"/>
    <mergeCell ref="H367:I367"/>
    <mergeCell ref="J367:P368"/>
    <mergeCell ref="Q367:R368"/>
    <mergeCell ref="S367:U368"/>
    <mergeCell ref="H368:I368"/>
    <mergeCell ref="B365:D365"/>
    <mergeCell ref="B367:D367"/>
    <mergeCell ref="A361:A362"/>
    <mergeCell ref="E361:G362"/>
    <mergeCell ref="H361:I361"/>
    <mergeCell ref="J361:P362"/>
    <mergeCell ref="Q361:R362"/>
    <mergeCell ref="S361:U362"/>
    <mergeCell ref="H362:I362"/>
    <mergeCell ref="A363:A364"/>
    <mergeCell ref="B363:D363"/>
    <mergeCell ref="E363:G364"/>
    <mergeCell ref="H363:I363"/>
    <mergeCell ref="J363:P364"/>
    <mergeCell ref="Q363:R364"/>
    <mergeCell ref="S363:U364"/>
    <mergeCell ref="H364:I364"/>
    <mergeCell ref="B361:D361"/>
    <mergeCell ref="A357:A358"/>
    <mergeCell ref="E357:G358"/>
    <mergeCell ref="H357:I357"/>
    <mergeCell ref="J357:P358"/>
    <mergeCell ref="Q357:R358"/>
    <mergeCell ref="S357:U358"/>
    <mergeCell ref="H358:I358"/>
    <mergeCell ref="A359:A360"/>
    <mergeCell ref="E359:G360"/>
    <mergeCell ref="H359:I359"/>
    <mergeCell ref="J359:P360"/>
    <mergeCell ref="Q359:R360"/>
    <mergeCell ref="S359:U360"/>
    <mergeCell ref="H360:I360"/>
    <mergeCell ref="B359:D359"/>
    <mergeCell ref="A353:A354"/>
    <mergeCell ref="B353:D353"/>
    <mergeCell ref="E353:G354"/>
    <mergeCell ref="H353:I353"/>
    <mergeCell ref="J353:P354"/>
    <mergeCell ref="Q353:R354"/>
    <mergeCell ref="S353:U354"/>
    <mergeCell ref="H354:I354"/>
    <mergeCell ref="A355:A356"/>
    <mergeCell ref="E355:G356"/>
    <mergeCell ref="H355:I355"/>
    <mergeCell ref="J355:P356"/>
    <mergeCell ref="Q355:R356"/>
    <mergeCell ref="S355:U356"/>
    <mergeCell ref="H356:I356"/>
    <mergeCell ref="B355:D355"/>
    <mergeCell ref="B357:D357"/>
    <mergeCell ref="A349:A350"/>
    <mergeCell ref="E349:G350"/>
    <mergeCell ref="H349:I349"/>
    <mergeCell ref="J349:P350"/>
    <mergeCell ref="Q349:R350"/>
    <mergeCell ref="S349:U350"/>
    <mergeCell ref="H350:I350"/>
    <mergeCell ref="A351:A352"/>
    <mergeCell ref="E351:G352"/>
    <mergeCell ref="H351:I351"/>
    <mergeCell ref="J351:P352"/>
    <mergeCell ref="Q351:R352"/>
    <mergeCell ref="S351:U352"/>
    <mergeCell ref="H352:I352"/>
    <mergeCell ref="A345:A346"/>
    <mergeCell ref="E345:G346"/>
    <mergeCell ref="H345:I345"/>
    <mergeCell ref="J345:P346"/>
    <mergeCell ref="Q345:R346"/>
    <mergeCell ref="S345:U346"/>
    <mergeCell ref="H346:I346"/>
    <mergeCell ref="A347:A348"/>
    <mergeCell ref="E347:G348"/>
    <mergeCell ref="H347:I347"/>
    <mergeCell ref="J347:P348"/>
    <mergeCell ref="Q347:R348"/>
    <mergeCell ref="S347:U348"/>
    <mergeCell ref="H348:I348"/>
    <mergeCell ref="B351:D351"/>
    <mergeCell ref="A341:A342"/>
    <mergeCell ref="E341:G342"/>
    <mergeCell ref="H341:I341"/>
    <mergeCell ref="J341:P342"/>
    <mergeCell ref="Q341:R342"/>
    <mergeCell ref="S341:U342"/>
    <mergeCell ref="H342:I342"/>
    <mergeCell ref="A343:A344"/>
    <mergeCell ref="B343:D343"/>
    <mergeCell ref="E343:G344"/>
    <mergeCell ref="H343:I343"/>
    <mergeCell ref="J343:P344"/>
    <mergeCell ref="Q343:R344"/>
    <mergeCell ref="S343:U344"/>
    <mergeCell ref="H344:I344"/>
    <mergeCell ref="A337:A338"/>
    <mergeCell ref="E337:G338"/>
    <mergeCell ref="H337:I337"/>
    <mergeCell ref="J337:P338"/>
    <mergeCell ref="Q337:R338"/>
    <mergeCell ref="S337:U338"/>
    <mergeCell ref="H338:I338"/>
    <mergeCell ref="A339:A340"/>
    <mergeCell ref="E339:G340"/>
    <mergeCell ref="H339:I339"/>
    <mergeCell ref="J339:P340"/>
    <mergeCell ref="Q339:R340"/>
    <mergeCell ref="S339:U340"/>
    <mergeCell ref="H340:I340"/>
    <mergeCell ref="A333:A334"/>
    <mergeCell ref="B333:D333"/>
    <mergeCell ref="E333:G334"/>
    <mergeCell ref="H333:I333"/>
    <mergeCell ref="J333:P334"/>
    <mergeCell ref="Q333:R334"/>
    <mergeCell ref="S333:U334"/>
    <mergeCell ref="H334:I334"/>
    <mergeCell ref="A335:A336"/>
    <mergeCell ref="E335:G336"/>
    <mergeCell ref="H335:I335"/>
    <mergeCell ref="J335:P336"/>
    <mergeCell ref="Q335:R336"/>
    <mergeCell ref="S335:U336"/>
    <mergeCell ref="H336:I336"/>
    <mergeCell ref="A329:A330"/>
    <mergeCell ref="E329:G330"/>
    <mergeCell ref="H329:I329"/>
    <mergeCell ref="J329:P330"/>
    <mergeCell ref="Q329:R330"/>
    <mergeCell ref="S329:U330"/>
    <mergeCell ref="H330:I330"/>
    <mergeCell ref="A331:A332"/>
    <mergeCell ref="E331:G332"/>
    <mergeCell ref="H331:I331"/>
    <mergeCell ref="J331:P332"/>
    <mergeCell ref="Q331:R332"/>
    <mergeCell ref="S331:U332"/>
    <mergeCell ref="H332:I332"/>
    <mergeCell ref="A327:A328"/>
    <mergeCell ref="E327:G328"/>
    <mergeCell ref="H327:I327"/>
    <mergeCell ref="J327:P328"/>
    <mergeCell ref="Q327:R328"/>
    <mergeCell ref="S327:U328"/>
    <mergeCell ref="H328:I328"/>
    <mergeCell ref="A321:A322"/>
    <mergeCell ref="E321:G322"/>
    <mergeCell ref="H321:I321"/>
    <mergeCell ref="J321:P322"/>
    <mergeCell ref="Q321:R322"/>
    <mergeCell ref="S321:U322"/>
    <mergeCell ref="H322:I322"/>
    <mergeCell ref="A323:A324"/>
    <mergeCell ref="B323:D323"/>
    <mergeCell ref="E323:G324"/>
    <mergeCell ref="H323:I323"/>
    <mergeCell ref="J323:P324"/>
    <mergeCell ref="Q323:R324"/>
    <mergeCell ref="S323:U324"/>
    <mergeCell ref="H324:I324"/>
    <mergeCell ref="A317:A318"/>
    <mergeCell ref="E317:G318"/>
    <mergeCell ref="H317:I317"/>
    <mergeCell ref="J317:P318"/>
    <mergeCell ref="Q317:R318"/>
    <mergeCell ref="S317:U318"/>
    <mergeCell ref="H318:I318"/>
    <mergeCell ref="A319:A320"/>
    <mergeCell ref="E319:G320"/>
    <mergeCell ref="H319:I319"/>
    <mergeCell ref="J319:P320"/>
    <mergeCell ref="Q319:R320"/>
    <mergeCell ref="S319:U320"/>
    <mergeCell ref="H320:I320"/>
    <mergeCell ref="A325:A326"/>
    <mergeCell ref="E325:G326"/>
    <mergeCell ref="H325:I325"/>
    <mergeCell ref="J325:P326"/>
    <mergeCell ref="Q325:R326"/>
    <mergeCell ref="S325:U326"/>
    <mergeCell ref="H326:I326"/>
    <mergeCell ref="R209:S209"/>
    <mergeCell ref="T209:U209"/>
    <mergeCell ref="Q221:Q222"/>
    <mergeCell ref="R221:S222"/>
    <mergeCell ref="P219:P220"/>
    <mergeCell ref="Q219:Q220"/>
    <mergeCell ref="R219:S220"/>
    <mergeCell ref="Q212:Q213"/>
    <mergeCell ref="R212:S213"/>
    <mergeCell ref="P210:P211"/>
    <mergeCell ref="Q210:Q211"/>
    <mergeCell ref="R210:S211"/>
    <mergeCell ref="Q207:Q208"/>
    <mergeCell ref="R207:S208"/>
    <mergeCell ref="V209:Y209"/>
    <mergeCell ref="T218:U218"/>
    <mergeCell ref="V218:Y218"/>
    <mergeCell ref="T191:U191"/>
    <mergeCell ref="V191:Y191"/>
    <mergeCell ref="B200:E200"/>
    <mergeCell ref="F200:I200"/>
    <mergeCell ref="J200:M200"/>
    <mergeCell ref="R205:S206"/>
    <mergeCell ref="P201:P202"/>
    <mergeCell ref="Q201:Q202"/>
    <mergeCell ref="R201:S202"/>
    <mergeCell ref="P192:P193"/>
    <mergeCell ref="Q192:Q193"/>
    <mergeCell ref="R192:S193"/>
    <mergeCell ref="P194:P195"/>
    <mergeCell ref="Q203:Q204"/>
    <mergeCell ref="R203:S204"/>
    <mergeCell ref="R196:S197"/>
    <mergeCell ref="P185:P186"/>
    <mergeCell ref="R200:S200"/>
    <mergeCell ref="T200:U200"/>
    <mergeCell ref="V200:Y200"/>
    <mergeCell ref="R198:S199"/>
    <mergeCell ref="Q194:Q195"/>
    <mergeCell ref="R194:S195"/>
    <mergeCell ref="P174:P175"/>
    <mergeCell ref="Q174:Q175"/>
    <mergeCell ref="R174:S175"/>
    <mergeCell ref="Q167:Q168"/>
    <mergeCell ref="R167:S168"/>
    <mergeCell ref="P165:P166"/>
    <mergeCell ref="Q165:Q166"/>
    <mergeCell ref="R165:S166"/>
    <mergeCell ref="P156:P157"/>
    <mergeCell ref="Q156:Q157"/>
    <mergeCell ref="R156:S157"/>
    <mergeCell ref="Q153:Q154"/>
    <mergeCell ref="R153:S154"/>
    <mergeCell ref="Q149:Q150"/>
    <mergeCell ref="B191:E191"/>
    <mergeCell ref="F191:I191"/>
    <mergeCell ref="J191:M191"/>
    <mergeCell ref="R191:S191"/>
    <mergeCell ref="J165:M166"/>
    <mergeCell ref="N165:N166"/>
    <mergeCell ref="O165:O166"/>
    <mergeCell ref="R160:S161"/>
    <mergeCell ref="J167:M168"/>
    <mergeCell ref="N167:N168"/>
    <mergeCell ref="O167:O168"/>
    <mergeCell ref="P167:P168"/>
    <mergeCell ref="Q158:Q159"/>
    <mergeCell ref="R158:S159"/>
    <mergeCell ref="F164:I164"/>
    <mergeCell ref="J164:M164"/>
    <mergeCell ref="R164:S164"/>
    <mergeCell ref="Q162:Q163"/>
    <mergeCell ref="B146:E146"/>
    <mergeCell ref="F146:I146"/>
    <mergeCell ref="R151:S152"/>
    <mergeCell ref="P147:P148"/>
    <mergeCell ref="Q147:Q148"/>
    <mergeCell ref="R147:S148"/>
    <mergeCell ref="P138:P139"/>
    <mergeCell ref="Q138:Q139"/>
    <mergeCell ref="R138:S139"/>
    <mergeCell ref="P140:P141"/>
    <mergeCell ref="J146:M146"/>
    <mergeCell ref="R146:S146"/>
    <mergeCell ref="T146:U146"/>
    <mergeCell ref="V146:Y146"/>
    <mergeCell ref="R149:S150"/>
    <mergeCell ref="R142:S143"/>
    <mergeCell ref="P129:P130"/>
    <mergeCell ref="Q129:Q130"/>
    <mergeCell ref="R129:S130"/>
    <mergeCell ref="O131:O132"/>
    <mergeCell ref="P131:P132"/>
    <mergeCell ref="F38:I38"/>
    <mergeCell ref="J38:M38"/>
    <mergeCell ref="R38:S38"/>
    <mergeCell ref="Q50:Q51"/>
    <mergeCell ref="R50:S51"/>
    <mergeCell ref="O52:O53"/>
    <mergeCell ref="P52:P53"/>
    <mergeCell ref="Q52:Q53"/>
    <mergeCell ref="P48:P49"/>
    <mergeCell ref="Q48:Q49"/>
    <mergeCell ref="R48:S49"/>
    <mergeCell ref="Q45:Q46"/>
    <mergeCell ref="R45:S46"/>
    <mergeCell ref="Q41:Q42"/>
    <mergeCell ref="R41:S42"/>
    <mergeCell ref="V110:Y110"/>
    <mergeCell ref="F119:I119"/>
    <mergeCell ref="J119:M119"/>
    <mergeCell ref="P77:P78"/>
    <mergeCell ref="T38:U38"/>
    <mergeCell ref="V38:Y38"/>
    <mergeCell ref="V92:Y92"/>
    <mergeCell ref="Q122:Q123"/>
    <mergeCell ref="R122:S123"/>
    <mergeCell ref="P124:P125"/>
    <mergeCell ref="Q124:Q125"/>
    <mergeCell ref="P120:P121"/>
    <mergeCell ref="Q120:Q121"/>
    <mergeCell ref="R120:S121"/>
    <mergeCell ref="Q113:Q114"/>
    <mergeCell ref="R113:S114"/>
    <mergeCell ref="R47:S47"/>
    <mergeCell ref="R68:S69"/>
    <mergeCell ref="P70:P71"/>
    <mergeCell ref="Q70:Q71"/>
    <mergeCell ref="T56:U56"/>
    <mergeCell ref="V56:Y56"/>
    <mergeCell ref="B65:E65"/>
    <mergeCell ref="F65:I65"/>
    <mergeCell ref="J65:M65"/>
    <mergeCell ref="R65:S65"/>
    <mergeCell ref="T65:U65"/>
    <mergeCell ref="V65:Y65"/>
    <mergeCell ref="P111:P112"/>
    <mergeCell ref="Q111:Q112"/>
    <mergeCell ref="R111:S112"/>
    <mergeCell ref="B29:E29"/>
    <mergeCell ref="F29:I29"/>
    <mergeCell ref="J29:M29"/>
    <mergeCell ref="R29:S29"/>
    <mergeCell ref="T29:U29"/>
    <mergeCell ref="V29:Y29"/>
    <mergeCell ref="R43:S44"/>
    <mergeCell ref="P39:P40"/>
    <mergeCell ref="Q39:Q40"/>
    <mergeCell ref="R39:S40"/>
    <mergeCell ref="X666:Y666"/>
    <mergeCell ref="B665:H665"/>
    <mergeCell ref="P665:Q665"/>
    <mergeCell ref="X665:Y665"/>
    <mergeCell ref="B664:H664"/>
    <mergeCell ref="P664:Q664"/>
    <mergeCell ref="X664:Y664"/>
    <mergeCell ref="B663:H663"/>
    <mergeCell ref="P663:Q663"/>
    <mergeCell ref="X663:Y663"/>
    <mergeCell ref="P66:P67"/>
    <mergeCell ref="Q66:Q67"/>
    <mergeCell ref="R66:S67"/>
    <mergeCell ref="Q59:Q60"/>
    <mergeCell ref="R59:S60"/>
    <mergeCell ref="P57:P58"/>
    <mergeCell ref="B620:H620"/>
    <mergeCell ref="I620:K620"/>
    <mergeCell ref="R625:W625"/>
    <mergeCell ref="P625:Q625"/>
    <mergeCell ref="R615:W615"/>
    <mergeCell ref="R616:W616"/>
    <mergeCell ref="X673:Y673"/>
    <mergeCell ref="T47:U47"/>
    <mergeCell ref="V47:Y47"/>
    <mergeCell ref="B670:H670"/>
    <mergeCell ref="P670:Q670"/>
    <mergeCell ref="Q57:Q58"/>
    <mergeCell ref="R57:S58"/>
    <mergeCell ref="X671:Y671"/>
    <mergeCell ref="I671:J671"/>
    <mergeCell ref="K671:O671"/>
    <mergeCell ref="R671:W671"/>
    <mergeCell ref="X670:Y670"/>
    <mergeCell ref="B669:H669"/>
    <mergeCell ref="P669:Q669"/>
    <mergeCell ref="X669:Y669"/>
    <mergeCell ref="B668:H668"/>
    <mergeCell ref="P668:Q668"/>
    <mergeCell ref="X668:Y668"/>
    <mergeCell ref="B667:H667"/>
    <mergeCell ref="P667:Q667"/>
    <mergeCell ref="X667:Y667"/>
    <mergeCell ref="I667:J667"/>
    <mergeCell ref="K667:O667"/>
    <mergeCell ref="P84:P85"/>
    <mergeCell ref="Q84:Q85"/>
    <mergeCell ref="R84:S85"/>
    <mergeCell ref="P86:P87"/>
    <mergeCell ref="Q95:Q96"/>
    <mergeCell ref="R95:S96"/>
    <mergeCell ref="R88:S89"/>
    <mergeCell ref="P75:P76"/>
    <mergeCell ref="Q75:Q76"/>
    <mergeCell ref="R617:W617"/>
    <mergeCell ref="R619:W619"/>
    <mergeCell ref="R620:W620"/>
    <mergeCell ref="R621:W621"/>
    <mergeCell ref="R622:W622"/>
    <mergeCell ref="B615:H615"/>
    <mergeCell ref="I615:K615"/>
    <mergeCell ref="L615:Q615"/>
    <mergeCell ref="X615:Y615"/>
    <mergeCell ref="B616:H616"/>
    <mergeCell ref="I616:K616"/>
    <mergeCell ref="L616:Q616"/>
    <mergeCell ref="X616:Y616"/>
    <mergeCell ref="L620:Q620"/>
    <mergeCell ref="K669:O669"/>
    <mergeCell ref="R669:W669"/>
    <mergeCell ref="X662:Y662"/>
    <mergeCell ref="X646:Y646"/>
    <mergeCell ref="B661:H661"/>
    <mergeCell ref="P661:Q661"/>
    <mergeCell ref="X661:Y661"/>
    <mergeCell ref="A660:Y660"/>
    <mergeCell ref="X636:Y636"/>
    <mergeCell ref="B637:K637"/>
    <mergeCell ref="X626:Y626"/>
    <mergeCell ref="B626:K626"/>
    <mergeCell ref="L626:O626"/>
    <mergeCell ref="P626:Q626"/>
    <mergeCell ref="R626:W626"/>
    <mergeCell ref="B631:K631"/>
    <mergeCell ref="B636:K636"/>
    <mergeCell ref="L636:O636"/>
    <mergeCell ref="X610:Y610"/>
    <mergeCell ref="B612:H612"/>
    <mergeCell ref="I612:K612"/>
    <mergeCell ref="L612:Q612"/>
    <mergeCell ref="X612:Y612"/>
    <mergeCell ref="A610:W610"/>
    <mergeCell ref="A611:Y611"/>
    <mergeCell ref="R612:W612"/>
    <mergeCell ref="R613:W613"/>
    <mergeCell ref="R614:W614"/>
    <mergeCell ref="B609:H609"/>
    <mergeCell ref="I609:J609"/>
    <mergeCell ref="K609:N609"/>
    <mergeCell ref="O609:P609"/>
    <mergeCell ref="X609:Y609"/>
    <mergeCell ref="B608:H608"/>
    <mergeCell ref="I608:J608"/>
    <mergeCell ref="K608:N608"/>
    <mergeCell ref="O608:P608"/>
    <mergeCell ref="X608:Y608"/>
    <mergeCell ref="B613:H613"/>
    <mergeCell ref="I613:K613"/>
    <mergeCell ref="L613:Q613"/>
    <mergeCell ref="X613:Y613"/>
    <mergeCell ref="B614:H614"/>
    <mergeCell ref="I614:K614"/>
    <mergeCell ref="L614:Q614"/>
    <mergeCell ref="X614:Y614"/>
    <mergeCell ref="B607:H607"/>
    <mergeCell ref="I607:J607"/>
    <mergeCell ref="K607:N607"/>
    <mergeCell ref="O607:P607"/>
    <mergeCell ref="X607:Y607"/>
    <mergeCell ref="B606:H606"/>
    <mergeCell ref="I606:J606"/>
    <mergeCell ref="K606:N606"/>
    <mergeCell ref="O606:P606"/>
    <mergeCell ref="X606:Y606"/>
    <mergeCell ref="T606:W606"/>
    <mergeCell ref="T607:W607"/>
    <mergeCell ref="T608:W608"/>
    <mergeCell ref="T609:W609"/>
    <mergeCell ref="B605:H605"/>
    <mergeCell ref="I605:J605"/>
    <mergeCell ref="K605:N605"/>
    <mergeCell ref="O605:P605"/>
    <mergeCell ref="X605:Y605"/>
    <mergeCell ref="B604:H604"/>
    <mergeCell ref="I604:J604"/>
    <mergeCell ref="K604:N604"/>
    <mergeCell ref="O604:P604"/>
    <mergeCell ref="X604:Y604"/>
    <mergeCell ref="B603:H603"/>
    <mergeCell ref="I603:J603"/>
    <mergeCell ref="K603:N603"/>
    <mergeCell ref="O603:P603"/>
    <mergeCell ref="X603:Y603"/>
    <mergeCell ref="B602:H602"/>
    <mergeCell ref="I602:J602"/>
    <mergeCell ref="K602:N602"/>
    <mergeCell ref="O602:P602"/>
    <mergeCell ref="X602:Y602"/>
    <mergeCell ref="T605:W605"/>
    <mergeCell ref="T604:W604"/>
    <mergeCell ref="B601:H601"/>
    <mergeCell ref="I601:J601"/>
    <mergeCell ref="K601:N601"/>
    <mergeCell ref="O601:P601"/>
    <mergeCell ref="X601:Y601"/>
    <mergeCell ref="B600:H600"/>
    <mergeCell ref="I600:J600"/>
    <mergeCell ref="K600:N600"/>
    <mergeCell ref="O600:P600"/>
    <mergeCell ref="X600:Y600"/>
    <mergeCell ref="B599:H599"/>
    <mergeCell ref="I599:J599"/>
    <mergeCell ref="K599:N599"/>
    <mergeCell ref="O599:P599"/>
    <mergeCell ref="X599:Y599"/>
    <mergeCell ref="B598:H598"/>
    <mergeCell ref="I598:J598"/>
    <mergeCell ref="K598:N598"/>
    <mergeCell ref="O598:P598"/>
    <mergeCell ref="X598:Y598"/>
    <mergeCell ref="B597:H597"/>
    <mergeCell ref="I597:J597"/>
    <mergeCell ref="K597:N597"/>
    <mergeCell ref="O597:P597"/>
    <mergeCell ref="X597:Y597"/>
    <mergeCell ref="B596:H596"/>
    <mergeCell ref="I596:J596"/>
    <mergeCell ref="K596:N596"/>
    <mergeCell ref="O596:P596"/>
    <mergeCell ref="X596:Y596"/>
    <mergeCell ref="B595:H595"/>
    <mergeCell ref="I595:J595"/>
    <mergeCell ref="K595:N595"/>
    <mergeCell ref="O595:P595"/>
    <mergeCell ref="X595:Y595"/>
    <mergeCell ref="B594:H594"/>
    <mergeCell ref="I594:J594"/>
    <mergeCell ref="K594:N594"/>
    <mergeCell ref="O594:P594"/>
    <mergeCell ref="X594:Y594"/>
    <mergeCell ref="N585:O585"/>
    <mergeCell ref="P585:S585"/>
    <mergeCell ref="T585:W585"/>
    <mergeCell ref="B584:H584"/>
    <mergeCell ref="K584:M584"/>
    <mergeCell ref="N584:O584"/>
    <mergeCell ref="X584:Y584"/>
    <mergeCell ref="P584:S584"/>
    <mergeCell ref="T584:W584"/>
    <mergeCell ref="B593:H593"/>
    <mergeCell ref="I593:J593"/>
    <mergeCell ref="K593:N593"/>
    <mergeCell ref="O593:P593"/>
    <mergeCell ref="X593:Y593"/>
    <mergeCell ref="B592:H592"/>
    <mergeCell ref="I592:J592"/>
    <mergeCell ref="K592:N592"/>
    <mergeCell ref="O592:P592"/>
    <mergeCell ref="X592:Y592"/>
    <mergeCell ref="B591:H591"/>
    <mergeCell ref="I591:J591"/>
    <mergeCell ref="K591:N591"/>
    <mergeCell ref="O591:P591"/>
    <mergeCell ref="X591:Y591"/>
    <mergeCell ref="B590:H590"/>
    <mergeCell ref="I590:J590"/>
    <mergeCell ref="K590:N590"/>
    <mergeCell ref="O590:P590"/>
    <mergeCell ref="X590:Y590"/>
    <mergeCell ref="B583:H583"/>
    <mergeCell ref="K583:M583"/>
    <mergeCell ref="N583:O583"/>
    <mergeCell ref="X581:Y581"/>
    <mergeCell ref="B582:H582"/>
    <mergeCell ref="K582:M582"/>
    <mergeCell ref="N582:O582"/>
    <mergeCell ref="X582:Y582"/>
    <mergeCell ref="B581:H581"/>
    <mergeCell ref="K581:M581"/>
    <mergeCell ref="N581:O581"/>
    <mergeCell ref="P581:S581"/>
    <mergeCell ref="T581:W581"/>
    <mergeCell ref="P582:S582"/>
    <mergeCell ref="T582:W582"/>
    <mergeCell ref="P583:S583"/>
    <mergeCell ref="T583:W583"/>
    <mergeCell ref="B580:H580"/>
    <mergeCell ref="K580:M580"/>
    <mergeCell ref="N580:O580"/>
    <mergeCell ref="X580:Y580"/>
    <mergeCell ref="B579:H579"/>
    <mergeCell ref="K579:M579"/>
    <mergeCell ref="N579:O579"/>
    <mergeCell ref="X577:Y577"/>
    <mergeCell ref="B578:H578"/>
    <mergeCell ref="K578:M578"/>
    <mergeCell ref="N578:O578"/>
    <mergeCell ref="X578:Y578"/>
    <mergeCell ref="B577:H577"/>
    <mergeCell ref="K577:M577"/>
    <mergeCell ref="N577:O577"/>
    <mergeCell ref="P577:S577"/>
    <mergeCell ref="T577:W577"/>
    <mergeCell ref="P578:S578"/>
    <mergeCell ref="T578:W578"/>
    <mergeCell ref="P579:S579"/>
    <mergeCell ref="T579:W579"/>
    <mergeCell ref="P580:S580"/>
    <mergeCell ref="T580:W580"/>
    <mergeCell ref="B576:H576"/>
    <mergeCell ref="K576:M576"/>
    <mergeCell ref="N576:O576"/>
    <mergeCell ref="X576:Y576"/>
    <mergeCell ref="B575:H575"/>
    <mergeCell ref="K575:M575"/>
    <mergeCell ref="N575:O575"/>
    <mergeCell ref="X573:Y573"/>
    <mergeCell ref="B574:H574"/>
    <mergeCell ref="K574:M574"/>
    <mergeCell ref="N574:O574"/>
    <mergeCell ref="X574:Y574"/>
    <mergeCell ref="B573:H573"/>
    <mergeCell ref="K573:M573"/>
    <mergeCell ref="N573:O573"/>
    <mergeCell ref="P573:S573"/>
    <mergeCell ref="T573:W573"/>
    <mergeCell ref="P574:S574"/>
    <mergeCell ref="T574:W574"/>
    <mergeCell ref="P575:S575"/>
    <mergeCell ref="T575:W575"/>
    <mergeCell ref="P576:S576"/>
    <mergeCell ref="T576:W576"/>
    <mergeCell ref="X563:Y563"/>
    <mergeCell ref="X562:Y562"/>
    <mergeCell ref="B563:G563"/>
    <mergeCell ref="H563:I563"/>
    <mergeCell ref="J563:K563"/>
    <mergeCell ref="L563:M563"/>
    <mergeCell ref="N563:P563"/>
    <mergeCell ref="Q563:T563"/>
    <mergeCell ref="U563:W563"/>
    <mergeCell ref="B564:G564"/>
    <mergeCell ref="H564:I564"/>
    <mergeCell ref="J564:K564"/>
    <mergeCell ref="L564:M564"/>
    <mergeCell ref="N564:P564"/>
    <mergeCell ref="X571:Y571"/>
    <mergeCell ref="B572:H572"/>
    <mergeCell ref="K572:M572"/>
    <mergeCell ref="N572:O572"/>
    <mergeCell ref="X572:Y572"/>
    <mergeCell ref="B571:H571"/>
    <mergeCell ref="K571:M571"/>
    <mergeCell ref="N571:O571"/>
    <mergeCell ref="X566:Y566"/>
    <mergeCell ref="I569:J569"/>
    <mergeCell ref="P571:S571"/>
    <mergeCell ref="T571:W571"/>
    <mergeCell ref="P572:S572"/>
    <mergeCell ref="T572:W572"/>
    <mergeCell ref="Q564:T564"/>
    <mergeCell ref="U564:W564"/>
    <mergeCell ref="B565:G565"/>
    <mergeCell ref="H565:I565"/>
    <mergeCell ref="X557:Y557"/>
    <mergeCell ref="X556:Y556"/>
    <mergeCell ref="X555:Y555"/>
    <mergeCell ref="X554:Y554"/>
    <mergeCell ref="B557:G557"/>
    <mergeCell ref="H557:I557"/>
    <mergeCell ref="J557:K557"/>
    <mergeCell ref="L557:M557"/>
    <mergeCell ref="N557:P557"/>
    <mergeCell ref="Q557:T557"/>
    <mergeCell ref="U557:W557"/>
    <mergeCell ref="X561:Y561"/>
    <mergeCell ref="X560:Y560"/>
    <mergeCell ref="X559:Y559"/>
    <mergeCell ref="X558:Y558"/>
    <mergeCell ref="B558:G558"/>
    <mergeCell ref="H558:I558"/>
    <mergeCell ref="J558:K558"/>
    <mergeCell ref="L558:M558"/>
    <mergeCell ref="N558:P558"/>
    <mergeCell ref="Q558:T558"/>
    <mergeCell ref="U558:W558"/>
    <mergeCell ref="B559:G559"/>
    <mergeCell ref="H559:I559"/>
    <mergeCell ref="J559:K559"/>
    <mergeCell ref="L559:M559"/>
    <mergeCell ref="N559:P559"/>
    <mergeCell ref="Q559:T559"/>
    <mergeCell ref="U559:W559"/>
    <mergeCell ref="B560:G560"/>
    <mergeCell ref="H560:I560"/>
    <mergeCell ref="J560:K560"/>
    <mergeCell ref="X549:Y549"/>
    <mergeCell ref="X548:Y548"/>
    <mergeCell ref="X546:Y546"/>
    <mergeCell ref="X547:Y547"/>
    <mergeCell ref="H546:I546"/>
    <mergeCell ref="B548:G548"/>
    <mergeCell ref="H548:I548"/>
    <mergeCell ref="J548:K548"/>
    <mergeCell ref="L548:M548"/>
    <mergeCell ref="N548:P548"/>
    <mergeCell ref="Q548:T548"/>
    <mergeCell ref="U548:W548"/>
    <mergeCell ref="B549:G549"/>
    <mergeCell ref="X553:Y553"/>
    <mergeCell ref="X552:Y552"/>
    <mergeCell ref="X551:Y551"/>
    <mergeCell ref="X550:Y550"/>
    <mergeCell ref="B552:G552"/>
    <mergeCell ref="H552:I552"/>
    <mergeCell ref="J552:K552"/>
    <mergeCell ref="L552:M552"/>
    <mergeCell ref="N552:P552"/>
    <mergeCell ref="Q552:T552"/>
    <mergeCell ref="U552:W552"/>
    <mergeCell ref="B553:G553"/>
    <mergeCell ref="H553:I553"/>
    <mergeCell ref="J553:K553"/>
    <mergeCell ref="L553:M553"/>
    <mergeCell ref="N553:P553"/>
    <mergeCell ref="H549:I549"/>
    <mergeCell ref="J549:K549"/>
    <mergeCell ref="L549:M549"/>
    <mergeCell ref="X538:Y538"/>
    <mergeCell ref="X537:Y537"/>
    <mergeCell ref="X536:Y536"/>
    <mergeCell ref="X535:Y535"/>
    <mergeCell ref="B535:F535"/>
    <mergeCell ref="G535:M535"/>
    <mergeCell ref="U535:W535"/>
    <mergeCell ref="B536:F536"/>
    <mergeCell ref="G536:M536"/>
    <mergeCell ref="U536:W536"/>
    <mergeCell ref="B537:F537"/>
    <mergeCell ref="G537:M537"/>
    <mergeCell ref="U537:W537"/>
    <mergeCell ref="X541:Y541"/>
    <mergeCell ref="A544:A545"/>
    <mergeCell ref="X544:Y545"/>
    <mergeCell ref="X540:Y540"/>
    <mergeCell ref="X539:Y539"/>
    <mergeCell ref="A543:Y543"/>
    <mergeCell ref="N540:O540"/>
    <mergeCell ref="P540:Q540"/>
    <mergeCell ref="R540:T540"/>
    <mergeCell ref="H544:I545"/>
    <mergeCell ref="U544:W545"/>
    <mergeCell ref="J544:K545"/>
    <mergeCell ref="L544:M545"/>
    <mergeCell ref="N544:P545"/>
    <mergeCell ref="B540:F540"/>
    <mergeCell ref="G540:M540"/>
    <mergeCell ref="U540:W540"/>
    <mergeCell ref="A541:W541"/>
    <mergeCell ref="Q544:T545"/>
    <mergeCell ref="B527:F527"/>
    <mergeCell ref="G527:M527"/>
    <mergeCell ref="U527:W527"/>
    <mergeCell ref="B528:F528"/>
    <mergeCell ref="G528:M528"/>
    <mergeCell ref="U528:W528"/>
    <mergeCell ref="B529:F529"/>
    <mergeCell ref="G529:M529"/>
    <mergeCell ref="U529:W529"/>
    <mergeCell ref="X534:Y534"/>
    <mergeCell ref="X533:Y533"/>
    <mergeCell ref="X532:Y532"/>
    <mergeCell ref="X531:Y531"/>
    <mergeCell ref="G531:M531"/>
    <mergeCell ref="U531:W531"/>
    <mergeCell ref="B532:F532"/>
    <mergeCell ref="G532:M532"/>
    <mergeCell ref="U532:W532"/>
    <mergeCell ref="B533:F533"/>
    <mergeCell ref="G533:M533"/>
    <mergeCell ref="U533:W533"/>
    <mergeCell ref="B534:F534"/>
    <mergeCell ref="G534:M534"/>
    <mergeCell ref="U534:W534"/>
    <mergeCell ref="N533:O533"/>
    <mergeCell ref="P533:Q533"/>
    <mergeCell ref="R533:T533"/>
    <mergeCell ref="N534:O534"/>
    <mergeCell ref="R527:T527"/>
    <mergeCell ref="N528:O528"/>
    <mergeCell ref="P528:Q528"/>
    <mergeCell ref="R528:T528"/>
    <mergeCell ref="A519:A520"/>
    <mergeCell ref="X519:Y520"/>
    <mergeCell ref="A518:Y518"/>
    <mergeCell ref="U519:W520"/>
    <mergeCell ref="G519:M520"/>
    <mergeCell ref="B519:F520"/>
    <mergeCell ref="B521:F521"/>
    <mergeCell ref="G521:M521"/>
    <mergeCell ref="U521:W521"/>
    <mergeCell ref="B522:F522"/>
    <mergeCell ref="G522:M522"/>
    <mergeCell ref="X526:Y526"/>
    <mergeCell ref="X525:Y525"/>
    <mergeCell ref="X524:Y524"/>
    <mergeCell ref="X523:Y523"/>
    <mergeCell ref="A517:W517"/>
    <mergeCell ref="U522:W522"/>
    <mergeCell ref="B523:F523"/>
    <mergeCell ref="G523:M523"/>
    <mergeCell ref="U523:W523"/>
    <mergeCell ref="B524:F524"/>
    <mergeCell ref="G524:M524"/>
    <mergeCell ref="U524:W524"/>
    <mergeCell ref="B525:F525"/>
    <mergeCell ref="G525:M525"/>
    <mergeCell ref="U525:W525"/>
    <mergeCell ref="B526:F526"/>
    <mergeCell ref="G526:M526"/>
    <mergeCell ref="U526:W526"/>
    <mergeCell ref="R519:T520"/>
    <mergeCell ref="N519:O520"/>
    <mergeCell ref="P519:Q520"/>
    <mergeCell ref="B515:K515"/>
    <mergeCell ref="L515:U515"/>
    <mergeCell ref="V515:W515"/>
    <mergeCell ref="X515:Y515"/>
    <mergeCell ref="B516:K516"/>
    <mergeCell ref="L516:U516"/>
    <mergeCell ref="V516:W516"/>
    <mergeCell ref="X516:Y516"/>
    <mergeCell ref="B513:K513"/>
    <mergeCell ref="L513:U513"/>
    <mergeCell ref="V513:W513"/>
    <mergeCell ref="X513:Y513"/>
    <mergeCell ref="B514:K514"/>
    <mergeCell ref="L514:U514"/>
    <mergeCell ref="V514:W514"/>
    <mergeCell ref="X514:Y514"/>
    <mergeCell ref="B511:K511"/>
    <mergeCell ref="L511:U511"/>
    <mergeCell ref="V511:W511"/>
    <mergeCell ref="X511:Y511"/>
    <mergeCell ref="B512:K512"/>
    <mergeCell ref="L512:U512"/>
    <mergeCell ref="V512:W512"/>
    <mergeCell ref="X512:Y512"/>
    <mergeCell ref="A313:A314"/>
    <mergeCell ref="B313:D313"/>
    <mergeCell ref="E313:G314"/>
    <mergeCell ref="H313:I313"/>
    <mergeCell ref="J313:P314"/>
    <mergeCell ref="Q313:R314"/>
    <mergeCell ref="S313:U314"/>
    <mergeCell ref="H314:I314"/>
    <mergeCell ref="A315:A316"/>
    <mergeCell ref="A309:A310"/>
    <mergeCell ref="E309:G310"/>
    <mergeCell ref="H309:I309"/>
    <mergeCell ref="B509:K509"/>
    <mergeCell ref="L509:U509"/>
    <mergeCell ref="V509:W509"/>
    <mergeCell ref="X509:Y509"/>
    <mergeCell ref="B510:K510"/>
    <mergeCell ref="L510:U510"/>
    <mergeCell ref="V510:W510"/>
    <mergeCell ref="X510:Y510"/>
    <mergeCell ref="B507:K507"/>
    <mergeCell ref="L507:U507"/>
    <mergeCell ref="V507:W507"/>
    <mergeCell ref="X507:Y507"/>
    <mergeCell ref="B508:K508"/>
    <mergeCell ref="L508:U508"/>
    <mergeCell ref="V508:W508"/>
    <mergeCell ref="X508:Y508"/>
    <mergeCell ref="X503:Y503"/>
    <mergeCell ref="X504:Y504"/>
    <mergeCell ref="B506:K506"/>
    <mergeCell ref="L506:U506"/>
    <mergeCell ref="A307:A308"/>
    <mergeCell ref="E307:G308"/>
    <mergeCell ref="H307:I307"/>
    <mergeCell ref="J311:P312"/>
    <mergeCell ref="Q311:R312"/>
    <mergeCell ref="S311:U312"/>
    <mergeCell ref="H312:I312"/>
    <mergeCell ref="H304:I304"/>
    <mergeCell ref="A305:A306"/>
    <mergeCell ref="E305:G306"/>
    <mergeCell ref="H305:I305"/>
    <mergeCell ref="X302:Y302"/>
    <mergeCell ref="A303:A304"/>
    <mergeCell ref="E303:G304"/>
    <mergeCell ref="H303:I303"/>
    <mergeCell ref="J303:P304"/>
    <mergeCell ref="Q303:R304"/>
    <mergeCell ref="S303:U304"/>
    <mergeCell ref="J307:P308"/>
    <mergeCell ref="Q307:R308"/>
    <mergeCell ref="S307:U308"/>
    <mergeCell ref="H308:I308"/>
    <mergeCell ref="J309:P310"/>
    <mergeCell ref="Q309:R310"/>
    <mergeCell ref="S309:U310"/>
    <mergeCell ref="H310:I310"/>
    <mergeCell ref="A311:A312"/>
    <mergeCell ref="E311:G312"/>
    <mergeCell ref="H311:I311"/>
    <mergeCell ref="B305:D305"/>
    <mergeCell ref="B307:D307"/>
    <mergeCell ref="B309:D309"/>
    <mergeCell ref="V302:W302"/>
    <mergeCell ref="A285:A286"/>
    <mergeCell ref="B285:J286"/>
    <mergeCell ref="K285:M286"/>
    <mergeCell ref="N285:R286"/>
    <mergeCell ref="S285:U286"/>
    <mergeCell ref="A297:A298"/>
    <mergeCell ref="B297:J298"/>
    <mergeCell ref="K297:M298"/>
    <mergeCell ref="N297:R298"/>
    <mergeCell ref="S297:U298"/>
    <mergeCell ref="A293:A294"/>
    <mergeCell ref="B293:J294"/>
    <mergeCell ref="K293:M294"/>
    <mergeCell ref="N293:R294"/>
    <mergeCell ref="S293:U294"/>
    <mergeCell ref="A295:A296"/>
    <mergeCell ref="B295:J296"/>
    <mergeCell ref="K295:M296"/>
    <mergeCell ref="N295:R296"/>
    <mergeCell ref="S295:U296"/>
    <mergeCell ref="A301:Y301"/>
    <mergeCell ref="X300:Y300"/>
    <mergeCell ref="A299:W299"/>
    <mergeCell ref="A300:W300"/>
    <mergeCell ref="A291:A292"/>
    <mergeCell ref="A283:A284"/>
    <mergeCell ref="B283:J284"/>
    <mergeCell ref="K283:M284"/>
    <mergeCell ref="N283:R284"/>
    <mergeCell ref="S283:U284"/>
    <mergeCell ref="A277:A278"/>
    <mergeCell ref="B277:J278"/>
    <mergeCell ref="K277:M278"/>
    <mergeCell ref="N277:R278"/>
    <mergeCell ref="S277:U278"/>
    <mergeCell ref="A279:A280"/>
    <mergeCell ref="B279:J280"/>
    <mergeCell ref="K279:M280"/>
    <mergeCell ref="N279:R280"/>
    <mergeCell ref="S279:U280"/>
    <mergeCell ref="B302:D302"/>
    <mergeCell ref="E302:G302"/>
    <mergeCell ref="H302:I302"/>
    <mergeCell ref="J302:P302"/>
    <mergeCell ref="Q302:R302"/>
    <mergeCell ref="S302:U302"/>
    <mergeCell ref="A275:A276"/>
    <mergeCell ref="B275:J276"/>
    <mergeCell ref="K275:M276"/>
    <mergeCell ref="N275:R276"/>
    <mergeCell ref="S275:U276"/>
    <mergeCell ref="A269:A270"/>
    <mergeCell ref="B269:J270"/>
    <mergeCell ref="K269:M270"/>
    <mergeCell ref="N269:R270"/>
    <mergeCell ref="S269:U270"/>
    <mergeCell ref="A271:A272"/>
    <mergeCell ref="B271:J272"/>
    <mergeCell ref="K271:M272"/>
    <mergeCell ref="N271:R272"/>
    <mergeCell ref="S271:U272"/>
    <mergeCell ref="A281:A282"/>
    <mergeCell ref="B281:J282"/>
    <mergeCell ref="K281:M282"/>
    <mergeCell ref="N281:R282"/>
    <mergeCell ref="S281:U282"/>
    <mergeCell ref="A267:A268"/>
    <mergeCell ref="B267:J268"/>
    <mergeCell ref="K267:M268"/>
    <mergeCell ref="N267:R268"/>
    <mergeCell ref="S267:U268"/>
    <mergeCell ref="A261:A262"/>
    <mergeCell ref="B261:J262"/>
    <mergeCell ref="K261:M262"/>
    <mergeCell ref="N261:R262"/>
    <mergeCell ref="S261:U262"/>
    <mergeCell ref="A263:A264"/>
    <mergeCell ref="B263:J264"/>
    <mergeCell ref="K263:M264"/>
    <mergeCell ref="N263:R264"/>
    <mergeCell ref="S263:U264"/>
    <mergeCell ref="A273:A274"/>
    <mergeCell ref="B273:J274"/>
    <mergeCell ref="K273:M274"/>
    <mergeCell ref="N273:R274"/>
    <mergeCell ref="S273:U274"/>
    <mergeCell ref="A259:A260"/>
    <mergeCell ref="B259:J260"/>
    <mergeCell ref="K259:M260"/>
    <mergeCell ref="N259:R260"/>
    <mergeCell ref="S259:U260"/>
    <mergeCell ref="A253:A254"/>
    <mergeCell ref="B253:J254"/>
    <mergeCell ref="K253:M254"/>
    <mergeCell ref="N253:R254"/>
    <mergeCell ref="S253:U254"/>
    <mergeCell ref="A255:A256"/>
    <mergeCell ref="B255:J256"/>
    <mergeCell ref="K255:M256"/>
    <mergeCell ref="N255:R256"/>
    <mergeCell ref="S255:U256"/>
    <mergeCell ref="A265:A266"/>
    <mergeCell ref="B265:J266"/>
    <mergeCell ref="K265:M266"/>
    <mergeCell ref="N265:R266"/>
    <mergeCell ref="S265:U266"/>
    <mergeCell ref="X245:Y245"/>
    <mergeCell ref="B248:J248"/>
    <mergeCell ref="K248:M248"/>
    <mergeCell ref="N248:R248"/>
    <mergeCell ref="S248:U248"/>
    <mergeCell ref="V248:W248"/>
    <mergeCell ref="X248:Y248"/>
    <mergeCell ref="A246:C246"/>
    <mergeCell ref="E246:G246"/>
    <mergeCell ref="I246:S246"/>
    <mergeCell ref="U246:Y246"/>
    <mergeCell ref="A247:Y247"/>
    <mergeCell ref="A257:A258"/>
    <mergeCell ref="B257:J258"/>
    <mergeCell ref="K257:M258"/>
    <mergeCell ref="N257:R258"/>
    <mergeCell ref="S257:U258"/>
    <mergeCell ref="Q241:Q242"/>
    <mergeCell ref="F239:I240"/>
    <mergeCell ref="J239:M240"/>
    <mergeCell ref="N239:N240"/>
    <mergeCell ref="O239:O240"/>
    <mergeCell ref="P239:P240"/>
    <mergeCell ref="A249:A250"/>
    <mergeCell ref="B249:J250"/>
    <mergeCell ref="K249:M250"/>
    <mergeCell ref="N249:R250"/>
    <mergeCell ref="S249:U250"/>
    <mergeCell ref="A251:A252"/>
    <mergeCell ref="B251:J252"/>
    <mergeCell ref="K251:M252"/>
    <mergeCell ref="N251:R252"/>
    <mergeCell ref="S251:U252"/>
    <mergeCell ref="A245:W245"/>
    <mergeCell ref="R232:S233"/>
    <mergeCell ref="A234:A235"/>
    <mergeCell ref="B234:E235"/>
    <mergeCell ref="F234:I235"/>
    <mergeCell ref="J234:M235"/>
    <mergeCell ref="N234:N235"/>
    <mergeCell ref="O234:O235"/>
    <mergeCell ref="P234:P235"/>
    <mergeCell ref="Q234:Q235"/>
    <mergeCell ref="R234:S235"/>
    <mergeCell ref="A232:A233"/>
    <mergeCell ref="B232:E233"/>
    <mergeCell ref="F232:I233"/>
    <mergeCell ref="J232:M233"/>
    <mergeCell ref="N232:N233"/>
    <mergeCell ref="O232:O233"/>
    <mergeCell ref="A243:A244"/>
    <mergeCell ref="B243:E244"/>
    <mergeCell ref="F243:I244"/>
    <mergeCell ref="J243:M244"/>
    <mergeCell ref="N243:N244"/>
    <mergeCell ref="O243:O244"/>
    <mergeCell ref="P243:P244"/>
    <mergeCell ref="Q243:Q244"/>
    <mergeCell ref="R243:S244"/>
    <mergeCell ref="Q239:Q240"/>
    <mergeCell ref="R239:S240"/>
    <mergeCell ref="A241:A242"/>
    <mergeCell ref="B241:E242"/>
    <mergeCell ref="F241:I242"/>
    <mergeCell ref="J241:M242"/>
    <mergeCell ref="N241:N242"/>
    <mergeCell ref="A225:A226"/>
    <mergeCell ref="B225:E226"/>
    <mergeCell ref="F225:I226"/>
    <mergeCell ref="J225:M226"/>
    <mergeCell ref="N225:N226"/>
    <mergeCell ref="O225:O226"/>
    <mergeCell ref="P225:P226"/>
    <mergeCell ref="Q225:Q226"/>
    <mergeCell ref="R225:S226"/>
    <mergeCell ref="A223:A224"/>
    <mergeCell ref="B223:E224"/>
    <mergeCell ref="F223:I224"/>
    <mergeCell ref="J223:M224"/>
    <mergeCell ref="N223:N224"/>
    <mergeCell ref="O223:O224"/>
    <mergeCell ref="P223:P224"/>
    <mergeCell ref="Q223:Q224"/>
    <mergeCell ref="A221:A222"/>
    <mergeCell ref="B221:E222"/>
    <mergeCell ref="F221:I222"/>
    <mergeCell ref="J221:M222"/>
    <mergeCell ref="N221:N222"/>
    <mergeCell ref="O221:O222"/>
    <mergeCell ref="P221:P222"/>
    <mergeCell ref="A219:A220"/>
    <mergeCell ref="B219:E220"/>
    <mergeCell ref="F219:I220"/>
    <mergeCell ref="J219:M220"/>
    <mergeCell ref="N219:N220"/>
    <mergeCell ref="O219:O220"/>
    <mergeCell ref="R214:S215"/>
    <mergeCell ref="A216:A217"/>
    <mergeCell ref="B216:E217"/>
    <mergeCell ref="F216:I217"/>
    <mergeCell ref="J216:M217"/>
    <mergeCell ref="N216:N217"/>
    <mergeCell ref="O216:O217"/>
    <mergeCell ref="P216:P217"/>
    <mergeCell ref="Q216:Q217"/>
    <mergeCell ref="R216:S217"/>
    <mergeCell ref="A214:A215"/>
    <mergeCell ref="B214:E215"/>
    <mergeCell ref="F214:I215"/>
    <mergeCell ref="J214:M215"/>
    <mergeCell ref="N214:N215"/>
    <mergeCell ref="O214:O215"/>
    <mergeCell ref="P214:P215"/>
    <mergeCell ref="Q214:Q215"/>
    <mergeCell ref="B218:E218"/>
    <mergeCell ref="A212:A213"/>
    <mergeCell ref="B212:E213"/>
    <mergeCell ref="F212:I213"/>
    <mergeCell ref="J212:M213"/>
    <mergeCell ref="N212:N213"/>
    <mergeCell ref="O212:O213"/>
    <mergeCell ref="P212:P213"/>
    <mergeCell ref="A210:A211"/>
    <mergeCell ref="B210:E211"/>
    <mergeCell ref="F210:I211"/>
    <mergeCell ref="J210:M211"/>
    <mergeCell ref="N210:N211"/>
    <mergeCell ref="O210:O211"/>
    <mergeCell ref="A207:A208"/>
    <mergeCell ref="B207:E208"/>
    <mergeCell ref="F207:I208"/>
    <mergeCell ref="J207:M208"/>
    <mergeCell ref="N207:N208"/>
    <mergeCell ref="O207:O208"/>
    <mergeCell ref="P207:P208"/>
    <mergeCell ref="B209:E209"/>
    <mergeCell ref="F209:I209"/>
    <mergeCell ref="J209:M209"/>
    <mergeCell ref="A205:A206"/>
    <mergeCell ref="B205:E206"/>
    <mergeCell ref="F205:I206"/>
    <mergeCell ref="J205:M206"/>
    <mergeCell ref="N205:N206"/>
    <mergeCell ref="O205:O206"/>
    <mergeCell ref="P205:P206"/>
    <mergeCell ref="Q205:Q206"/>
    <mergeCell ref="A203:A204"/>
    <mergeCell ref="B203:E204"/>
    <mergeCell ref="F203:I204"/>
    <mergeCell ref="J203:M204"/>
    <mergeCell ref="N203:N204"/>
    <mergeCell ref="O203:O204"/>
    <mergeCell ref="P203:P204"/>
    <mergeCell ref="A201:A202"/>
    <mergeCell ref="B201:E202"/>
    <mergeCell ref="F201:I202"/>
    <mergeCell ref="J201:M202"/>
    <mergeCell ref="N201:N202"/>
    <mergeCell ref="O201:O202"/>
    <mergeCell ref="A198:A199"/>
    <mergeCell ref="B198:E199"/>
    <mergeCell ref="F198:I199"/>
    <mergeCell ref="J198:M199"/>
    <mergeCell ref="N198:N199"/>
    <mergeCell ref="O198:O199"/>
    <mergeCell ref="P198:P199"/>
    <mergeCell ref="Q198:Q199"/>
    <mergeCell ref="F178:I179"/>
    <mergeCell ref="J178:M179"/>
    <mergeCell ref="N178:N179"/>
    <mergeCell ref="O178:O179"/>
    <mergeCell ref="P178:P179"/>
    <mergeCell ref="Q178:Q179"/>
    <mergeCell ref="P183:P184"/>
    <mergeCell ref="Q183:Q184"/>
    <mergeCell ref="A196:A197"/>
    <mergeCell ref="B196:E197"/>
    <mergeCell ref="F196:I197"/>
    <mergeCell ref="J196:M197"/>
    <mergeCell ref="N196:N197"/>
    <mergeCell ref="O196:O197"/>
    <mergeCell ref="P196:P197"/>
    <mergeCell ref="Q196:Q197"/>
    <mergeCell ref="A194:A195"/>
    <mergeCell ref="B194:E195"/>
    <mergeCell ref="F194:I195"/>
    <mergeCell ref="J194:M195"/>
    <mergeCell ref="N194:N195"/>
    <mergeCell ref="O194:O195"/>
    <mergeCell ref="O187:O188"/>
    <mergeCell ref="P187:P188"/>
    <mergeCell ref="A192:A193"/>
    <mergeCell ref="B192:E193"/>
    <mergeCell ref="F192:I193"/>
    <mergeCell ref="J192:M193"/>
    <mergeCell ref="N192:N193"/>
    <mergeCell ref="O192:O193"/>
    <mergeCell ref="R187:S188"/>
    <mergeCell ref="A189:A190"/>
    <mergeCell ref="B189:E190"/>
    <mergeCell ref="F189:I190"/>
    <mergeCell ref="J189:M190"/>
    <mergeCell ref="N189:N190"/>
    <mergeCell ref="O189:O190"/>
    <mergeCell ref="P189:P190"/>
    <mergeCell ref="Q189:Q190"/>
    <mergeCell ref="R189:S190"/>
    <mergeCell ref="Q185:Q186"/>
    <mergeCell ref="R185:S186"/>
    <mergeCell ref="A187:A188"/>
    <mergeCell ref="B187:E188"/>
    <mergeCell ref="F187:I188"/>
    <mergeCell ref="J187:M188"/>
    <mergeCell ref="N187:N188"/>
    <mergeCell ref="A185:A186"/>
    <mergeCell ref="B185:E186"/>
    <mergeCell ref="F185:I186"/>
    <mergeCell ref="J185:M186"/>
    <mergeCell ref="N185:N186"/>
    <mergeCell ref="O185:O186"/>
    <mergeCell ref="Q187:Q188"/>
    <mergeCell ref="A183:A184"/>
    <mergeCell ref="B183:E184"/>
    <mergeCell ref="F183:I184"/>
    <mergeCell ref="J183:M184"/>
    <mergeCell ref="N183:N184"/>
    <mergeCell ref="O183:O184"/>
    <mergeCell ref="R178:S179"/>
    <mergeCell ref="A180:A181"/>
    <mergeCell ref="B180:E181"/>
    <mergeCell ref="F180:I181"/>
    <mergeCell ref="J180:M181"/>
    <mergeCell ref="N180:N181"/>
    <mergeCell ref="O180:O181"/>
    <mergeCell ref="P180:P181"/>
    <mergeCell ref="Q180:Q181"/>
    <mergeCell ref="R180:S181"/>
    <mergeCell ref="A178:A179"/>
    <mergeCell ref="B178:E179"/>
    <mergeCell ref="R183:S184"/>
    <mergeCell ref="R162:S163"/>
    <mergeCell ref="A160:A161"/>
    <mergeCell ref="B160:E161"/>
    <mergeCell ref="F160:I161"/>
    <mergeCell ref="J160:M161"/>
    <mergeCell ref="N160:N161"/>
    <mergeCell ref="O160:O161"/>
    <mergeCell ref="P160:P161"/>
    <mergeCell ref="Q160:Q161"/>
    <mergeCell ref="J171:M172"/>
    <mergeCell ref="N171:N172"/>
    <mergeCell ref="O171:O172"/>
    <mergeCell ref="P171:P172"/>
    <mergeCell ref="Q171:Q172"/>
    <mergeCell ref="R171:S172"/>
    <mergeCell ref="A169:A170"/>
    <mergeCell ref="B169:E170"/>
    <mergeCell ref="F169:I170"/>
    <mergeCell ref="J169:M170"/>
    <mergeCell ref="N169:N170"/>
    <mergeCell ref="O169:O170"/>
    <mergeCell ref="P169:P170"/>
    <mergeCell ref="Q169:Q170"/>
    <mergeCell ref="F156:I157"/>
    <mergeCell ref="J156:M157"/>
    <mergeCell ref="N156:N157"/>
    <mergeCell ref="O156:O157"/>
    <mergeCell ref="A153:A154"/>
    <mergeCell ref="B153:E154"/>
    <mergeCell ref="F153:I154"/>
    <mergeCell ref="J153:M154"/>
    <mergeCell ref="N153:N154"/>
    <mergeCell ref="O153:O154"/>
    <mergeCell ref="P153:P154"/>
    <mergeCell ref="J155:M155"/>
    <mergeCell ref="B155:E155"/>
    <mergeCell ref="F155:I155"/>
    <mergeCell ref="A162:A163"/>
    <mergeCell ref="B162:E163"/>
    <mergeCell ref="F162:I163"/>
    <mergeCell ref="J162:M163"/>
    <mergeCell ref="N162:N163"/>
    <mergeCell ref="O162:O163"/>
    <mergeCell ref="P162:P163"/>
    <mergeCell ref="A151:A152"/>
    <mergeCell ref="B151:E152"/>
    <mergeCell ref="F151:I152"/>
    <mergeCell ref="J151:M152"/>
    <mergeCell ref="N151:N152"/>
    <mergeCell ref="O151:O152"/>
    <mergeCell ref="P151:P152"/>
    <mergeCell ref="Q151:Q152"/>
    <mergeCell ref="A149:A150"/>
    <mergeCell ref="B149:E150"/>
    <mergeCell ref="F149:I150"/>
    <mergeCell ref="J149:M150"/>
    <mergeCell ref="N149:N150"/>
    <mergeCell ref="O149:O150"/>
    <mergeCell ref="P149:P150"/>
    <mergeCell ref="A147:A148"/>
    <mergeCell ref="B147:E148"/>
    <mergeCell ref="F147:I148"/>
    <mergeCell ref="J147:M148"/>
    <mergeCell ref="N147:N148"/>
    <mergeCell ref="O147:O148"/>
    <mergeCell ref="A144:A145"/>
    <mergeCell ref="B144:E145"/>
    <mergeCell ref="F144:I145"/>
    <mergeCell ref="J144:M145"/>
    <mergeCell ref="N144:N145"/>
    <mergeCell ref="O144:O145"/>
    <mergeCell ref="P144:P145"/>
    <mergeCell ref="Q144:Q145"/>
    <mergeCell ref="R144:S145"/>
    <mergeCell ref="Q140:Q141"/>
    <mergeCell ref="R140:S141"/>
    <mergeCell ref="A142:A143"/>
    <mergeCell ref="B142:E143"/>
    <mergeCell ref="F142:I143"/>
    <mergeCell ref="J142:M143"/>
    <mergeCell ref="N142:N143"/>
    <mergeCell ref="O142:O143"/>
    <mergeCell ref="P142:P143"/>
    <mergeCell ref="Q142:Q143"/>
    <mergeCell ref="A140:A141"/>
    <mergeCell ref="B140:E141"/>
    <mergeCell ref="F140:I141"/>
    <mergeCell ref="J140:M141"/>
    <mergeCell ref="N140:N141"/>
    <mergeCell ref="O140:O141"/>
    <mergeCell ref="A138:A139"/>
    <mergeCell ref="B138:E139"/>
    <mergeCell ref="F138:I139"/>
    <mergeCell ref="J138:M139"/>
    <mergeCell ref="N138:N139"/>
    <mergeCell ref="O138:O139"/>
    <mergeCell ref="R133:S134"/>
    <mergeCell ref="A135:A136"/>
    <mergeCell ref="B135:E136"/>
    <mergeCell ref="F135:I136"/>
    <mergeCell ref="J135:M136"/>
    <mergeCell ref="N135:N136"/>
    <mergeCell ref="O135:O136"/>
    <mergeCell ref="P135:P136"/>
    <mergeCell ref="Q135:Q136"/>
    <mergeCell ref="R135:S136"/>
    <mergeCell ref="Q131:Q132"/>
    <mergeCell ref="R131:S132"/>
    <mergeCell ref="A133:A134"/>
    <mergeCell ref="B133:E134"/>
    <mergeCell ref="F133:I134"/>
    <mergeCell ref="J133:M134"/>
    <mergeCell ref="N133:N134"/>
    <mergeCell ref="O133:O134"/>
    <mergeCell ref="P133:P134"/>
    <mergeCell ref="Q133:Q134"/>
    <mergeCell ref="R137:S137"/>
    <mergeCell ref="A131:A132"/>
    <mergeCell ref="B131:E132"/>
    <mergeCell ref="F131:I132"/>
    <mergeCell ref="J131:M132"/>
    <mergeCell ref="N131:N132"/>
    <mergeCell ref="A129:A130"/>
    <mergeCell ref="B129:E130"/>
    <mergeCell ref="F129:I130"/>
    <mergeCell ref="J129:M130"/>
    <mergeCell ref="N129:N130"/>
    <mergeCell ref="O129:O130"/>
    <mergeCell ref="R124:S125"/>
    <mergeCell ref="A126:A127"/>
    <mergeCell ref="B126:E127"/>
    <mergeCell ref="F126:I127"/>
    <mergeCell ref="J126:M127"/>
    <mergeCell ref="N126:N127"/>
    <mergeCell ref="O126:O127"/>
    <mergeCell ref="P126:P127"/>
    <mergeCell ref="Q126:Q127"/>
    <mergeCell ref="R126:S127"/>
    <mergeCell ref="A124:A125"/>
    <mergeCell ref="B124:E125"/>
    <mergeCell ref="F124:I125"/>
    <mergeCell ref="J124:M125"/>
    <mergeCell ref="N124:N125"/>
    <mergeCell ref="O124:O125"/>
    <mergeCell ref="B128:E128"/>
    <mergeCell ref="F128:I128"/>
    <mergeCell ref="J128:M128"/>
    <mergeCell ref="R128:S128"/>
    <mergeCell ref="A122:A123"/>
    <mergeCell ref="B122:E123"/>
    <mergeCell ref="F122:I123"/>
    <mergeCell ref="J122:M123"/>
    <mergeCell ref="N122:N123"/>
    <mergeCell ref="O122:O123"/>
    <mergeCell ref="P122:P123"/>
    <mergeCell ref="A120:A121"/>
    <mergeCell ref="B120:E121"/>
    <mergeCell ref="F120:I121"/>
    <mergeCell ref="J120:M121"/>
    <mergeCell ref="N120:N121"/>
    <mergeCell ref="O120:O121"/>
    <mergeCell ref="R115:S116"/>
    <mergeCell ref="A117:A118"/>
    <mergeCell ref="B117:E118"/>
    <mergeCell ref="F117:I118"/>
    <mergeCell ref="J117:M118"/>
    <mergeCell ref="N117:N118"/>
    <mergeCell ref="O117:O118"/>
    <mergeCell ref="P117:P118"/>
    <mergeCell ref="Q117:Q118"/>
    <mergeCell ref="R117:S118"/>
    <mergeCell ref="A115:A116"/>
    <mergeCell ref="B115:E116"/>
    <mergeCell ref="F115:I116"/>
    <mergeCell ref="J115:M116"/>
    <mergeCell ref="N115:N116"/>
    <mergeCell ref="O115:O116"/>
    <mergeCell ref="P115:P116"/>
    <mergeCell ref="Q115:Q116"/>
    <mergeCell ref="B119:E119"/>
    <mergeCell ref="A113:A114"/>
    <mergeCell ref="B113:E114"/>
    <mergeCell ref="F113:I114"/>
    <mergeCell ref="J113:M114"/>
    <mergeCell ref="N113:N114"/>
    <mergeCell ref="O113:O114"/>
    <mergeCell ref="P113:P114"/>
    <mergeCell ref="A111:A112"/>
    <mergeCell ref="B111:E112"/>
    <mergeCell ref="F111:I112"/>
    <mergeCell ref="J111:M112"/>
    <mergeCell ref="N111:N112"/>
    <mergeCell ref="O111:O112"/>
    <mergeCell ref="R106:S107"/>
    <mergeCell ref="A108:A109"/>
    <mergeCell ref="B108:E109"/>
    <mergeCell ref="F108:I109"/>
    <mergeCell ref="J108:M109"/>
    <mergeCell ref="N108:N109"/>
    <mergeCell ref="O108:O109"/>
    <mergeCell ref="P108:P109"/>
    <mergeCell ref="Q108:Q109"/>
    <mergeCell ref="R108:S109"/>
    <mergeCell ref="A106:A107"/>
    <mergeCell ref="B106:E107"/>
    <mergeCell ref="F106:I107"/>
    <mergeCell ref="J106:M107"/>
    <mergeCell ref="N106:N107"/>
    <mergeCell ref="O106:O107"/>
    <mergeCell ref="P106:P107"/>
    <mergeCell ref="Q106:Q107"/>
    <mergeCell ref="B110:E110"/>
    <mergeCell ref="A104:A105"/>
    <mergeCell ref="B104:E105"/>
    <mergeCell ref="F104:I105"/>
    <mergeCell ref="J104:M105"/>
    <mergeCell ref="N104:N105"/>
    <mergeCell ref="O104:O105"/>
    <mergeCell ref="P104:P105"/>
    <mergeCell ref="A102:A103"/>
    <mergeCell ref="B102:E103"/>
    <mergeCell ref="F102:I103"/>
    <mergeCell ref="J102:M103"/>
    <mergeCell ref="N102:N103"/>
    <mergeCell ref="O102:O103"/>
    <mergeCell ref="A99:A100"/>
    <mergeCell ref="B99:E100"/>
    <mergeCell ref="F99:I100"/>
    <mergeCell ref="J99:M100"/>
    <mergeCell ref="N99:N100"/>
    <mergeCell ref="O99:O100"/>
    <mergeCell ref="P99:P100"/>
    <mergeCell ref="B101:E101"/>
    <mergeCell ref="F101:I101"/>
    <mergeCell ref="J101:M101"/>
    <mergeCell ref="P102:P103"/>
    <mergeCell ref="A97:A98"/>
    <mergeCell ref="B97:E98"/>
    <mergeCell ref="F97:I98"/>
    <mergeCell ref="J97:M98"/>
    <mergeCell ref="N97:N98"/>
    <mergeCell ref="O97:O98"/>
    <mergeCell ref="P97:P98"/>
    <mergeCell ref="Q97:Q98"/>
    <mergeCell ref="A95:A96"/>
    <mergeCell ref="B95:E96"/>
    <mergeCell ref="F95:I96"/>
    <mergeCell ref="J95:M96"/>
    <mergeCell ref="N95:N96"/>
    <mergeCell ref="O95:O96"/>
    <mergeCell ref="P95:P96"/>
    <mergeCell ref="A93:A94"/>
    <mergeCell ref="B93:E94"/>
    <mergeCell ref="F93:I94"/>
    <mergeCell ref="J93:M94"/>
    <mergeCell ref="N93:N94"/>
    <mergeCell ref="O93:O94"/>
    <mergeCell ref="P93:P94"/>
    <mergeCell ref="Q93:Q94"/>
    <mergeCell ref="A90:A91"/>
    <mergeCell ref="B90:E91"/>
    <mergeCell ref="F90:I91"/>
    <mergeCell ref="J90:M91"/>
    <mergeCell ref="N90:N91"/>
    <mergeCell ref="O90:O91"/>
    <mergeCell ref="P90:P91"/>
    <mergeCell ref="Q90:Q91"/>
    <mergeCell ref="R90:S91"/>
    <mergeCell ref="Q86:Q87"/>
    <mergeCell ref="R86:S87"/>
    <mergeCell ref="A88:A89"/>
    <mergeCell ref="B88:E89"/>
    <mergeCell ref="F88:I89"/>
    <mergeCell ref="J88:M89"/>
    <mergeCell ref="N88:N89"/>
    <mergeCell ref="O88:O89"/>
    <mergeCell ref="P88:P89"/>
    <mergeCell ref="Q88:Q89"/>
    <mergeCell ref="A86:A87"/>
    <mergeCell ref="B86:E87"/>
    <mergeCell ref="F86:I87"/>
    <mergeCell ref="J86:M87"/>
    <mergeCell ref="N86:N87"/>
    <mergeCell ref="O86:O87"/>
    <mergeCell ref="A84:A85"/>
    <mergeCell ref="B84:E85"/>
    <mergeCell ref="F84:I85"/>
    <mergeCell ref="J84:M85"/>
    <mergeCell ref="N84:N85"/>
    <mergeCell ref="O84:O85"/>
    <mergeCell ref="R79:S80"/>
    <mergeCell ref="A81:A82"/>
    <mergeCell ref="B81:E82"/>
    <mergeCell ref="F81:I82"/>
    <mergeCell ref="J81:M82"/>
    <mergeCell ref="N81:N82"/>
    <mergeCell ref="O81:O82"/>
    <mergeCell ref="P81:P82"/>
    <mergeCell ref="Q81:Q82"/>
    <mergeCell ref="R81:S82"/>
    <mergeCell ref="Q77:Q78"/>
    <mergeCell ref="R77:S78"/>
    <mergeCell ref="A79:A80"/>
    <mergeCell ref="B79:E80"/>
    <mergeCell ref="F79:I80"/>
    <mergeCell ref="J79:M80"/>
    <mergeCell ref="N79:N80"/>
    <mergeCell ref="O79:O80"/>
    <mergeCell ref="P79:P80"/>
    <mergeCell ref="Q79:Q80"/>
    <mergeCell ref="A77:A78"/>
    <mergeCell ref="B77:E78"/>
    <mergeCell ref="F77:I78"/>
    <mergeCell ref="J77:M78"/>
    <mergeCell ref="N77:N78"/>
    <mergeCell ref="O77:O78"/>
    <mergeCell ref="A75:A76"/>
    <mergeCell ref="B75:E76"/>
    <mergeCell ref="F75:I76"/>
    <mergeCell ref="J75:M76"/>
    <mergeCell ref="N75:N76"/>
    <mergeCell ref="O75:O76"/>
    <mergeCell ref="R70:S71"/>
    <mergeCell ref="A72:A73"/>
    <mergeCell ref="B72:E73"/>
    <mergeCell ref="F72:I73"/>
    <mergeCell ref="J72:M73"/>
    <mergeCell ref="N72:N73"/>
    <mergeCell ref="O72:O73"/>
    <mergeCell ref="P72:P73"/>
    <mergeCell ref="Q72:Q73"/>
    <mergeCell ref="R72:S73"/>
    <mergeCell ref="A70:A71"/>
    <mergeCell ref="B70:E71"/>
    <mergeCell ref="F70:I71"/>
    <mergeCell ref="J70:M71"/>
    <mergeCell ref="N70:N71"/>
    <mergeCell ref="O70:O71"/>
    <mergeCell ref="F74:I74"/>
    <mergeCell ref="J74:M74"/>
    <mergeCell ref="R74:S74"/>
    <mergeCell ref="R75:S76"/>
    <mergeCell ref="A68:A69"/>
    <mergeCell ref="B68:E69"/>
    <mergeCell ref="F68:I69"/>
    <mergeCell ref="J68:M69"/>
    <mergeCell ref="N68:N69"/>
    <mergeCell ref="O68:O69"/>
    <mergeCell ref="P68:P69"/>
    <mergeCell ref="A66:A67"/>
    <mergeCell ref="B66:E67"/>
    <mergeCell ref="F66:I67"/>
    <mergeCell ref="J66:M67"/>
    <mergeCell ref="N66:N67"/>
    <mergeCell ref="O66:O67"/>
    <mergeCell ref="R61:S62"/>
    <mergeCell ref="A63:A64"/>
    <mergeCell ref="B63:E64"/>
    <mergeCell ref="F63:I64"/>
    <mergeCell ref="J63:M64"/>
    <mergeCell ref="N63:N64"/>
    <mergeCell ref="O63:O64"/>
    <mergeCell ref="P63:P64"/>
    <mergeCell ref="Q63:Q64"/>
    <mergeCell ref="R63:S64"/>
    <mergeCell ref="A61:A62"/>
    <mergeCell ref="B61:E62"/>
    <mergeCell ref="F61:I62"/>
    <mergeCell ref="J61:M62"/>
    <mergeCell ref="N61:N62"/>
    <mergeCell ref="O61:O62"/>
    <mergeCell ref="P61:P62"/>
    <mergeCell ref="Q61:Q62"/>
    <mergeCell ref="Q68:Q69"/>
    <mergeCell ref="A59:A60"/>
    <mergeCell ref="B59:E60"/>
    <mergeCell ref="F59:I60"/>
    <mergeCell ref="J59:M60"/>
    <mergeCell ref="N59:N60"/>
    <mergeCell ref="O59:O60"/>
    <mergeCell ref="P59:P60"/>
    <mergeCell ref="A57:A58"/>
    <mergeCell ref="B57:E58"/>
    <mergeCell ref="F57:I58"/>
    <mergeCell ref="J57:M58"/>
    <mergeCell ref="N57:N58"/>
    <mergeCell ref="O57:O58"/>
    <mergeCell ref="R52:S53"/>
    <mergeCell ref="A54:A55"/>
    <mergeCell ref="B54:E55"/>
    <mergeCell ref="F54:I55"/>
    <mergeCell ref="J54:M55"/>
    <mergeCell ref="N54:N55"/>
    <mergeCell ref="O54:O55"/>
    <mergeCell ref="P54:P55"/>
    <mergeCell ref="Q54:Q55"/>
    <mergeCell ref="R54:S55"/>
    <mergeCell ref="B56:E56"/>
    <mergeCell ref="F56:I56"/>
    <mergeCell ref="J56:M56"/>
    <mergeCell ref="R56:S56"/>
    <mergeCell ref="A52:A53"/>
    <mergeCell ref="B52:E53"/>
    <mergeCell ref="F52:I53"/>
    <mergeCell ref="J52:M53"/>
    <mergeCell ref="N52:N53"/>
    <mergeCell ref="A50:A51"/>
    <mergeCell ref="B50:E51"/>
    <mergeCell ref="F50:I51"/>
    <mergeCell ref="J50:M51"/>
    <mergeCell ref="N50:N51"/>
    <mergeCell ref="O50:O51"/>
    <mergeCell ref="P50:P51"/>
    <mergeCell ref="A48:A49"/>
    <mergeCell ref="B48:E49"/>
    <mergeCell ref="F48:I49"/>
    <mergeCell ref="J48:M49"/>
    <mergeCell ref="N48:N49"/>
    <mergeCell ref="O48:O49"/>
    <mergeCell ref="A45:A46"/>
    <mergeCell ref="B45:E46"/>
    <mergeCell ref="F45:I46"/>
    <mergeCell ref="J45:M46"/>
    <mergeCell ref="N45:N46"/>
    <mergeCell ref="O45:O46"/>
    <mergeCell ref="P45:P46"/>
    <mergeCell ref="B47:E47"/>
    <mergeCell ref="F47:I47"/>
    <mergeCell ref="J47:M47"/>
    <mergeCell ref="A43:A44"/>
    <mergeCell ref="B43:E44"/>
    <mergeCell ref="F43:I44"/>
    <mergeCell ref="J43:M44"/>
    <mergeCell ref="N43:N44"/>
    <mergeCell ref="Q43:Q44"/>
    <mergeCell ref="A41:A42"/>
    <mergeCell ref="B41:E42"/>
    <mergeCell ref="F41:I42"/>
    <mergeCell ref="J41:M42"/>
    <mergeCell ref="N41:N42"/>
    <mergeCell ref="A30:A31"/>
    <mergeCell ref="B30:E31"/>
    <mergeCell ref="F30:I31"/>
    <mergeCell ref="J30:M31"/>
    <mergeCell ref="N30:N31"/>
    <mergeCell ref="O30:O31"/>
    <mergeCell ref="N39:N40"/>
    <mergeCell ref="O39:O40"/>
    <mergeCell ref="O36:O37"/>
    <mergeCell ref="P36:P37"/>
    <mergeCell ref="P30:P31"/>
    <mergeCell ref="Q30:Q31"/>
    <mergeCell ref="B36:E37"/>
    <mergeCell ref="F36:I37"/>
    <mergeCell ref="J36:M37"/>
    <mergeCell ref="N36:N37"/>
    <mergeCell ref="P34:P35"/>
    <mergeCell ref="Q34:Q35"/>
    <mergeCell ref="O43:O44"/>
    <mergeCell ref="P43:P44"/>
    <mergeCell ref="B38:E38"/>
    <mergeCell ref="R30:S31"/>
    <mergeCell ref="P32:P33"/>
    <mergeCell ref="O41:O42"/>
    <mergeCell ref="P41:P42"/>
    <mergeCell ref="R25:S26"/>
    <mergeCell ref="A27:A28"/>
    <mergeCell ref="B27:E28"/>
    <mergeCell ref="F27:I28"/>
    <mergeCell ref="J27:M28"/>
    <mergeCell ref="N27:N28"/>
    <mergeCell ref="O27:O28"/>
    <mergeCell ref="P27:P28"/>
    <mergeCell ref="Q27:Q28"/>
    <mergeCell ref="R27:S28"/>
    <mergeCell ref="Q36:Q37"/>
    <mergeCell ref="R36:S37"/>
    <mergeCell ref="Q32:Q33"/>
    <mergeCell ref="R32:S33"/>
    <mergeCell ref="A34:A35"/>
    <mergeCell ref="B34:E35"/>
    <mergeCell ref="F34:I35"/>
    <mergeCell ref="J34:M35"/>
    <mergeCell ref="N34:N35"/>
    <mergeCell ref="O34:O35"/>
    <mergeCell ref="A32:A33"/>
    <mergeCell ref="B32:E33"/>
    <mergeCell ref="F32:I33"/>
    <mergeCell ref="J32:M33"/>
    <mergeCell ref="N32:N33"/>
    <mergeCell ref="O32:O33"/>
    <mergeCell ref="R34:S35"/>
    <mergeCell ref="A36:A37"/>
    <mergeCell ref="P21:P22"/>
    <mergeCell ref="Q21:Q22"/>
    <mergeCell ref="R21:S22"/>
    <mergeCell ref="A21:A22"/>
    <mergeCell ref="B21:E22"/>
    <mergeCell ref="F21:I22"/>
    <mergeCell ref="J21:M22"/>
    <mergeCell ref="N21:N22"/>
    <mergeCell ref="O21:O22"/>
    <mergeCell ref="A19:Y19"/>
    <mergeCell ref="B20:E20"/>
    <mergeCell ref="F20:I20"/>
    <mergeCell ref="J20:M20"/>
    <mergeCell ref="R20:S20"/>
    <mergeCell ref="T20:U20"/>
    <mergeCell ref="V20:Y20"/>
    <mergeCell ref="A17:J17"/>
    <mergeCell ref="K17:L17"/>
    <mergeCell ref="N17:W17"/>
    <mergeCell ref="X17:Y17"/>
    <mergeCell ref="A18:J18"/>
    <mergeCell ref="K18:L18"/>
    <mergeCell ref="N18:W18"/>
    <mergeCell ref="X18:Y18"/>
    <mergeCell ref="L1:N1"/>
    <mergeCell ref="X16:Y16"/>
    <mergeCell ref="A13:J13"/>
    <mergeCell ref="K13:L13"/>
    <mergeCell ref="N13:W13"/>
    <mergeCell ref="X13:Y13"/>
    <mergeCell ref="A14:J14"/>
    <mergeCell ref="K14:L14"/>
    <mergeCell ref="N14:W14"/>
    <mergeCell ref="X14:Y14"/>
    <mergeCell ref="A11:J11"/>
    <mergeCell ref="K11:L11"/>
    <mergeCell ref="N11:W11"/>
    <mergeCell ref="X11:Y11"/>
    <mergeCell ref="A12:J12"/>
    <mergeCell ref="K12:L12"/>
    <mergeCell ref="N12:W12"/>
    <mergeCell ref="X12:Y12"/>
    <mergeCell ref="A10:J10"/>
    <mergeCell ref="A15:J15"/>
    <mergeCell ref="K15:L15"/>
    <mergeCell ref="N15:W15"/>
    <mergeCell ref="X15:Y15"/>
    <mergeCell ref="A16:J16"/>
    <mergeCell ref="K16:L16"/>
    <mergeCell ref="N16:W16"/>
    <mergeCell ref="A2:Y2"/>
    <mergeCell ref="I4:J4"/>
    <mergeCell ref="K4:L4"/>
    <mergeCell ref="K3:M3"/>
    <mergeCell ref="Q3:T3"/>
    <mergeCell ref="U3:Y3"/>
    <mergeCell ref="C5:K5"/>
    <mergeCell ref="L5:P5"/>
    <mergeCell ref="C4:H4"/>
    <mergeCell ref="A3:C3"/>
    <mergeCell ref="A6:C6"/>
    <mergeCell ref="D3:J3"/>
    <mergeCell ref="D6:Y6"/>
    <mergeCell ref="Q5:U5"/>
    <mergeCell ref="V5:Y5"/>
    <mergeCell ref="A9:J9"/>
    <mergeCell ref="K9:L9"/>
    <mergeCell ref="N9:W9"/>
    <mergeCell ref="X9:Y9"/>
    <mergeCell ref="X8:Y8"/>
    <mergeCell ref="Q4:T4"/>
    <mergeCell ref="U4:Y4"/>
    <mergeCell ref="A4:B4"/>
    <mergeCell ref="A5:B5"/>
    <mergeCell ref="M4:N4"/>
    <mergeCell ref="O4:P4"/>
    <mergeCell ref="K10:L10"/>
    <mergeCell ref="N10:W10"/>
    <mergeCell ref="X10:Y10"/>
    <mergeCell ref="A7:J7"/>
    <mergeCell ref="K7:L7"/>
    <mergeCell ref="N7:W7"/>
    <mergeCell ref="X7:Y7"/>
    <mergeCell ref="A8:J8"/>
    <mergeCell ref="K8:L8"/>
    <mergeCell ref="N8:W8"/>
    <mergeCell ref="V83:Y83"/>
    <mergeCell ref="A23:A24"/>
    <mergeCell ref="B23:E24"/>
    <mergeCell ref="F23:I24"/>
    <mergeCell ref="J23:M24"/>
    <mergeCell ref="N23:N24"/>
    <mergeCell ref="O23:O24"/>
    <mergeCell ref="P23:P24"/>
    <mergeCell ref="Q23:Q24"/>
    <mergeCell ref="R23:S24"/>
    <mergeCell ref="A25:A26"/>
    <mergeCell ref="B25:E26"/>
    <mergeCell ref="F25:I26"/>
    <mergeCell ref="J25:M26"/>
    <mergeCell ref="N25:N26"/>
    <mergeCell ref="O25:O26"/>
    <mergeCell ref="P25:P26"/>
    <mergeCell ref="Q25:Q26"/>
    <mergeCell ref="A39:A40"/>
    <mergeCell ref="B39:E40"/>
    <mergeCell ref="F39:I40"/>
    <mergeCell ref="J39:M40"/>
    <mergeCell ref="V128:Y128"/>
    <mergeCell ref="B137:E137"/>
    <mergeCell ref="F137:I137"/>
    <mergeCell ref="J137:M137"/>
    <mergeCell ref="T137:U137"/>
    <mergeCell ref="V137:Y137"/>
    <mergeCell ref="B74:E74"/>
    <mergeCell ref="R102:S103"/>
    <mergeCell ref="Q99:Q100"/>
    <mergeCell ref="R99:S100"/>
    <mergeCell ref="R101:S101"/>
    <mergeCell ref="T101:U101"/>
    <mergeCell ref="V101:Y101"/>
    <mergeCell ref="R97:S98"/>
    <mergeCell ref="R93:S94"/>
    <mergeCell ref="R119:S119"/>
    <mergeCell ref="T119:U119"/>
    <mergeCell ref="V119:Y119"/>
    <mergeCell ref="F110:I110"/>
    <mergeCell ref="T74:U74"/>
    <mergeCell ref="V74:Y74"/>
    <mergeCell ref="B83:E83"/>
    <mergeCell ref="F83:I83"/>
    <mergeCell ref="J83:M83"/>
    <mergeCell ref="R83:S83"/>
    <mergeCell ref="T83:U83"/>
    <mergeCell ref="Q102:Q103"/>
    <mergeCell ref="B92:E92"/>
    <mergeCell ref="F92:I92"/>
    <mergeCell ref="J92:M92"/>
    <mergeCell ref="R92:S92"/>
    <mergeCell ref="T92:U92"/>
    <mergeCell ref="J228:M229"/>
    <mergeCell ref="N228:N229"/>
    <mergeCell ref="V164:Y164"/>
    <mergeCell ref="B173:E173"/>
    <mergeCell ref="F173:I173"/>
    <mergeCell ref="J173:M173"/>
    <mergeCell ref="R173:S173"/>
    <mergeCell ref="T173:U173"/>
    <mergeCell ref="V173:Y173"/>
    <mergeCell ref="B182:E182"/>
    <mergeCell ref="F182:I182"/>
    <mergeCell ref="J182:M182"/>
    <mergeCell ref="R182:S182"/>
    <mergeCell ref="T182:U182"/>
    <mergeCell ref="V182:Y182"/>
    <mergeCell ref="B167:E168"/>
    <mergeCell ref="F167:I168"/>
    <mergeCell ref="B176:E177"/>
    <mergeCell ref="F176:I177"/>
    <mergeCell ref="J176:M177"/>
    <mergeCell ref="N176:N177"/>
    <mergeCell ref="O176:O177"/>
    <mergeCell ref="P176:P177"/>
    <mergeCell ref="B174:E175"/>
    <mergeCell ref="F174:I175"/>
    <mergeCell ref="B171:E172"/>
    <mergeCell ref="F171:I172"/>
    <mergeCell ref="J227:M227"/>
    <mergeCell ref="F218:I218"/>
    <mergeCell ref="J218:M218"/>
    <mergeCell ref="R218:S218"/>
    <mergeCell ref="R176:S177"/>
    <mergeCell ref="T128:U128"/>
    <mergeCell ref="J110:M110"/>
    <mergeCell ref="R110:S110"/>
    <mergeCell ref="T110:U110"/>
    <mergeCell ref="A165:A166"/>
    <mergeCell ref="B165:E166"/>
    <mergeCell ref="F165:I166"/>
    <mergeCell ref="Q104:Q105"/>
    <mergeCell ref="R104:S105"/>
    <mergeCell ref="A287:A288"/>
    <mergeCell ref="B287:J288"/>
    <mergeCell ref="K287:M288"/>
    <mergeCell ref="N287:R288"/>
    <mergeCell ref="S287:U288"/>
    <mergeCell ref="A289:A290"/>
    <mergeCell ref="B289:J290"/>
    <mergeCell ref="K289:M290"/>
    <mergeCell ref="N289:R290"/>
    <mergeCell ref="S289:U290"/>
    <mergeCell ref="J230:M231"/>
    <mergeCell ref="N230:N231"/>
    <mergeCell ref="O230:O231"/>
    <mergeCell ref="P230:P231"/>
    <mergeCell ref="N174:N175"/>
    <mergeCell ref="O174:O175"/>
    <mergeCell ref="R169:S170"/>
    <mergeCell ref="Q176:Q177"/>
    <mergeCell ref="O228:O229"/>
    <mergeCell ref="R223:S224"/>
    <mergeCell ref="Q228:Q229"/>
    <mergeCell ref="B227:E227"/>
    <mergeCell ref="F227:I227"/>
    <mergeCell ref="R155:S155"/>
    <mergeCell ref="T155:U155"/>
    <mergeCell ref="B164:E164"/>
    <mergeCell ref="T164:U164"/>
    <mergeCell ref="T227:U227"/>
    <mergeCell ref="B236:E236"/>
    <mergeCell ref="T236:U236"/>
    <mergeCell ref="A228:A229"/>
    <mergeCell ref="B228:E229"/>
    <mergeCell ref="A230:A231"/>
    <mergeCell ref="B230:E231"/>
    <mergeCell ref="F230:I231"/>
    <mergeCell ref="V155:Y155"/>
    <mergeCell ref="V227:Y227"/>
    <mergeCell ref="J174:M175"/>
    <mergeCell ref="R227:S227"/>
    <mergeCell ref="A167:A168"/>
    <mergeCell ref="A176:A177"/>
    <mergeCell ref="A174:A175"/>
    <mergeCell ref="A171:A172"/>
    <mergeCell ref="A158:A159"/>
    <mergeCell ref="B158:E159"/>
    <mergeCell ref="F158:I159"/>
    <mergeCell ref="J158:M159"/>
    <mergeCell ref="N158:N159"/>
    <mergeCell ref="O158:O159"/>
    <mergeCell ref="P158:P159"/>
    <mergeCell ref="A156:A157"/>
    <mergeCell ref="B156:E157"/>
    <mergeCell ref="J236:M236"/>
    <mergeCell ref="R236:S236"/>
    <mergeCell ref="F228:I229"/>
    <mergeCell ref="B303:D303"/>
    <mergeCell ref="J305:P306"/>
    <mergeCell ref="Q305:R306"/>
    <mergeCell ref="S305:U306"/>
    <mergeCell ref="H306:I306"/>
    <mergeCell ref="E315:G316"/>
    <mergeCell ref="H315:I315"/>
    <mergeCell ref="J315:P316"/>
    <mergeCell ref="Q315:R316"/>
    <mergeCell ref="S315:U316"/>
    <mergeCell ref="H316:I316"/>
    <mergeCell ref="H502:I502"/>
    <mergeCell ref="B501:D501"/>
    <mergeCell ref="A504:W504"/>
    <mergeCell ref="A505:Y505"/>
    <mergeCell ref="P237:P238"/>
    <mergeCell ref="Q237:Q238"/>
    <mergeCell ref="R237:S238"/>
    <mergeCell ref="A239:A240"/>
    <mergeCell ref="B239:E240"/>
    <mergeCell ref="B291:J292"/>
    <mergeCell ref="K291:M292"/>
    <mergeCell ref="N291:R292"/>
    <mergeCell ref="S291:U292"/>
    <mergeCell ref="A237:A238"/>
    <mergeCell ref="B237:E238"/>
    <mergeCell ref="F237:I238"/>
    <mergeCell ref="J237:M238"/>
    <mergeCell ref="N237:N238"/>
    <mergeCell ref="O237:O238"/>
    <mergeCell ref="O241:O242"/>
    <mergeCell ref="P241:P242"/>
    <mergeCell ref="P529:Q529"/>
    <mergeCell ref="R529:T529"/>
    <mergeCell ref="N530:O530"/>
    <mergeCell ref="P530:Q530"/>
    <mergeCell ref="R530:T530"/>
    <mergeCell ref="V236:Y236"/>
    <mergeCell ref="Q230:Q231"/>
    <mergeCell ref="R230:S231"/>
    <mergeCell ref="P232:P233"/>
    <mergeCell ref="Q232:Q233"/>
    <mergeCell ref="P228:P229"/>
    <mergeCell ref="R228:S229"/>
    <mergeCell ref="V506:W506"/>
    <mergeCell ref="R241:S242"/>
    <mergeCell ref="X299:Y299"/>
    <mergeCell ref="X506:Y506"/>
    <mergeCell ref="X521:Y521"/>
    <mergeCell ref="X522:Y522"/>
    <mergeCell ref="X517:Y517"/>
    <mergeCell ref="X530:Y530"/>
    <mergeCell ref="X529:Y529"/>
    <mergeCell ref="X528:Y528"/>
    <mergeCell ref="X527:Y527"/>
    <mergeCell ref="A503:W503"/>
    <mergeCell ref="A501:A502"/>
    <mergeCell ref="E501:G502"/>
    <mergeCell ref="H501:I501"/>
    <mergeCell ref="U530:W530"/>
    <mergeCell ref="N521:O521"/>
    <mergeCell ref="P521:Q521"/>
    <mergeCell ref="R521:T521"/>
    <mergeCell ref="F236:I236"/>
    <mergeCell ref="L546:M546"/>
    <mergeCell ref="N546:P546"/>
    <mergeCell ref="Q546:T546"/>
    <mergeCell ref="U546:W546"/>
    <mergeCell ref="P534:Q534"/>
    <mergeCell ref="R534:T534"/>
    <mergeCell ref="B538:F538"/>
    <mergeCell ref="G538:M538"/>
    <mergeCell ref="U538:W538"/>
    <mergeCell ref="B539:F539"/>
    <mergeCell ref="G539:M539"/>
    <mergeCell ref="U539:W539"/>
    <mergeCell ref="N522:O522"/>
    <mergeCell ref="P522:Q522"/>
    <mergeCell ref="R522:T522"/>
    <mergeCell ref="N523:O523"/>
    <mergeCell ref="P523:Q523"/>
    <mergeCell ref="R523:T523"/>
    <mergeCell ref="N524:O524"/>
    <mergeCell ref="P524:Q524"/>
    <mergeCell ref="R524:T524"/>
    <mergeCell ref="N525:O525"/>
    <mergeCell ref="P525:Q525"/>
    <mergeCell ref="R525:T525"/>
    <mergeCell ref="B530:F530"/>
    <mergeCell ref="G530:M530"/>
    <mergeCell ref="N526:O526"/>
    <mergeCell ref="P526:Q526"/>
    <mergeCell ref="R526:T526"/>
    <mergeCell ref="N527:O527"/>
    <mergeCell ref="P527:Q527"/>
    <mergeCell ref="N529:O529"/>
    <mergeCell ref="B531:F531"/>
    <mergeCell ref="B547:G547"/>
    <mergeCell ref="H547:I547"/>
    <mergeCell ref="J547:K547"/>
    <mergeCell ref="L547:M547"/>
    <mergeCell ref="N547:P547"/>
    <mergeCell ref="Q547:T547"/>
    <mergeCell ref="U547:W547"/>
    <mergeCell ref="N532:O532"/>
    <mergeCell ref="P532:Q532"/>
    <mergeCell ref="R532:T532"/>
    <mergeCell ref="N535:O535"/>
    <mergeCell ref="P535:Q535"/>
    <mergeCell ref="R535:T535"/>
    <mergeCell ref="N536:O536"/>
    <mergeCell ref="P536:Q536"/>
    <mergeCell ref="R536:T536"/>
    <mergeCell ref="N537:O537"/>
    <mergeCell ref="P537:Q537"/>
    <mergeCell ref="R537:T537"/>
    <mergeCell ref="N538:O538"/>
    <mergeCell ref="P538:Q538"/>
    <mergeCell ref="R538:T538"/>
    <mergeCell ref="N539:O539"/>
    <mergeCell ref="P539:Q539"/>
    <mergeCell ref="R539:T539"/>
    <mergeCell ref="N531:O531"/>
    <mergeCell ref="P531:Q531"/>
    <mergeCell ref="R531:T531"/>
    <mergeCell ref="B544:G545"/>
    <mergeCell ref="B546:G546"/>
    <mergeCell ref="J546:K546"/>
    <mergeCell ref="N549:P549"/>
    <mergeCell ref="Q549:T549"/>
    <mergeCell ref="U549:W549"/>
    <mergeCell ref="B550:G550"/>
    <mergeCell ref="H550:I550"/>
    <mergeCell ref="J550:K550"/>
    <mergeCell ref="L550:M550"/>
    <mergeCell ref="N550:P550"/>
    <mergeCell ref="Q550:T550"/>
    <mergeCell ref="U550:W550"/>
    <mergeCell ref="B551:G551"/>
    <mergeCell ref="H551:I551"/>
    <mergeCell ref="J551:K551"/>
    <mergeCell ref="L551:M551"/>
    <mergeCell ref="N551:P551"/>
    <mergeCell ref="Q551:T551"/>
    <mergeCell ref="U551:W551"/>
    <mergeCell ref="Q553:T553"/>
    <mergeCell ref="U553:W553"/>
    <mergeCell ref="B554:G554"/>
    <mergeCell ref="H554:I554"/>
    <mergeCell ref="J554:K554"/>
    <mergeCell ref="L554:M554"/>
    <mergeCell ref="N554:P554"/>
    <mergeCell ref="Q554:T554"/>
    <mergeCell ref="U554:W554"/>
    <mergeCell ref="B555:G555"/>
    <mergeCell ref="H555:I555"/>
    <mergeCell ref="J555:K555"/>
    <mergeCell ref="L555:M555"/>
    <mergeCell ref="N555:P555"/>
    <mergeCell ref="Q555:T555"/>
    <mergeCell ref="U555:W555"/>
    <mergeCell ref="B556:G556"/>
    <mergeCell ref="H556:I556"/>
    <mergeCell ref="J556:K556"/>
    <mergeCell ref="L556:M556"/>
    <mergeCell ref="N556:P556"/>
    <mergeCell ref="Q556:T556"/>
    <mergeCell ref="U556:W556"/>
    <mergeCell ref="L560:M560"/>
    <mergeCell ref="N560:P560"/>
    <mergeCell ref="Q560:T560"/>
    <mergeCell ref="U560:W560"/>
    <mergeCell ref="B561:G561"/>
    <mergeCell ref="H561:I561"/>
    <mergeCell ref="J561:K561"/>
    <mergeCell ref="L561:M561"/>
    <mergeCell ref="N561:P561"/>
    <mergeCell ref="Q561:T561"/>
    <mergeCell ref="U561:W561"/>
    <mergeCell ref="B562:G562"/>
    <mergeCell ref="H562:I562"/>
    <mergeCell ref="J562:K562"/>
    <mergeCell ref="L562:M562"/>
    <mergeCell ref="N562:P562"/>
    <mergeCell ref="Q562:T562"/>
    <mergeCell ref="U562:W562"/>
    <mergeCell ref="J565:K565"/>
    <mergeCell ref="L565:M565"/>
    <mergeCell ref="N565:P565"/>
    <mergeCell ref="Q565:T565"/>
    <mergeCell ref="U565:W565"/>
    <mergeCell ref="A566:W566"/>
    <mergeCell ref="A567:W567"/>
    <mergeCell ref="X567:Y567"/>
    <mergeCell ref="A568:Y568"/>
    <mergeCell ref="A569:A570"/>
    <mergeCell ref="B569:H570"/>
    <mergeCell ref="K569:M570"/>
    <mergeCell ref="N569:O570"/>
    <mergeCell ref="P569:S570"/>
    <mergeCell ref="T569:W570"/>
    <mergeCell ref="X569:Y570"/>
    <mergeCell ref="X565:Y565"/>
    <mergeCell ref="X564:Y564"/>
    <mergeCell ref="X588:Y589"/>
    <mergeCell ref="O589:P589"/>
    <mergeCell ref="T590:W590"/>
    <mergeCell ref="T591:W591"/>
    <mergeCell ref="T592:W592"/>
    <mergeCell ref="T593:W593"/>
    <mergeCell ref="T594:W594"/>
    <mergeCell ref="T595:W595"/>
    <mergeCell ref="T596:W596"/>
    <mergeCell ref="T597:W597"/>
    <mergeCell ref="T598:W598"/>
    <mergeCell ref="T599:W599"/>
    <mergeCell ref="T600:W600"/>
    <mergeCell ref="T601:W601"/>
    <mergeCell ref="T602:W602"/>
    <mergeCell ref="T603:W603"/>
    <mergeCell ref="X575:Y575"/>
    <mergeCell ref="X579:Y579"/>
    <mergeCell ref="X583:Y583"/>
    <mergeCell ref="X586:Y586"/>
    <mergeCell ref="A586:W586"/>
    <mergeCell ref="A587:Y587"/>
    <mergeCell ref="A588:A589"/>
    <mergeCell ref="B588:H589"/>
    <mergeCell ref="I588:J589"/>
    <mergeCell ref="K588:N589"/>
    <mergeCell ref="O588:S588"/>
    <mergeCell ref="T588:W589"/>
    <mergeCell ref="X585:Y585"/>
    <mergeCell ref="B585:H585"/>
    <mergeCell ref="K585:M585"/>
    <mergeCell ref="A672:W672"/>
    <mergeCell ref="X625:Y625"/>
    <mergeCell ref="B617:H617"/>
    <mergeCell ref="I617:K617"/>
    <mergeCell ref="L617:Q617"/>
    <mergeCell ref="X617:Y617"/>
    <mergeCell ref="X623:Y623"/>
    <mergeCell ref="B618:H618"/>
    <mergeCell ref="I618:K618"/>
    <mergeCell ref="L618:Q618"/>
    <mergeCell ref="R618:W618"/>
    <mergeCell ref="X618:Y618"/>
    <mergeCell ref="B619:H619"/>
    <mergeCell ref="I619:K619"/>
    <mergeCell ref="L619:Q619"/>
    <mergeCell ref="X619:Y619"/>
    <mergeCell ref="L625:O625"/>
    <mergeCell ref="B625:K625"/>
    <mergeCell ref="A623:W623"/>
    <mergeCell ref="A624:Y624"/>
    <mergeCell ref="X620:Y620"/>
    <mergeCell ref="B621:H621"/>
    <mergeCell ref="I621:K621"/>
    <mergeCell ref="L621:Q621"/>
    <mergeCell ref="X621:Y621"/>
    <mergeCell ref="B622:H622"/>
    <mergeCell ref="I622:K622"/>
    <mergeCell ref="L622:Q622"/>
    <mergeCell ref="X622:Y622"/>
    <mergeCell ref="I670:J670"/>
    <mergeCell ref="X672:Y672"/>
    <mergeCell ref="L631:O631"/>
    <mergeCell ref="A673:W673"/>
    <mergeCell ref="R661:W661"/>
    <mergeCell ref="R662:W662"/>
    <mergeCell ref="I661:J661"/>
    <mergeCell ref="K661:O661"/>
    <mergeCell ref="K662:O662"/>
    <mergeCell ref="I662:J662"/>
    <mergeCell ref="I663:J663"/>
    <mergeCell ref="K663:O663"/>
    <mergeCell ref="R663:W663"/>
    <mergeCell ref="I664:J664"/>
    <mergeCell ref="K664:O664"/>
    <mergeCell ref="R664:W664"/>
    <mergeCell ref="I665:J665"/>
    <mergeCell ref="K665:O665"/>
    <mergeCell ref="R665:W665"/>
    <mergeCell ref="I666:J666"/>
    <mergeCell ref="K666:O666"/>
    <mergeCell ref="R666:W666"/>
    <mergeCell ref="B662:H662"/>
    <mergeCell ref="P662:Q662"/>
    <mergeCell ref="B666:H666"/>
    <mergeCell ref="P666:Q666"/>
    <mergeCell ref="K670:O670"/>
    <mergeCell ref="R670:W670"/>
    <mergeCell ref="B671:H671"/>
    <mergeCell ref="P671:Q671"/>
    <mergeCell ref="R667:W667"/>
    <mergeCell ref="I668:J668"/>
    <mergeCell ref="K668:O668"/>
    <mergeCell ref="R668:W668"/>
    <mergeCell ref="I669:J669"/>
  </mergeCells>
  <conditionalFormatting sqref="K18:L18">
    <cfRule type="cellIs" dxfId="5" priority="6" operator="lessThan">
      <formula>10</formula>
    </cfRule>
  </conditionalFormatting>
  <conditionalFormatting sqref="X12:Y12">
    <cfRule type="cellIs" dxfId="4" priority="3" operator="lessThan">
      <formula>20</formula>
    </cfRule>
  </conditionalFormatting>
  <conditionalFormatting sqref="T246">
    <cfRule type="cellIs" dxfId="3" priority="1" operator="lessThan">
      <formula>80</formula>
    </cfRule>
  </conditionalFormatting>
  <pageMargins left="0" right="0.5" top="0.196850393700787" bottom="0.39370078740157499" header="0" footer="0"/>
  <pageSetup paperSize="9" orientation="landscape" cellComments="atEnd" horizontalDpi="300" r:id="rId1"/>
  <rowBreaks count="25" manualBreakCount="25">
    <brk id="18" max="16383" man="1"/>
    <brk id="28" max="16383" man="1"/>
    <brk id="37" max="16383" man="1"/>
    <brk id="46" max="16383" man="1"/>
    <brk id="55" max="16383" man="1"/>
    <brk id="64" max="16383" man="1"/>
    <brk id="73" max="16383" man="1"/>
    <brk id="82" max="16383" man="1"/>
    <brk id="91" max="16383" man="1"/>
    <brk id="100" max="16383" man="1"/>
    <brk id="109" max="16383" man="1"/>
    <brk id="118" max="16383" man="1"/>
    <brk id="127" max="16383" man="1"/>
    <brk id="136" max="16383" man="1"/>
    <brk id="145" max="16383" man="1"/>
    <brk id="154" max="16383" man="1"/>
    <brk id="163" max="16383" man="1"/>
    <brk id="172" max="16383" man="1"/>
    <brk id="181" max="16383" man="1"/>
    <brk id="190" max="16383" man="1"/>
    <brk id="199" max="16383" man="1"/>
    <brk id="208" max="16383" man="1"/>
    <brk id="217" max="16383" man="1"/>
    <brk id="226" max="16383" man="1"/>
    <brk id="235"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F3F1C399-0F62-4ADA-A16E-925C54059E36}">
            <xm:f>NOT(ISERROR(SEARCH('Data Base'!$K$21,A18)))</xm:f>
            <xm:f>'Data Base'!$K$21</xm:f>
            <x14:dxf>
              <font>
                <color rgb="FF9C0006"/>
              </font>
              <fill>
                <patternFill>
                  <bgColor rgb="FFFFC7CE"/>
                </patternFill>
              </fill>
            </x14:dxf>
          </x14:cfRule>
          <xm:sqref>A18:J18</xm:sqref>
        </x14:conditionalFormatting>
        <x14:conditionalFormatting xmlns:xm="http://schemas.microsoft.com/office/excel/2006/main">
          <x14:cfRule type="containsText" priority="4" operator="containsText" id="{24A2A6A5-B1CB-4BD8-8196-0A06A63DF8F8}">
            <xm:f>NOT(ISERROR(SEARCH('Data Base'!$K$21,N12)))</xm:f>
            <xm:f>'Data Base'!$K$21</xm:f>
            <x14:dxf>
              <font>
                <color rgb="FF9C0006"/>
              </font>
              <fill>
                <patternFill>
                  <bgColor rgb="FFFFC7CE"/>
                </patternFill>
              </fill>
            </x14:dxf>
          </x14:cfRule>
          <xm:sqref>N12:W12</xm:sqref>
        </x14:conditionalFormatting>
        <x14:conditionalFormatting xmlns:xm="http://schemas.microsoft.com/office/excel/2006/main">
          <x14:cfRule type="containsText" priority="2" operator="containsText" text="متقاضی حداقل امتیاز لازم از این بند را کسب نکرده است!" id="{182C33C3-BF55-488F-A354-96FBCBE0D120}">
            <xm:f>NOT(ISERROR(SEARCH("متقاضی حداقل امتیاز لازم از این بند را کسب نکرده است!",'بند3-1مقاله علمي پژوهشيJCRو...'!A246)))</xm:f>
            <x14:dxf>
              <font>
                <condense val="0"/>
                <extend val="0"/>
                <color rgb="FF9C0006"/>
              </font>
              <fill>
                <patternFill>
                  <bgColor rgb="FFFFC7CE"/>
                </patternFill>
              </fill>
            </x14:dxf>
          </x14:cfRule>
          <xm:sqref>H246:I246 A246 D246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BL116"/>
  <sheetViews>
    <sheetView showGridLines="0" rightToLeft="1" topLeftCell="A22" zoomScale="115" zoomScaleNormal="115" workbookViewId="0">
      <selection activeCell="A22" sqref="A1:XFD1048576"/>
    </sheetView>
  </sheetViews>
  <sheetFormatPr defaultColWidth="0.28515625" defaultRowHeight="3" customHeight="1"/>
  <cols>
    <col min="1" max="16384" width="0.28515625" style="324"/>
  </cols>
  <sheetData>
    <row r="1" spans="2:64" ht="3" customHeight="1">
      <c r="C1" s="5">
        <v>1</v>
      </c>
      <c r="D1" s="6">
        <v>1</v>
      </c>
      <c r="E1" s="5">
        <v>0</v>
      </c>
      <c r="M1" s="2458" t="s">
        <v>46</v>
      </c>
      <c r="N1" s="2458"/>
      <c r="P1" s="2458" t="s">
        <v>46</v>
      </c>
      <c r="Q1" s="2458"/>
    </row>
    <row r="2" spans="2:64" ht="3" customHeight="1">
      <c r="C2" s="5">
        <v>2</v>
      </c>
      <c r="D2" s="6">
        <v>0.9</v>
      </c>
      <c r="E2" s="6">
        <v>0.6</v>
      </c>
      <c r="G2" s="325" t="s">
        <v>42</v>
      </c>
      <c r="I2" s="325" t="s">
        <v>45</v>
      </c>
      <c r="K2" s="325" t="s">
        <v>43</v>
      </c>
      <c r="M2" s="325" t="s">
        <v>47</v>
      </c>
      <c r="N2" s="325" t="s">
        <v>48</v>
      </c>
      <c r="P2" s="325" t="s">
        <v>47</v>
      </c>
      <c r="Q2" s="325" t="s">
        <v>48</v>
      </c>
    </row>
    <row r="3" spans="2:64" ht="3" customHeight="1">
      <c r="C3" s="5">
        <v>3</v>
      </c>
      <c r="D3" s="6">
        <v>0.8</v>
      </c>
      <c r="E3" s="6">
        <v>0.5</v>
      </c>
      <c r="G3" s="7">
        <v>0</v>
      </c>
      <c r="I3" s="326">
        <v>1</v>
      </c>
      <c r="K3" s="327" t="s">
        <v>5</v>
      </c>
      <c r="M3" s="9">
        <v>0</v>
      </c>
      <c r="N3" s="9">
        <v>1</v>
      </c>
      <c r="P3" s="9">
        <v>0</v>
      </c>
      <c r="Q3" s="9">
        <v>1</v>
      </c>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row>
    <row r="4" spans="2:64" ht="3" customHeight="1">
      <c r="C4" s="5">
        <v>4</v>
      </c>
      <c r="D4" s="6">
        <v>0.7</v>
      </c>
      <c r="E4" s="6">
        <v>0.4</v>
      </c>
      <c r="G4" s="8">
        <v>0.9</v>
      </c>
      <c r="I4" s="326">
        <v>2</v>
      </c>
      <c r="K4" s="327" t="s">
        <v>8</v>
      </c>
      <c r="M4" s="9">
        <v>5</v>
      </c>
      <c r="N4" s="9">
        <v>0.95</v>
      </c>
      <c r="P4" s="9">
        <v>5</v>
      </c>
      <c r="Q4" s="9">
        <v>0.95</v>
      </c>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row>
    <row r="5" spans="2:64" ht="3" customHeight="1">
      <c r="C5" s="5">
        <v>5</v>
      </c>
      <c r="D5" s="6">
        <v>0.6</v>
      </c>
      <c r="E5" s="6">
        <v>0.35</v>
      </c>
      <c r="G5" s="8">
        <v>0.92500000000000004</v>
      </c>
      <c r="I5" s="326">
        <v>3</v>
      </c>
      <c r="K5" s="328" t="s">
        <v>70</v>
      </c>
      <c r="M5" s="9">
        <v>10</v>
      </c>
      <c r="N5" s="9">
        <v>0.9</v>
      </c>
      <c r="P5" s="9">
        <v>10</v>
      </c>
      <c r="Q5" s="9">
        <v>0.9</v>
      </c>
    </row>
    <row r="6" spans="2:64" ht="3" customHeight="1">
      <c r="C6" s="5">
        <v>6</v>
      </c>
      <c r="D6" s="6">
        <v>0.5</v>
      </c>
      <c r="E6" s="6">
        <v>0.3</v>
      </c>
      <c r="G6" s="8">
        <v>0.95</v>
      </c>
      <c r="I6" s="326">
        <v>4</v>
      </c>
      <c r="K6" s="328" t="s">
        <v>20</v>
      </c>
      <c r="M6" s="9">
        <v>15</v>
      </c>
      <c r="N6" s="9">
        <v>0.85</v>
      </c>
      <c r="P6" s="9">
        <v>15</v>
      </c>
      <c r="Q6" s="492">
        <v>0.85</v>
      </c>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row>
    <row r="7" spans="2:64" ht="3" customHeight="1">
      <c r="C7" s="5">
        <v>7</v>
      </c>
      <c r="D7" s="6">
        <v>0.5</v>
      </c>
      <c r="E7" s="6">
        <v>0.28000000000000003</v>
      </c>
      <c r="G7" s="8">
        <v>0.97499999999999998</v>
      </c>
      <c r="I7" s="326">
        <v>5</v>
      </c>
      <c r="K7" s="326" t="s">
        <v>49</v>
      </c>
      <c r="M7" s="9">
        <v>20</v>
      </c>
      <c r="N7" s="9">
        <v>0.8</v>
      </c>
      <c r="P7" s="9">
        <v>20</v>
      </c>
      <c r="Q7" s="9">
        <v>0.8</v>
      </c>
    </row>
    <row r="8" spans="2:64" ht="3" customHeight="1" thickBot="1">
      <c r="C8" s="5">
        <v>8</v>
      </c>
      <c r="D8" s="6">
        <v>0.5</v>
      </c>
      <c r="E8" s="6">
        <v>0.25</v>
      </c>
      <c r="G8" s="8">
        <v>1</v>
      </c>
      <c r="I8" s="326" t="s">
        <v>44</v>
      </c>
      <c r="K8" s="326" t="s">
        <v>50</v>
      </c>
      <c r="M8" s="9">
        <v>25</v>
      </c>
      <c r="N8" s="9">
        <v>0.75</v>
      </c>
      <c r="P8" s="9">
        <v>25</v>
      </c>
      <c r="Q8" s="9">
        <v>0.75</v>
      </c>
    </row>
    <row r="9" spans="2:64" ht="3" customHeight="1" thickBot="1">
      <c r="C9" s="5">
        <v>9</v>
      </c>
      <c r="D9" s="6">
        <v>0.5</v>
      </c>
      <c r="E9" s="6">
        <v>0.22</v>
      </c>
      <c r="K9" s="326" t="s">
        <v>69</v>
      </c>
      <c r="M9" s="9">
        <v>30</v>
      </c>
      <c r="N9" s="9">
        <v>0.7</v>
      </c>
      <c r="P9" s="9">
        <v>30</v>
      </c>
      <c r="Q9" s="9">
        <v>0.7</v>
      </c>
      <c r="S9" s="925">
        <f>('فرم الف'!O4-1300)*360+('فرم الف'!N4-1)*30+'فرم الف'!M4</f>
        <v>-468030</v>
      </c>
      <c r="T9" s="925">
        <f>IF(EXACT('فرم الف'!E10,O35),(('فرم الف'!O8-1300)*360+('فرم الف'!N8-1)*30+'فرم الف'!M8),(('فرم الف'!I8-1300)*360+('فرم الف'!H8-1)*30+'فرم الف'!G8))</f>
        <v>-468030</v>
      </c>
      <c r="U9" s="925">
        <f>S9-T9</f>
        <v>0</v>
      </c>
      <c r="Y9" s="2444" t="s">
        <v>913</v>
      </c>
      <c r="Z9" s="2445"/>
      <c r="AA9" s="883"/>
      <c r="AB9" s="2446" t="s">
        <v>912</v>
      </c>
      <c r="AC9" s="2445"/>
      <c r="AD9" s="883"/>
      <c r="AE9" s="2442" t="s">
        <v>223</v>
      </c>
      <c r="AF9" s="2443"/>
      <c r="AG9" s="883"/>
      <c r="AH9" s="2442" t="s">
        <v>221</v>
      </c>
      <c r="AI9" s="2443"/>
      <c r="AJ9" s="883"/>
      <c r="AK9" s="2442" t="s">
        <v>225</v>
      </c>
      <c r="AL9" s="2443"/>
      <c r="AM9" s="883"/>
      <c r="AN9" s="2442" t="s">
        <v>222</v>
      </c>
      <c r="AO9" s="2443"/>
    </row>
    <row r="10" spans="2:64" ht="3" customHeight="1" thickBot="1">
      <c r="C10" s="5">
        <v>10</v>
      </c>
      <c r="D10" s="6">
        <v>0.5</v>
      </c>
      <c r="E10" s="6">
        <v>0.2</v>
      </c>
      <c r="G10" s="325" t="s">
        <v>267</v>
      </c>
      <c r="M10" s="9">
        <v>35</v>
      </c>
      <c r="N10" s="9">
        <v>0.65</v>
      </c>
      <c r="P10" s="9">
        <v>35</v>
      </c>
      <c r="Q10" s="9">
        <v>0.65</v>
      </c>
      <c r="S10" s="329">
        <f>U9-U10*360-T10*30</f>
        <v>0</v>
      </c>
      <c r="T10" s="329">
        <f>INT((U9-(U10*360))/30)</f>
        <v>0</v>
      </c>
      <c r="U10" s="329">
        <f>INT(U9/360)</f>
        <v>0</v>
      </c>
      <c r="Y10" s="884" t="s">
        <v>1061</v>
      </c>
      <c r="Z10" s="884" t="s">
        <v>909</v>
      </c>
      <c r="AA10" s="883"/>
      <c r="AB10" s="884" t="s">
        <v>1070</v>
      </c>
      <c r="AC10" s="884" t="s">
        <v>909</v>
      </c>
      <c r="AD10" s="883"/>
      <c r="AE10" s="884" t="s">
        <v>908</v>
      </c>
      <c r="AF10" s="884" t="s">
        <v>909</v>
      </c>
      <c r="AG10" s="883"/>
      <c r="AH10" s="884" t="s">
        <v>1087</v>
      </c>
      <c r="AI10" s="884" t="s">
        <v>909</v>
      </c>
      <c r="AJ10" s="883"/>
      <c r="AK10" s="884" t="s">
        <v>1081</v>
      </c>
      <c r="AL10" s="884" t="s">
        <v>909</v>
      </c>
      <c r="AM10" s="883"/>
      <c r="AN10" s="884" t="s">
        <v>1120</v>
      </c>
      <c r="AO10" s="884" t="s">
        <v>909</v>
      </c>
    </row>
    <row r="11" spans="2:64" ht="3" customHeight="1" thickBot="1">
      <c r="G11" s="326" t="s">
        <v>268</v>
      </c>
      <c r="M11" s="9">
        <v>40</v>
      </c>
      <c r="N11" s="9">
        <v>0.6</v>
      </c>
      <c r="P11" s="9">
        <v>40</v>
      </c>
      <c r="Q11" s="9">
        <v>0.6</v>
      </c>
      <c r="S11" s="31" t="s">
        <v>230</v>
      </c>
      <c r="T11" s="31" t="s">
        <v>231</v>
      </c>
      <c r="U11" s="31" t="s">
        <v>16</v>
      </c>
      <c r="Y11" s="884" t="s">
        <v>1331</v>
      </c>
      <c r="Z11" s="884" t="s">
        <v>905</v>
      </c>
      <c r="AA11" s="883"/>
      <c r="AB11" s="884" t="s">
        <v>1065</v>
      </c>
      <c r="AC11" s="884" t="s">
        <v>1071</v>
      </c>
      <c r="AD11" s="883"/>
      <c r="AE11" s="884" t="s">
        <v>1082</v>
      </c>
      <c r="AF11" s="884" t="s">
        <v>906</v>
      </c>
      <c r="AG11" s="883"/>
      <c r="AH11" s="884" t="s">
        <v>910</v>
      </c>
      <c r="AI11" s="884" t="s">
        <v>905</v>
      </c>
      <c r="AJ11" s="883"/>
      <c r="AK11" s="884" t="s">
        <v>1320</v>
      </c>
      <c r="AL11" s="884" t="s">
        <v>906</v>
      </c>
      <c r="AM11" s="883"/>
      <c r="AN11" s="884" t="s">
        <v>1072</v>
      </c>
      <c r="AO11" s="884" t="s">
        <v>906</v>
      </c>
    </row>
    <row r="12" spans="2:64" ht="3" customHeight="1" thickBot="1">
      <c r="G12" s="326" t="s">
        <v>269</v>
      </c>
      <c r="I12" s="2460" t="s">
        <v>154</v>
      </c>
      <c r="J12" s="2460"/>
      <c r="M12" s="9">
        <v>45</v>
      </c>
      <c r="N12" s="9">
        <v>0.55000000000000004</v>
      </c>
      <c r="P12" s="9">
        <v>45</v>
      </c>
      <c r="Q12" s="9">
        <v>0.55000000000000004</v>
      </c>
      <c r="Y12" s="884" t="s">
        <v>1330</v>
      </c>
      <c r="Z12" s="884" t="s">
        <v>905</v>
      </c>
      <c r="AA12" s="883"/>
      <c r="AB12" s="884" t="s">
        <v>1066</v>
      </c>
      <c r="AC12" s="884" t="s">
        <v>905</v>
      </c>
      <c r="AD12" s="883"/>
      <c r="AE12" s="884" t="s">
        <v>1083</v>
      </c>
      <c r="AF12" s="884" t="s">
        <v>905</v>
      </c>
      <c r="AG12" s="883"/>
      <c r="AH12" s="884" t="s">
        <v>1088</v>
      </c>
      <c r="AI12" s="884" t="s">
        <v>900</v>
      </c>
      <c r="AJ12" s="883"/>
      <c r="AK12" s="884" t="s">
        <v>1078</v>
      </c>
      <c r="AL12" s="884" t="s">
        <v>905</v>
      </c>
      <c r="AM12" s="883"/>
      <c r="AN12" s="884" t="s">
        <v>1077</v>
      </c>
      <c r="AO12" s="884" t="s">
        <v>905</v>
      </c>
    </row>
    <row r="13" spans="2:64" ht="3" customHeight="1" thickBot="1">
      <c r="E13" s="325" t="s">
        <v>257</v>
      </c>
      <c r="I13" s="259" t="s">
        <v>277</v>
      </c>
      <c r="J13" s="33" t="s">
        <v>278</v>
      </c>
      <c r="M13" s="9">
        <v>50</v>
      </c>
      <c r="N13" s="9">
        <v>0.5</v>
      </c>
      <c r="P13" s="9">
        <v>50</v>
      </c>
      <c r="Q13" s="9">
        <v>0.5</v>
      </c>
      <c r="S13" s="925">
        <f>('فرم الف'!O4-1300)*360+('فرم الف'!N4-1)*30+'فرم الف'!M4</f>
        <v>-468030</v>
      </c>
      <c r="T13" s="925">
        <f>IF(EXACT('فرم الف'!E10,O35),(('فرم الف'!O8-1300)*360+('فرم الف'!N8-1)*30+'فرم الف'!M8),(('فرم الف'!M19-1300)*360+('فرم الف'!L19-1)*30+'فرم الف'!J19))</f>
        <v>-468030</v>
      </c>
      <c r="U13" s="925">
        <f>S13-T13</f>
        <v>0</v>
      </c>
      <c r="Y13" s="884" t="s">
        <v>1063</v>
      </c>
      <c r="Z13" s="884" t="s">
        <v>900</v>
      </c>
      <c r="AA13" s="883"/>
      <c r="AB13" s="884" t="s">
        <v>1067</v>
      </c>
      <c r="AC13" s="884" t="s">
        <v>905</v>
      </c>
      <c r="AD13" s="883"/>
      <c r="AE13" s="884" t="s">
        <v>1084</v>
      </c>
      <c r="AF13" s="884" t="s">
        <v>900</v>
      </c>
      <c r="AG13" s="883"/>
      <c r="AH13" s="884" t="s">
        <v>907</v>
      </c>
      <c r="AI13" s="884" t="s">
        <v>900</v>
      </c>
      <c r="AJ13" s="883"/>
      <c r="AK13" s="884" t="s">
        <v>1079</v>
      </c>
      <c r="AL13" s="884" t="s">
        <v>900</v>
      </c>
      <c r="AM13" s="883"/>
      <c r="AN13" s="884" t="s">
        <v>1073</v>
      </c>
      <c r="AO13" s="884" t="s">
        <v>900</v>
      </c>
    </row>
    <row r="14" spans="2:64" ht="3" customHeight="1" thickBot="1">
      <c r="B14" s="325" t="s">
        <v>51</v>
      </c>
      <c r="E14" s="326" t="s">
        <v>258</v>
      </c>
      <c r="M14" s="9">
        <v>55</v>
      </c>
      <c r="N14" s="9">
        <v>0.45</v>
      </c>
      <c r="P14" s="9">
        <v>100</v>
      </c>
      <c r="Q14" s="9">
        <v>0</v>
      </c>
      <c r="S14" s="329">
        <f>U13-U14*360-T14*30</f>
        <v>0</v>
      </c>
      <c r="T14" s="329">
        <f>INT((U13-(U14*360))/30)</f>
        <v>0</v>
      </c>
      <c r="U14" s="329">
        <f>INT(U13/360)</f>
        <v>0</v>
      </c>
      <c r="Y14" s="884" t="s">
        <v>1332</v>
      </c>
      <c r="Z14" s="884" t="s">
        <v>900</v>
      </c>
      <c r="AA14" s="883"/>
      <c r="AB14" s="884" t="s">
        <v>1068</v>
      </c>
      <c r="AC14" s="884" t="s">
        <v>904</v>
      </c>
      <c r="AD14" s="883"/>
      <c r="AE14" s="884" t="s">
        <v>903</v>
      </c>
      <c r="AF14" s="884" t="s">
        <v>900</v>
      </c>
      <c r="AG14" s="883"/>
      <c r="AH14" s="884" t="s">
        <v>1089</v>
      </c>
      <c r="AI14" s="884" t="s">
        <v>900</v>
      </c>
      <c r="AJ14" s="883"/>
      <c r="AK14" s="885" t="s">
        <v>1080</v>
      </c>
      <c r="AL14" s="884" t="s">
        <v>900</v>
      </c>
      <c r="AM14" s="883"/>
      <c r="AN14" s="884" t="s">
        <v>1074</v>
      </c>
      <c r="AO14" s="884" t="s">
        <v>900</v>
      </c>
    </row>
    <row r="15" spans="2:64" ht="3" customHeight="1" thickBot="1">
      <c r="B15" s="9" t="s">
        <v>4</v>
      </c>
      <c r="E15" s="326" t="s">
        <v>259</v>
      </c>
      <c r="I15" s="2460" t="s">
        <v>272</v>
      </c>
      <c r="J15" s="2460"/>
      <c r="M15" s="9">
        <v>60</v>
      </c>
      <c r="N15" s="9">
        <v>0.4</v>
      </c>
      <c r="S15" s="31" t="s">
        <v>230</v>
      </c>
      <c r="T15" s="31" t="s">
        <v>231</v>
      </c>
      <c r="U15" s="31" t="s">
        <v>16</v>
      </c>
      <c r="Y15" s="884" t="s">
        <v>1064</v>
      </c>
      <c r="Z15" s="884" t="s">
        <v>900</v>
      </c>
      <c r="AA15" s="883"/>
      <c r="AB15" s="884" t="s">
        <v>1069</v>
      </c>
      <c r="AC15" s="884" t="s">
        <v>900</v>
      </c>
      <c r="AD15" s="883"/>
      <c r="AE15" s="884" t="s">
        <v>1086</v>
      </c>
      <c r="AF15" s="884" t="s">
        <v>900</v>
      </c>
      <c r="AG15" s="883"/>
      <c r="AH15" s="886"/>
      <c r="AI15" s="886"/>
      <c r="AJ15" s="883"/>
      <c r="AK15" s="885"/>
      <c r="AL15" s="884"/>
      <c r="AM15" s="883"/>
      <c r="AN15" s="884" t="s">
        <v>1075</v>
      </c>
      <c r="AO15" s="884" t="s">
        <v>900</v>
      </c>
    </row>
    <row r="16" spans="2:64" ht="3" customHeight="1" thickBot="1">
      <c r="B16" s="9" t="s">
        <v>7</v>
      </c>
      <c r="I16" s="9" t="s">
        <v>287</v>
      </c>
      <c r="J16" s="9" t="s">
        <v>284</v>
      </c>
      <c r="M16" s="9">
        <v>65</v>
      </c>
      <c r="N16" s="9">
        <v>0.35</v>
      </c>
      <c r="Y16" s="884" t="s">
        <v>1333</v>
      </c>
      <c r="Z16" s="884" t="s">
        <v>900</v>
      </c>
      <c r="AA16" s="883"/>
      <c r="AB16" s="884" t="s">
        <v>1129</v>
      </c>
      <c r="AC16" s="884" t="s">
        <v>900</v>
      </c>
      <c r="AD16" s="883"/>
      <c r="AE16" s="884" t="s">
        <v>1085</v>
      </c>
      <c r="AF16" s="884" t="s">
        <v>900</v>
      </c>
      <c r="AG16" s="883"/>
      <c r="AH16" s="886"/>
      <c r="AI16" s="886"/>
      <c r="AJ16" s="883"/>
      <c r="AK16" s="886"/>
      <c r="AL16" s="886"/>
      <c r="AM16" s="883"/>
      <c r="AN16" s="884" t="s">
        <v>901</v>
      </c>
      <c r="AO16" s="884" t="s">
        <v>900</v>
      </c>
    </row>
    <row r="17" spans="1:64" ht="3" customHeight="1" thickBot="1">
      <c r="B17" s="9" t="s">
        <v>15</v>
      </c>
      <c r="E17" s="325" t="s">
        <v>52</v>
      </c>
      <c r="K17" s="324" t="s">
        <v>422</v>
      </c>
      <c r="M17" s="9">
        <v>70</v>
      </c>
      <c r="N17" s="9">
        <v>0.29999999999999899</v>
      </c>
      <c r="Y17" s="884" t="s">
        <v>1062</v>
      </c>
      <c r="Z17" s="884" t="s">
        <v>900</v>
      </c>
      <c r="AA17" s="883"/>
      <c r="AB17" s="886"/>
      <c r="AC17" s="886"/>
      <c r="AD17" s="883"/>
      <c r="AE17" s="884" t="s">
        <v>902</v>
      </c>
      <c r="AF17" s="884" t="s">
        <v>900</v>
      </c>
      <c r="AG17" s="883"/>
      <c r="AH17" s="883"/>
      <c r="AI17" s="883"/>
      <c r="AJ17" s="883"/>
      <c r="AK17" s="886"/>
      <c r="AL17" s="886"/>
      <c r="AM17" s="883"/>
      <c r="AN17" s="884" t="s">
        <v>1321</v>
      </c>
      <c r="AO17" s="884" t="s">
        <v>900</v>
      </c>
    </row>
    <row r="18" spans="1:64" ht="3" customHeight="1" thickBot="1">
      <c r="B18" s="9" t="s">
        <v>19</v>
      </c>
      <c r="E18" s="326" t="s">
        <v>6</v>
      </c>
      <c r="K18" s="324" t="s">
        <v>421</v>
      </c>
      <c r="M18" s="9">
        <v>100</v>
      </c>
      <c r="N18" s="9">
        <v>0</v>
      </c>
      <c r="Y18" s="886"/>
      <c r="Z18" s="886"/>
      <c r="AA18" s="886"/>
      <c r="AB18" s="886"/>
      <c r="AC18" s="886"/>
      <c r="AD18" s="886"/>
      <c r="AE18" s="886"/>
      <c r="AF18" s="886"/>
      <c r="AG18" s="886"/>
      <c r="AH18" s="886"/>
      <c r="AI18" s="886"/>
      <c r="AJ18" s="886"/>
      <c r="AK18" s="886"/>
      <c r="AL18" s="886"/>
      <c r="AM18" s="886"/>
      <c r="AN18" s="884" t="s">
        <v>1322</v>
      </c>
      <c r="AO18" s="884" t="s">
        <v>900</v>
      </c>
    </row>
    <row r="19" spans="1:64" ht="3" customHeight="1" thickBot="1">
      <c r="B19" s="9" t="s">
        <v>21</v>
      </c>
      <c r="E19" s="326" t="s">
        <v>40</v>
      </c>
      <c r="K19" s="324" t="s">
        <v>423</v>
      </c>
      <c r="M19" s="35"/>
      <c r="N19" s="35"/>
      <c r="Y19" s="886"/>
      <c r="Z19" s="886"/>
      <c r="AA19" s="886"/>
      <c r="AB19" s="886"/>
      <c r="AC19" s="886"/>
      <c r="AD19" s="886"/>
      <c r="AE19" s="886"/>
      <c r="AF19" s="886"/>
      <c r="AG19" s="886"/>
      <c r="AH19" s="886"/>
      <c r="AI19" s="886"/>
      <c r="AJ19" s="886"/>
      <c r="AK19" s="886"/>
      <c r="AL19" s="886"/>
      <c r="AM19" s="886"/>
      <c r="AN19" s="884" t="s">
        <v>1076</v>
      </c>
      <c r="AO19" s="884" t="s">
        <v>900</v>
      </c>
    </row>
    <row r="20" spans="1:64" ht="3" customHeight="1">
      <c r="B20" s="330" t="s">
        <v>22</v>
      </c>
      <c r="K20" s="324" t="s">
        <v>651</v>
      </c>
      <c r="M20" s="35"/>
      <c r="N20" s="35"/>
    </row>
    <row r="21" spans="1:64" ht="3" customHeight="1">
      <c r="B21" s="9" t="s">
        <v>53</v>
      </c>
      <c r="K21" s="324" t="s">
        <v>785</v>
      </c>
      <c r="M21" s="35"/>
      <c r="N21" s="35"/>
    </row>
    <row r="22" spans="1:64" ht="3" customHeight="1">
      <c r="B22" s="9" t="s">
        <v>54</v>
      </c>
      <c r="K22" s="324" t="s">
        <v>836</v>
      </c>
      <c r="M22" s="36"/>
      <c r="N22" s="35"/>
    </row>
    <row r="23" spans="1:64" ht="3" customHeight="1">
      <c r="K23" s="324" t="s">
        <v>855</v>
      </c>
      <c r="M23" s="35"/>
      <c r="N23" s="35"/>
    </row>
    <row r="24" spans="1:64" s="916" customFormat="1" ht="3" customHeight="1">
      <c r="B24" s="2451" t="s">
        <v>106</v>
      </c>
      <c r="C24" s="2451"/>
      <c r="D24" s="2451"/>
      <c r="E24" s="2451"/>
      <c r="F24" s="2451"/>
      <c r="G24" s="2451"/>
      <c r="H24" s="2451"/>
      <c r="I24" s="2451"/>
      <c r="J24" s="2451"/>
      <c r="K24" s="324" t="s">
        <v>988</v>
      </c>
      <c r="L24" s="324"/>
      <c r="M24" s="324"/>
      <c r="N24" s="324"/>
      <c r="O24" s="324"/>
      <c r="P24" s="324"/>
      <c r="Q24" s="324"/>
    </row>
    <row r="25" spans="1:64" s="916" customFormat="1" ht="3" customHeight="1">
      <c r="B25" s="324"/>
      <c r="C25" s="324"/>
      <c r="D25" s="324"/>
      <c r="E25" s="324"/>
      <c r="F25" s="324"/>
      <c r="G25" s="324"/>
      <c r="H25" s="324"/>
      <c r="I25" s="324"/>
      <c r="J25" s="324"/>
      <c r="K25" s="324" t="s">
        <v>989</v>
      </c>
      <c r="L25" s="324"/>
      <c r="M25" s="324"/>
      <c r="N25" s="324"/>
      <c r="O25" s="324"/>
      <c r="P25" s="324"/>
      <c r="Q25" s="324"/>
    </row>
    <row r="26" spans="1:64" ht="3" customHeight="1">
      <c r="B26" s="2452" t="s">
        <v>201</v>
      </c>
      <c r="C26" s="926" t="s">
        <v>146</v>
      </c>
      <c r="D26" s="30" t="s">
        <v>136</v>
      </c>
      <c r="E26" s="30" t="s">
        <v>137</v>
      </c>
      <c r="F26" s="30" t="s">
        <v>138</v>
      </c>
      <c r="G26" s="30" t="s">
        <v>139</v>
      </c>
      <c r="H26" s="30" t="s">
        <v>140</v>
      </c>
      <c r="I26" s="30" t="s">
        <v>141</v>
      </c>
      <c r="J26" s="30" t="s">
        <v>142</v>
      </c>
      <c r="K26" s="916"/>
      <c r="L26" s="916"/>
      <c r="M26" s="916"/>
      <c r="N26" s="916"/>
      <c r="O26" s="916"/>
      <c r="P26" s="916"/>
      <c r="Q26" s="916"/>
    </row>
    <row r="27" spans="1:64" ht="3" customHeight="1">
      <c r="B27" s="2452"/>
      <c r="C27" s="926" t="s">
        <v>203</v>
      </c>
      <c r="D27" s="30" t="s">
        <v>143</v>
      </c>
      <c r="E27" s="30" t="s">
        <v>1032</v>
      </c>
      <c r="F27" s="30" t="s">
        <v>1131</v>
      </c>
      <c r="G27" s="30" t="s">
        <v>144</v>
      </c>
      <c r="H27" s="30" t="s">
        <v>145</v>
      </c>
      <c r="I27" s="30" t="s">
        <v>1132</v>
      </c>
      <c r="J27" s="30" t="s">
        <v>1033</v>
      </c>
      <c r="K27" s="916"/>
      <c r="L27" s="916"/>
      <c r="M27" s="916"/>
      <c r="N27" s="916"/>
      <c r="O27" s="916"/>
      <c r="P27" s="916"/>
      <c r="Q27" s="916"/>
    </row>
    <row r="29" spans="1:64" ht="3" customHeight="1">
      <c r="B29" s="493"/>
      <c r="C29" s="494"/>
      <c r="D29" s="494"/>
      <c r="E29" s="494"/>
      <c r="F29" s="494"/>
      <c r="G29" s="494"/>
      <c r="H29" s="494"/>
      <c r="I29" s="494"/>
      <c r="J29" s="494"/>
      <c r="K29" s="494"/>
      <c r="L29" s="915" t="b">
        <f>IF(AND(('فرم الف'!E10='Data Base'!O34),H28&lt;25,H42&lt;8,H47&lt;65,SUM(H28,H35,H36,H37,H38,H40,H41,H44)&gt;30),'Data Base'!B89,IF(AND(('فرم الف'!E10='Data Base'!O34),H28&lt;25,H42&lt;8,SUM(H28,H35,H36,H37,H38,H40,H41,H44)&gt;30),))</f>
        <v>0</v>
      </c>
      <c r="M29" s="494"/>
      <c r="N29" s="494"/>
      <c r="O29" s="494"/>
      <c r="P29" s="494"/>
      <c r="Q29" s="494"/>
    </row>
    <row r="30" spans="1:64" ht="3" customHeight="1">
      <c r="B30" s="331" t="s">
        <v>202</v>
      </c>
      <c r="C30" s="914" t="s">
        <v>147</v>
      </c>
      <c r="D30" s="914" t="s">
        <v>148</v>
      </c>
      <c r="E30" s="914" t="s">
        <v>149</v>
      </c>
      <c r="F30" s="914" t="s">
        <v>150</v>
      </c>
      <c r="G30" s="914" t="s">
        <v>151</v>
      </c>
      <c r="H30" s="914" t="s">
        <v>152</v>
      </c>
      <c r="I30" s="914" t="s">
        <v>153</v>
      </c>
      <c r="J30" s="914" t="s">
        <v>154</v>
      </c>
      <c r="K30" s="914" t="s">
        <v>155</v>
      </c>
      <c r="L30" s="914" t="s">
        <v>1031</v>
      </c>
      <c r="M30" s="914" t="s">
        <v>156</v>
      </c>
      <c r="N30" s="914" t="s">
        <v>157</v>
      </c>
      <c r="O30" s="914" t="s">
        <v>158</v>
      </c>
      <c r="P30" s="914" t="s">
        <v>159</v>
      </c>
      <c r="Q30" s="914" t="s">
        <v>160</v>
      </c>
      <c r="R30" s="914" t="s">
        <v>161</v>
      </c>
      <c r="S30" s="914" t="s">
        <v>162</v>
      </c>
      <c r="T30" s="914" t="s">
        <v>163</v>
      </c>
      <c r="U30" s="914" t="s">
        <v>164</v>
      </c>
      <c r="V30" s="914" t="s">
        <v>165</v>
      </c>
      <c r="W30" s="914" t="s">
        <v>166</v>
      </c>
      <c r="X30" s="914" t="s">
        <v>167</v>
      </c>
      <c r="Y30" s="914" t="s">
        <v>168</v>
      </c>
      <c r="Z30" s="914" t="s">
        <v>169</v>
      </c>
      <c r="AA30" s="914" t="s">
        <v>170</v>
      </c>
      <c r="AB30" s="914" t="s">
        <v>1057</v>
      </c>
      <c r="AC30" s="914" t="s">
        <v>171</v>
      </c>
      <c r="AD30" s="914" t="s">
        <v>172</v>
      </c>
      <c r="AE30" s="914" t="s">
        <v>173</v>
      </c>
      <c r="AF30" s="914" t="s">
        <v>174</v>
      </c>
      <c r="AG30" s="914" t="s">
        <v>175</v>
      </c>
      <c r="AH30" s="914" t="s">
        <v>176</v>
      </c>
      <c r="AI30" s="914" t="s">
        <v>177</v>
      </c>
      <c r="AJ30" s="914" t="s">
        <v>178</v>
      </c>
      <c r="AK30" s="914" t="s">
        <v>179</v>
      </c>
      <c r="AL30" s="914" t="s">
        <v>180</v>
      </c>
      <c r="AM30" s="914" t="s">
        <v>181</v>
      </c>
      <c r="AN30" s="914" t="s">
        <v>182</v>
      </c>
      <c r="AO30" s="914" t="s">
        <v>183</v>
      </c>
      <c r="AP30" s="914" t="s">
        <v>184</v>
      </c>
      <c r="AQ30" s="914" t="s">
        <v>185</v>
      </c>
      <c r="AR30" s="914" t="s">
        <v>186</v>
      </c>
      <c r="AS30" s="914" t="s">
        <v>187</v>
      </c>
      <c r="AT30" s="914" t="s">
        <v>188</v>
      </c>
      <c r="AU30" s="914" t="s">
        <v>189</v>
      </c>
      <c r="AV30" s="914" t="s">
        <v>190</v>
      </c>
      <c r="AW30" s="914" t="s">
        <v>191</v>
      </c>
      <c r="AX30" s="914" t="s">
        <v>192</v>
      </c>
      <c r="AY30" s="914" t="s">
        <v>193</v>
      </c>
      <c r="AZ30" s="914" t="s">
        <v>194</v>
      </c>
      <c r="BA30" s="914" t="s">
        <v>195</v>
      </c>
      <c r="BB30" s="914" t="s">
        <v>196</v>
      </c>
      <c r="BC30" s="914" t="s">
        <v>197</v>
      </c>
      <c r="BD30" s="914" t="s">
        <v>198</v>
      </c>
      <c r="BE30" s="914" t="s">
        <v>140</v>
      </c>
      <c r="BF30" s="914" t="s">
        <v>136</v>
      </c>
      <c r="BG30" s="914" t="s">
        <v>138</v>
      </c>
      <c r="BH30" s="914" t="s">
        <v>139</v>
      </c>
      <c r="BI30" s="914" t="s">
        <v>142</v>
      </c>
      <c r="BJ30" s="914" t="s">
        <v>199</v>
      </c>
      <c r="BK30" s="914" t="s">
        <v>137</v>
      </c>
      <c r="BL30" s="914" t="s">
        <v>200</v>
      </c>
    </row>
    <row r="31" spans="1:64" ht="3" customHeight="1" thickBot="1">
      <c r="O31" s="331" t="s">
        <v>705</v>
      </c>
      <c r="T31" s="324" t="s">
        <v>635</v>
      </c>
    </row>
    <row r="32" spans="1:64" ht="3" customHeight="1">
      <c r="A32" s="893" t="s">
        <v>1328</v>
      </c>
      <c r="B32" s="912" t="s">
        <v>205</v>
      </c>
      <c r="C32" s="894" t="s">
        <v>206</v>
      </c>
      <c r="D32" s="895" t="s">
        <v>1054</v>
      </c>
      <c r="E32" s="896" t="s">
        <v>207</v>
      </c>
      <c r="F32" s="893" t="s">
        <v>208</v>
      </c>
      <c r="G32" s="897" t="s">
        <v>209</v>
      </c>
      <c r="H32" s="898" t="s">
        <v>210</v>
      </c>
      <c r="I32" s="899" t="s">
        <v>211</v>
      </c>
      <c r="J32" s="893" t="s">
        <v>212</v>
      </c>
      <c r="K32" s="897" t="s">
        <v>213</v>
      </c>
      <c r="L32" s="900" t="s">
        <v>214</v>
      </c>
      <c r="M32" s="897" t="s">
        <v>215</v>
      </c>
      <c r="N32" s="901" t="s">
        <v>1040</v>
      </c>
      <c r="O32" s="260" t="s">
        <v>232</v>
      </c>
    </row>
    <row r="33" spans="1:34" ht="3" customHeight="1" thickBot="1">
      <c r="A33" s="902" t="s">
        <v>216</v>
      </c>
      <c r="B33" s="913" t="s">
        <v>216</v>
      </c>
      <c r="C33" s="903" t="s">
        <v>217</v>
      </c>
      <c r="D33" s="904" t="s">
        <v>1354</v>
      </c>
      <c r="E33" s="905" t="s">
        <v>218</v>
      </c>
      <c r="F33" s="902" t="s">
        <v>1055</v>
      </c>
      <c r="G33" s="918" t="s">
        <v>999</v>
      </c>
      <c r="H33" s="919" t="s">
        <v>1028</v>
      </c>
      <c r="I33" s="920" t="s">
        <v>1118</v>
      </c>
      <c r="J33" s="902" t="s">
        <v>998</v>
      </c>
      <c r="K33" s="918" t="s">
        <v>1059</v>
      </c>
      <c r="L33" s="917" t="s">
        <v>219</v>
      </c>
      <c r="M33" s="918" t="s">
        <v>1052</v>
      </c>
      <c r="N33" s="901" t="s">
        <v>1039</v>
      </c>
      <c r="O33" s="260" t="s">
        <v>233</v>
      </c>
    </row>
    <row r="34" spans="1:34" ht="3" customHeight="1">
      <c r="A34" s="2456" t="s">
        <v>220</v>
      </c>
      <c r="B34" s="2456"/>
      <c r="C34" s="2456"/>
      <c r="D34" s="2457"/>
      <c r="E34" s="906" t="s">
        <v>221</v>
      </c>
      <c r="F34" s="2453" t="s">
        <v>222</v>
      </c>
      <c r="G34" s="2454"/>
      <c r="H34" s="2453" t="s">
        <v>223</v>
      </c>
      <c r="I34" s="2455"/>
      <c r="J34" s="2453" t="s">
        <v>224</v>
      </c>
      <c r="K34" s="2454"/>
      <c r="L34" s="2459" t="s">
        <v>225</v>
      </c>
      <c r="M34" s="2454"/>
      <c r="N34" s="901"/>
      <c r="O34" s="30" t="s">
        <v>228</v>
      </c>
      <c r="P34" s="324" t="s">
        <v>971</v>
      </c>
      <c r="Q34" s="324" t="s">
        <v>706</v>
      </c>
      <c r="T34" s="2448" t="s">
        <v>657</v>
      </c>
      <c r="U34" s="2448"/>
      <c r="V34" s="2448"/>
      <c r="W34" s="2448"/>
      <c r="X34" s="2448"/>
      <c r="Y34" s="2448"/>
      <c r="Z34" s="2448"/>
      <c r="AA34" s="2448"/>
      <c r="AB34" s="2448"/>
      <c r="AC34" s="2448"/>
      <c r="AD34" s="2448"/>
    </row>
    <row r="35" spans="1:34" ht="3" customHeight="1" thickBot="1">
      <c r="A35" s="902" t="s">
        <v>1329</v>
      </c>
      <c r="B35" s="911" t="s">
        <v>1122</v>
      </c>
      <c r="C35" s="908" t="s">
        <v>1058</v>
      </c>
      <c r="D35" s="904" t="s">
        <v>1355</v>
      </c>
      <c r="E35" s="909" t="s">
        <v>1326</v>
      </c>
      <c r="F35" s="907" t="s">
        <v>1358</v>
      </c>
      <c r="G35" s="904" t="s">
        <v>1056</v>
      </c>
      <c r="H35" s="907" t="s">
        <v>1030</v>
      </c>
      <c r="I35" s="910" t="s">
        <v>1119</v>
      </c>
      <c r="J35" s="907" t="s">
        <v>1327</v>
      </c>
      <c r="K35" s="904" t="s">
        <v>1060</v>
      </c>
      <c r="L35" s="911" t="s">
        <v>226</v>
      </c>
      <c r="M35" s="904" t="s">
        <v>1053</v>
      </c>
      <c r="N35" s="901"/>
      <c r="O35" s="30" t="s">
        <v>229</v>
      </c>
      <c r="P35" s="324" t="s">
        <v>706</v>
      </c>
      <c r="Q35" s="324" t="s">
        <v>707</v>
      </c>
      <c r="T35" s="92" t="s">
        <v>504</v>
      </c>
      <c r="V35" s="92" t="s">
        <v>644</v>
      </c>
      <c r="X35" s="324" t="s">
        <v>662</v>
      </c>
    </row>
    <row r="36" spans="1:34" ht="3" customHeight="1">
      <c r="O36" s="30" t="s">
        <v>927</v>
      </c>
      <c r="T36" s="92" t="s">
        <v>112</v>
      </c>
      <c r="V36" s="94" t="s">
        <v>645</v>
      </c>
      <c r="X36" s="324" t="s">
        <v>664</v>
      </c>
    </row>
    <row r="37" spans="1:34" ht="3" customHeight="1">
      <c r="C37" s="71" t="s">
        <v>888</v>
      </c>
      <c r="K37" s="32" t="s">
        <v>227</v>
      </c>
      <c r="T37" s="92" t="s">
        <v>643</v>
      </c>
      <c r="V37" s="94" t="s">
        <v>646</v>
      </c>
      <c r="X37" s="324" t="s">
        <v>663</v>
      </c>
    </row>
    <row r="38" spans="1:34" ht="3" customHeight="1">
      <c r="C38" s="71" t="s">
        <v>876</v>
      </c>
      <c r="K38" s="32" t="s">
        <v>946</v>
      </c>
      <c r="V38" s="103" t="s">
        <v>659</v>
      </c>
    </row>
    <row r="40" spans="1:34" ht="3" customHeight="1" thickBot="1">
      <c r="H40" s="2449" t="s">
        <v>390</v>
      </c>
      <c r="I40" s="2449"/>
      <c r="J40" s="2449"/>
      <c r="L40" s="2448" t="s">
        <v>418</v>
      </c>
      <c r="M40" s="2448"/>
      <c r="N40" s="2448"/>
      <c r="P40" s="332" t="s">
        <v>515</v>
      </c>
      <c r="R40" s="2449" t="s">
        <v>527</v>
      </c>
      <c r="S40" s="2449"/>
      <c r="T40" s="2449"/>
      <c r="V40" s="332" t="s">
        <v>571</v>
      </c>
      <c r="AA40" s="2448" t="s">
        <v>597</v>
      </c>
      <c r="AB40" s="2448"/>
      <c r="AC40" s="2448"/>
      <c r="AE40" s="2448" t="s">
        <v>1167</v>
      </c>
      <c r="AF40" s="2448"/>
      <c r="AG40" s="2448"/>
    </row>
    <row r="41" spans="1:34" ht="3" customHeight="1">
      <c r="B41" s="324" t="s">
        <v>313</v>
      </c>
      <c r="D41" s="324" t="s">
        <v>320</v>
      </c>
      <c r="F41" s="324" t="s">
        <v>335</v>
      </c>
      <c r="H41" s="324" t="s">
        <v>359</v>
      </c>
      <c r="J41" s="324" t="s">
        <v>360</v>
      </c>
      <c r="L41" s="324" t="s">
        <v>406</v>
      </c>
      <c r="N41" s="324" t="s">
        <v>415</v>
      </c>
      <c r="P41" s="324" t="s">
        <v>445</v>
      </c>
      <c r="R41" s="324" t="s">
        <v>528</v>
      </c>
      <c r="V41" s="324" t="s">
        <v>569</v>
      </c>
      <c r="AA41" s="927" t="s">
        <v>1220</v>
      </c>
      <c r="AB41" s="870">
        <v>0.5</v>
      </c>
      <c r="AC41" s="870" t="s">
        <v>595</v>
      </c>
      <c r="AD41" s="928" t="s">
        <v>1311</v>
      </c>
      <c r="AE41" s="929" t="s">
        <v>1223</v>
      </c>
      <c r="AF41" s="862">
        <v>4</v>
      </c>
      <c r="AG41" s="862">
        <v>1</v>
      </c>
      <c r="AH41" s="863" t="s">
        <v>1310</v>
      </c>
    </row>
    <row r="42" spans="1:34" ht="3" customHeight="1">
      <c r="B42" s="324" t="s">
        <v>314</v>
      </c>
      <c r="D42" s="324" t="s">
        <v>321</v>
      </c>
      <c r="F42" s="324" t="s">
        <v>336</v>
      </c>
      <c r="H42" s="324" t="s">
        <v>358</v>
      </c>
      <c r="J42" s="324" t="s">
        <v>361</v>
      </c>
      <c r="L42" s="324" t="s">
        <v>413</v>
      </c>
      <c r="N42" s="324" t="s">
        <v>416</v>
      </c>
      <c r="P42" s="324" t="s">
        <v>516</v>
      </c>
      <c r="R42" s="324" t="s">
        <v>529</v>
      </c>
      <c r="V42" s="324" t="s">
        <v>570</v>
      </c>
      <c r="AA42" s="930" t="s">
        <v>1221</v>
      </c>
      <c r="AB42" s="869">
        <v>1</v>
      </c>
      <c r="AC42" s="869" t="s">
        <v>596</v>
      </c>
      <c r="AD42" s="931" t="s">
        <v>1312</v>
      </c>
      <c r="AE42" s="932" t="s">
        <v>1224</v>
      </c>
      <c r="AF42" s="861">
        <v>8</v>
      </c>
      <c r="AG42" s="861">
        <v>1</v>
      </c>
      <c r="AH42" s="864"/>
    </row>
    <row r="43" spans="1:34" ht="3" customHeight="1" thickBot="1">
      <c r="B43" s="324" t="s">
        <v>315</v>
      </c>
      <c r="F43" s="324" t="s">
        <v>341</v>
      </c>
      <c r="J43" s="324" t="s">
        <v>362</v>
      </c>
      <c r="L43" s="324" t="s">
        <v>414</v>
      </c>
      <c r="N43" s="324" t="s">
        <v>417</v>
      </c>
      <c r="P43" s="324" t="s">
        <v>517</v>
      </c>
      <c r="AA43" s="930" t="s">
        <v>1222</v>
      </c>
      <c r="AB43" s="869">
        <v>1</v>
      </c>
      <c r="AC43" s="869"/>
      <c r="AD43" s="931" t="s">
        <v>1283</v>
      </c>
      <c r="AE43" s="868" t="s">
        <v>1175</v>
      </c>
      <c r="AF43" s="865">
        <v>0</v>
      </c>
      <c r="AG43" s="866"/>
      <c r="AH43" s="867"/>
    </row>
    <row r="44" spans="1:34" ht="3" customHeight="1" thickBot="1">
      <c r="F44" s="324" t="s">
        <v>337</v>
      </c>
      <c r="J44" s="324" t="s">
        <v>363</v>
      </c>
      <c r="P44" s="324" t="s">
        <v>518</v>
      </c>
      <c r="AA44" s="871" t="s">
        <v>1175</v>
      </c>
      <c r="AB44" s="872">
        <v>0</v>
      </c>
      <c r="AC44" s="873"/>
      <c r="AD44" s="874"/>
    </row>
    <row r="45" spans="1:34" ht="3" customHeight="1" thickBot="1">
      <c r="F45" s="324" t="s">
        <v>268</v>
      </c>
      <c r="I45" s="2449" t="s">
        <v>389</v>
      </c>
      <c r="J45" s="2449"/>
      <c r="K45" s="2449"/>
      <c r="Q45" s="2448" t="s">
        <v>562</v>
      </c>
      <c r="R45" s="2448"/>
      <c r="S45" s="2448" t="s">
        <v>1164</v>
      </c>
      <c r="T45" s="2448"/>
      <c r="V45" s="2448" t="s">
        <v>1166</v>
      </c>
      <c r="W45" s="2448"/>
      <c r="Z45" s="2448" t="s">
        <v>590</v>
      </c>
      <c r="AA45" s="2448"/>
      <c r="AB45" s="2448"/>
    </row>
    <row r="46" spans="1:34" ht="3" customHeight="1" thickTop="1" thickBot="1">
      <c r="B46" s="332" t="s">
        <v>446</v>
      </c>
      <c r="D46" s="2449" t="s">
        <v>401</v>
      </c>
      <c r="E46" s="2449"/>
      <c r="F46" s="2449"/>
      <c r="G46" s="324" t="s">
        <v>394</v>
      </c>
      <c r="I46" s="324" t="s">
        <v>376</v>
      </c>
      <c r="K46" s="324" t="s">
        <v>372</v>
      </c>
      <c r="L46" s="324" t="s">
        <v>427</v>
      </c>
      <c r="O46" s="324" t="s">
        <v>429</v>
      </c>
      <c r="Q46" s="933" t="s">
        <v>1168</v>
      </c>
      <c r="R46" s="934">
        <v>2</v>
      </c>
      <c r="S46" s="933" t="s">
        <v>1185</v>
      </c>
      <c r="T46" s="934">
        <v>0.5</v>
      </c>
      <c r="U46" s="934" t="s">
        <v>1287</v>
      </c>
      <c r="V46" s="935" t="s">
        <v>1192</v>
      </c>
      <c r="W46" s="936">
        <v>2</v>
      </c>
      <c r="Y46" s="937" t="s">
        <v>1295</v>
      </c>
      <c r="Z46" s="938" t="s">
        <v>1206</v>
      </c>
      <c r="AA46" s="936">
        <v>1</v>
      </c>
      <c r="AB46" s="934" t="s">
        <v>1305</v>
      </c>
    </row>
    <row r="47" spans="1:34" ht="3" customHeight="1" thickTop="1" thickBot="1">
      <c r="B47" s="916" t="s">
        <v>445</v>
      </c>
      <c r="D47" s="324" t="s">
        <v>400</v>
      </c>
      <c r="G47" s="324" t="s">
        <v>391</v>
      </c>
      <c r="H47" s="916"/>
      <c r="I47" s="324" t="s">
        <v>374</v>
      </c>
      <c r="J47" s="916"/>
      <c r="K47" s="324" t="s">
        <v>373</v>
      </c>
      <c r="L47" s="324" t="s">
        <v>428</v>
      </c>
      <c r="M47" s="916"/>
      <c r="N47" s="916"/>
      <c r="O47" s="324" t="s">
        <v>430</v>
      </c>
      <c r="Q47" s="939" t="s">
        <v>1169</v>
      </c>
      <c r="R47" s="940">
        <v>4</v>
      </c>
      <c r="S47" s="939" t="s">
        <v>1189</v>
      </c>
      <c r="T47" s="940">
        <v>1</v>
      </c>
      <c r="U47" s="940" t="s">
        <v>1288</v>
      </c>
      <c r="V47" s="941" t="s">
        <v>1193</v>
      </c>
      <c r="W47" s="936">
        <v>2</v>
      </c>
      <c r="Y47" s="940" t="s">
        <v>1292</v>
      </c>
      <c r="Z47" s="942" t="s">
        <v>1204</v>
      </c>
      <c r="AA47" s="936">
        <v>0.75</v>
      </c>
      <c r="AB47" s="934" t="s">
        <v>1305</v>
      </c>
    </row>
    <row r="48" spans="1:34" ht="3" customHeight="1" thickTop="1" thickBot="1">
      <c r="B48" s="916" t="s">
        <v>444</v>
      </c>
      <c r="D48" s="324" t="s">
        <v>397</v>
      </c>
      <c r="G48" s="324" t="s">
        <v>392</v>
      </c>
      <c r="H48" s="916"/>
      <c r="I48" s="324" t="s">
        <v>375</v>
      </c>
      <c r="J48" s="916"/>
      <c r="K48" s="324" t="s">
        <v>369</v>
      </c>
      <c r="L48" s="916"/>
      <c r="M48" s="916"/>
      <c r="N48" s="916"/>
      <c r="O48" s="324" t="s">
        <v>374</v>
      </c>
      <c r="P48" s="916"/>
      <c r="Q48" s="939" t="s">
        <v>1277</v>
      </c>
      <c r="R48" s="940">
        <v>2</v>
      </c>
      <c r="S48" s="939" t="s">
        <v>1186</v>
      </c>
      <c r="T48" s="940">
        <v>1</v>
      </c>
      <c r="U48" s="940" t="s">
        <v>1289</v>
      </c>
      <c r="V48" s="941" t="s">
        <v>1194</v>
      </c>
      <c r="W48" s="936">
        <v>1</v>
      </c>
      <c r="Y48" s="940" t="s">
        <v>1293</v>
      </c>
      <c r="Z48" s="942" t="s">
        <v>1205</v>
      </c>
      <c r="AA48" s="936">
        <v>0.5</v>
      </c>
      <c r="AB48" s="934" t="s">
        <v>1305</v>
      </c>
    </row>
    <row r="49" spans="2:28" ht="3" customHeight="1" thickTop="1" thickBot="1">
      <c r="D49" s="324" t="s">
        <v>398</v>
      </c>
      <c r="G49" s="324" t="s">
        <v>393</v>
      </c>
      <c r="K49" s="324" t="s">
        <v>370</v>
      </c>
      <c r="O49" s="324" t="s">
        <v>375</v>
      </c>
      <c r="Q49" s="939" t="s">
        <v>1276</v>
      </c>
      <c r="R49" s="940">
        <v>1</v>
      </c>
      <c r="S49" s="939" t="s">
        <v>1187</v>
      </c>
      <c r="T49" s="940">
        <v>1</v>
      </c>
      <c r="U49" s="940" t="s">
        <v>1287</v>
      </c>
      <c r="V49" s="941" t="s">
        <v>1195</v>
      </c>
      <c r="W49" s="936">
        <v>1</v>
      </c>
      <c r="X49" s="324">
        <v>16</v>
      </c>
      <c r="Y49" s="943" t="s">
        <v>1296</v>
      </c>
      <c r="Z49" s="944" t="s">
        <v>1207</v>
      </c>
      <c r="AA49" s="790">
        <v>0.75</v>
      </c>
      <c r="AB49" s="934" t="s">
        <v>1305</v>
      </c>
    </row>
    <row r="50" spans="2:28" ht="3" customHeight="1" thickTop="1" thickBot="1">
      <c r="D50" s="324" t="s">
        <v>399</v>
      </c>
      <c r="G50" s="324" t="s">
        <v>375</v>
      </c>
      <c r="K50" s="324" t="s">
        <v>371</v>
      </c>
      <c r="Q50" s="939" t="s">
        <v>1170</v>
      </c>
      <c r="R50" s="940">
        <v>3</v>
      </c>
      <c r="S50" s="945" t="s">
        <v>1188</v>
      </c>
      <c r="T50" s="946">
        <v>0.5</v>
      </c>
      <c r="U50" s="946" t="s">
        <v>1286</v>
      </c>
      <c r="V50" s="947" t="s">
        <v>1196</v>
      </c>
      <c r="W50" s="936">
        <v>1</v>
      </c>
      <c r="X50" s="324">
        <v>12</v>
      </c>
      <c r="Y50" s="940" t="s">
        <v>1294</v>
      </c>
      <c r="Z50" s="944" t="s">
        <v>1208</v>
      </c>
      <c r="AA50" s="790">
        <v>0.5</v>
      </c>
      <c r="AB50" s="934" t="s">
        <v>1305</v>
      </c>
    </row>
    <row r="51" spans="2:28" ht="3" customHeight="1" thickTop="1" thickBot="1">
      <c r="Q51" s="939" t="s">
        <v>1171</v>
      </c>
      <c r="R51" s="940">
        <v>0.5</v>
      </c>
      <c r="S51" s="916" t="s">
        <v>1175</v>
      </c>
      <c r="T51" s="916">
        <v>0</v>
      </c>
      <c r="V51" s="948" t="s">
        <v>1197</v>
      </c>
      <c r="W51" s="936">
        <v>1</v>
      </c>
      <c r="X51" s="324">
        <v>4</v>
      </c>
      <c r="Y51" s="940" t="s">
        <v>1297</v>
      </c>
      <c r="Z51" s="944" t="s">
        <v>1209</v>
      </c>
      <c r="AA51" s="936">
        <v>0.25</v>
      </c>
      <c r="AB51" s="934" t="s">
        <v>1305</v>
      </c>
    </row>
    <row r="52" spans="2:28" ht="3" customHeight="1" thickTop="1" thickBot="1">
      <c r="B52" s="2448" t="s">
        <v>434</v>
      </c>
      <c r="C52" s="2448"/>
      <c r="D52" s="2448"/>
      <c r="E52" s="2448"/>
      <c r="F52" s="2448"/>
      <c r="G52" s="2448" t="s">
        <v>467</v>
      </c>
      <c r="H52" s="2448"/>
      <c r="I52" s="2448"/>
      <c r="K52" s="916" t="s">
        <v>829</v>
      </c>
      <c r="L52" s="2448" t="s">
        <v>510</v>
      </c>
      <c r="M52" s="2448"/>
      <c r="O52" s="2448" t="s">
        <v>506</v>
      </c>
      <c r="P52" s="2448"/>
      <c r="Q52" s="939" t="s">
        <v>1172</v>
      </c>
      <c r="R52" s="828">
        <v>1</v>
      </c>
      <c r="V52" s="947" t="s">
        <v>1198</v>
      </c>
      <c r="W52" s="936">
        <v>1</v>
      </c>
      <c r="X52" s="324">
        <v>16</v>
      </c>
      <c r="Y52" s="940" t="s">
        <v>1298</v>
      </c>
      <c r="Z52" s="949" t="s">
        <v>1210</v>
      </c>
      <c r="AA52" s="790">
        <v>1.5</v>
      </c>
      <c r="AB52" s="934" t="s">
        <v>1305</v>
      </c>
    </row>
    <row r="53" spans="2:28" ht="3" customHeight="1" thickTop="1" thickBot="1">
      <c r="B53" s="324" t="s">
        <v>435</v>
      </c>
      <c r="E53" s="324" t="s">
        <v>429</v>
      </c>
      <c r="G53" s="324" t="s">
        <v>459</v>
      </c>
      <c r="I53" s="324" t="s">
        <v>463</v>
      </c>
      <c r="K53" s="324" t="s">
        <v>827</v>
      </c>
      <c r="L53" s="324" t="s">
        <v>482</v>
      </c>
      <c r="O53" s="324" t="s">
        <v>504</v>
      </c>
      <c r="Q53" s="939" t="s">
        <v>1173</v>
      </c>
      <c r="R53" s="940">
        <v>0.25</v>
      </c>
      <c r="V53" s="950" t="s">
        <v>1202</v>
      </c>
      <c r="W53" s="936">
        <v>1</v>
      </c>
      <c r="X53" s="324">
        <v>2</v>
      </c>
      <c r="Y53" s="940" t="s">
        <v>1299</v>
      </c>
      <c r="Z53" s="949" t="s">
        <v>1211</v>
      </c>
      <c r="AA53" s="790">
        <v>1.25</v>
      </c>
      <c r="AB53" s="934" t="s">
        <v>1305</v>
      </c>
    </row>
    <row r="54" spans="2:28" ht="3" customHeight="1" thickTop="1" thickBot="1">
      <c r="B54" s="324" t="s">
        <v>437</v>
      </c>
      <c r="E54" s="324" t="s">
        <v>430</v>
      </c>
      <c r="G54" s="324" t="s">
        <v>460</v>
      </c>
      <c r="I54" s="324" t="s">
        <v>464</v>
      </c>
      <c r="K54" s="324" t="s">
        <v>828</v>
      </c>
      <c r="L54" s="324" t="s">
        <v>374</v>
      </c>
      <c r="O54" s="324" t="s">
        <v>112</v>
      </c>
      <c r="Q54" s="945" t="s">
        <v>1267</v>
      </c>
      <c r="R54" s="946">
        <v>2</v>
      </c>
      <c r="V54" s="950" t="s">
        <v>1203</v>
      </c>
      <c r="W54" s="936">
        <v>0.25</v>
      </c>
      <c r="X54" s="324">
        <v>1</v>
      </c>
      <c r="Y54" s="940" t="s">
        <v>1300</v>
      </c>
      <c r="Z54" s="949" t="s">
        <v>1212</v>
      </c>
      <c r="AA54" s="790">
        <v>1</v>
      </c>
      <c r="AB54" s="934" t="s">
        <v>1305</v>
      </c>
    </row>
    <row r="55" spans="2:28" ht="3" customHeight="1" thickTop="1" thickBot="1">
      <c r="B55" s="324" t="s">
        <v>438</v>
      </c>
      <c r="E55" s="324" t="s">
        <v>374</v>
      </c>
      <c r="G55" s="324" t="s">
        <v>461</v>
      </c>
      <c r="I55" s="324" t="s">
        <v>465</v>
      </c>
      <c r="L55" s="324" t="s">
        <v>375</v>
      </c>
      <c r="O55" s="324" t="s">
        <v>113</v>
      </c>
      <c r="V55" s="941" t="s">
        <v>1199</v>
      </c>
      <c r="W55" s="936">
        <v>0.5</v>
      </c>
      <c r="Y55" s="940" t="s">
        <v>1301</v>
      </c>
      <c r="Z55" s="951" t="s">
        <v>1216</v>
      </c>
      <c r="AA55" s="790">
        <v>2</v>
      </c>
      <c r="AB55" s="934" t="s">
        <v>1305</v>
      </c>
    </row>
    <row r="56" spans="2:28" ht="3" customHeight="1" thickTop="1" thickBot="1">
      <c r="B56" s="324" t="s">
        <v>436</v>
      </c>
      <c r="E56" s="324" t="s">
        <v>375</v>
      </c>
      <c r="G56" s="324" t="s">
        <v>462</v>
      </c>
      <c r="I56" s="324" t="s">
        <v>466</v>
      </c>
      <c r="L56" s="324" t="s">
        <v>509</v>
      </c>
      <c r="O56" s="324" t="s">
        <v>505</v>
      </c>
      <c r="Q56" s="324" t="s">
        <v>928</v>
      </c>
      <c r="V56" s="952" t="s">
        <v>1200</v>
      </c>
      <c r="W56" s="936">
        <v>1</v>
      </c>
      <c r="Y56" s="953" t="s">
        <v>1301</v>
      </c>
      <c r="Z56" s="951" t="s">
        <v>1217</v>
      </c>
      <c r="AA56" s="790">
        <v>1.75</v>
      </c>
      <c r="AB56" s="934" t="s">
        <v>1305</v>
      </c>
    </row>
    <row r="57" spans="2:28" ht="3" customHeight="1" thickTop="1" thickBot="1">
      <c r="Q57" s="324" t="s">
        <v>929</v>
      </c>
      <c r="V57" s="916" t="s">
        <v>1175</v>
      </c>
      <c r="W57" s="790">
        <v>0</v>
      </c>
      <c r="Z57" s="951" t="s">
        <v>1218</v>
      </c>
      <c r="AA57" s="790">
        <v>1.5</v>
      </c>
      <c r="AB57" s="934" t="s">
        <v>1305</v>
      </c>
    </row>
    <row r="58" spans="2:28" ht="3" customHeight="1" thickTop="1" thickBot="1">
      <c r="B58" s="2451" t="s">
        <v>256</v>
      </c>
      <c r="C58" s="2451"/>
      <c r="D58" s="2451"/>
      <c r="E58" s="2451"/>
      <c r="F58" s="2451"/>
      <c r="G58" s="2451"/>
      <c r="H58" s="2451"/>
      <c r="I58" s="2451"/>
      <c r="J58" s="2451"/>
      <c r="K58" s="2451"/>
      <c r="L58" s="2451"/>
      <c r="M58" s="2451"/>
      <c r="N58" s="2451"/>
      <c r="O58" s="2451"/>
      <c r="Q58" s="324" t="s">
        <v>930</v>
      </c>
      <c r="Z58" s="954" t="s">
        <v>1213</v>
      </c>
      <c r="AA58" s="790">
        <v>1.25</v>
      </c>
      <c r="AB58" s="934" t="s">
        <v>1305</v>
      </c>
    </row>
    <row r="59" spans="2:28" ht="3" customHeight="1" thickTop="1" thickBot="1">
      <c r="B59" s="324" t="s">
        <v>1138</v>
      </c>
      <c r="Q59" s="324" t="s">
        <v>931</v>
      </c>
      <c r="Z59" s="954" t="s">
        <v>1214</v>
      </c>
      <c r="AA59" s="790">
        <v>1</v>
      </c>
      <c r="AB59" s="934" t="s">
        <v>1305</v>
      </c>
    </row>
    <row r="60" spans="2:28" ht="3" customHeight="1" thickTop="1" thickBot="1">
      <c r="B60" s="324" t="s">
        <v>1139</v>
      </c>
      <c r="Z60" s="954" t="s">
        <v>1215</v>
      </c>
      <c r="AA60" s="790">
        <v>0.75</v>
      </c>
      <c r="AB60" s="934" t="s">
        <v>1305</v>
      </c>
    </row>
    <row r="61" spans="2:28" ht="3" customHeight="1" thickBot="1">
      <c r="B61" s="324" t="s">
        <v>1148</v>
      </c>
      <c r="Q61" s="324" t="s">
        <v>1278</v>
      </c>
      <c r="R61" s="324">
        <v>400</v>
      </c>
      <c r="Z61" s="955" t="s">
        <v>1307</v>
      </c>
      <c r="AA61" s="790">
        <v>2</v>
      </c>
      <c r="AB61" s="946" t="s">
        <v>1306</v>
      </c>
    </row>
    <row r="62" spans="2:28" ht="3" customHeight="1" thickTop="1" thickBot="1">
      <c r="B62" s="324" t="s">
        <v>1149</v>
      </c>
      <c r="Z62" s="955" t="s">
        <v>1308</v>
      </c>
      <c r="AA62" s="790">
        <v>1.5</v>
      </c>
      <c r="AB62" s="946" t="s">
        <v>1306</v>
      </c>
    </row>
    <row r="63" spans="2:28" ht="3" customHeight="1" thickTop="1" thickBot="1">
      <c r="Z63" s="955" t="s">
        <v>1309</v>
      </c>
      <c r="AA63" s="790">
        <v>1</v>
      </c>
      <c r="AB63" s="946" t="s">
        <v>1306</v>
      </c>
    </row>
    <row r="64" spans="2:28" ht="3" customHeight="1" thickTop="1">
      <c r="B64" s="22" t="s">
        <v>205</v>
      </c>
      <c r="C64" s="23" t="s">
        <v>206</v>
      </c>
      <c r="D64" s="24" t="s">
        <v>1054</v>
      </c>
      <c r="E64" s="25" t="s">
        <v>207</v>
      </c>
      <c r="F64" s="22" t="s">
        <v>208</v>
      </c>
      <c r="G64" s="26" t="s">
        <v>209</v>
      </c>
      <c r="H64" s="27" t="s">
        <v>210</v>
      </c>
      <c r="I64" s="28" t="s">
        <v>211</v>
      </c>
      <c r="J64" s="22" t="s">
        <v>212</v>
      </c>
      <c r="K64" s="26" t="s">
        <v>213</v>
      </c>
      <c r="L64" s="29" t="s">
        <v>214</v>
      </c>
      <c r="M64" s="26" t="s">
        <v>215</v>
      </c>
      <c r="Z64" s="916" t="s">
        <v>1175</v>
      </c>
      <c r="AA64" s="804">
        <v>0</v>
      </c>
    </row>
    <row r="65" spans="2:27" ht="3" customHeight="1" thickBot="1">
      <c r="B65" s="956" t="s">
        <v>1227</v>
      </c>
      <c r="C65" s="956" t="s">
        <v>1231</v>
      </c>
      <c r="D65" s="956" t="s">
        <v>1350</v>
      </c>
      <c r="E65" s="956" t="s">
        <v>1235</v>
      </c>
      <c r="F65" s="956" t="s">
        <v>1237</v>
      </c>
      <c r="G65" s="956" t="s">
        <v>1241</v>
      </c>
      <c r="H65" s="956" t="s">
        <v>1245</v>
      </c>
      <c r="I65" s="956" t="s">
        <v>1119</v>
      </c>
      <c r="J65" s="956" t="s">
        <v>1252</v>
      </c>
      <c r="K65" s="956" t="s">
        <v>1256</v>
      </c>
      <c r="L65" s="956" t="s">
        <v>1260</v>
      </c>
      <c r="M65" s="814" t="s">
        <v>1053</v>
      </c>
      <c r="Q65" s="2448" t="s">
        <v>1165</v>
      </c>
      <c r="R65" s="2448"/>
      <c r="Z65" s="957"/>
      <c r="AA65" s="916"/>
    </row>
    <row r="66" spans="2:27" ht="3" customHeight="1" thickBot="1">
      <c r="B66" s="956" t="s">
        <v>1228</v>
      </c>
      <c r="C66" s="956" t="s">
        <v>1232</v>
      </c>
      <c r="D66" s="956" t="s">
        <v>1353</v>
      </c>
      <c r="E66" s="956" t="s">
        <v>1236</v>
      </c>
      <c r="F66" s="956" t="s">
        <v>1238</v>
      </c>
      <c r="G66" s="956" t="s">
        <v>1242</v>
      </c>
      <c r="H66" s="956" t="s">
        <v>1246</v>
      </c>
      <c r="I66" s="956" t="s">
        <v>1249</v>
      </c>
      <c r="J66" s="956" t="s">
        <v>1253</v>
      </c>
      <c r="K66" s="956" t="s">
        <v>1257</v>
      </c>
      <c r="L66" s="956" t="s">
        <v>1261</v>
      </c>
      <c r="M66" s="814" t="s">
        <v>1262</v>
      </c>
      <c r="Q66" s="326"/>
      <c r="R66" s="326" t="s">
        <v>1178</v>
      </c>
      <c r="S66" s="326" t="s">
        <v>430</v>
      </c>
      <c r="T66" s="326" t="s">
        <v>374</v>
      </c>
      <c r="U66" s="326" t="s">
        <v>375</v>
      </c>
      <c r="Z66" s="957"/>
      <c r="AA66" s="916"/>
    </row>
    <row r="67" spans="2:27" ht="3" customHeight="1" thickTop="1" thickBot="1">
      <c r="B67" s="956" t="s">
        <v>1229</v>
      </c>
      <c r="C67" s="956" t="s">
        <v>1233</v>
      </c>
      <c r="D67" s="956" t="s">
        <v>1351</v>
      </c>
      <c r="E67" s="956" t="s">
        <v>1130</v>
      </c>
      <c r="F67" s="956" t="s">
        <v>1239</v>
      </c>
      <c r="G67" s="956" t="s">
        <v>1243</v>
      </c>
      <c r="H67" s="956" t="s">
        <v>1247</v>
      </c>
      <c r="I67" s="956" t="s">
        <v>1250</v>
      </c>
      <c r="J67" s="956" t="s">
        <v>1254</v>
      </c>
      <c r="K67" s="956" t="s">
        <v>1258</v>
      </c>
      <c r="M67" s="814" t="s">
        <v>1263</v>
      </c>
      <c r="Q67" s="958" t="s">
        <v>1179</v>
      </c>
      <c r="R67" s="326">
        <v>1</v>
      </c>
      <c r="S67" s="326">
        <v>2</v>
      </c>
      <c r="T67" s="326">
        <v>3</v>
      </c>
      <c r="U67" s="326">
        <v>0</v>
      </c>
      <c r="V67" s="959" t="s">
        <v>1279</v>
      </c>
    </row>
    <row r="68" spans="2:27" ht="3" customHeight="1" thickBot="1">
      <c r="B68" s="956" t="s">
        <v>1230</v>
      </c>
      <c r="C68" s="956" t="s">
        <v>1234</v>
      </c>
      <c r="D68" s="956" t="s">
        <v>1352</v>
      </c>
      <c r="F68" s="956" t="s">
        <v>1240</v>
      </c>
      <c r="G68" s="956" t="s">
        <v>1244</v>
      </c>
      <c r="H68" s="956" t="s">
        <v>1248</v>
      </c>
      <c r="I68" s="956" t="s">
        <v>1251</v>
      </c>
      <c r="J68" s="956" t="s">
        <v>1255</v>
      </c>
      <c r="K68" s="956" t="s">
        <v>1259</v>
      </c>
      <c r="M68" s="814" t="s">
        <v>1226</v>
      </c>
      <c r="Q68" s="960" t="s">
        <v>1181</v>
      </c>
      <c r="R68" s="326">
        <v>0</v>
      </c>
      <c r="S68" s="326">
        <v>0.5</v>
      </c>
      <c r="T68" s="326">
        <v>0.75</v>
      </c>
      <c r="U68" s="326">
        <v>1</v>
      </c>
      <c r="V68" s="961" t="s">
        <v>1280</v>
      </c>
    </row>
    <row r="69" spans="2:27" ht="3" customHeight="1" thickBot="1">
      <c r="J69" s="333"/>
      <c r="L69" s="334"/>
      <c r="M69" s="334"/>
      <c r="N69" s="334"/>
      <c r="O69" s="334"/>
      <c r="Q69" s="960" t="s">
        <v>1177</v>
      </c>
      <c r="R69" s="326">
        <v>1</v>
      </c>
      <c r="S69" s="326"/>
      <c r="T69" s="326"/>
      <c r="U69" s="326"/>
      <c r="V69" s="961" t="s">
        <v>1281</v>
      </c>
    </row>
    <row r="70" spans="2:27" ht="3" customHeight="1" thickBot="1">
      <c r="K70" s="334" t="s">
        <v>238</v>
      </c>
      <c r="Q70" s="960" t="s">
        <v>1184</v>
      </c>
      <c r="R70" s="326">
        <v>1</v>
      </c>
      <c r="S70" s="326"/>
      <c r="T70" s="326"/>
      <c r="U70" s="326"/>
      <c r="V70" s="961" t="s">
        <v>1282</v>
      </c>
    </row>
    <row r="71" spans="2:27" ht="3" customHeight="1" thickBot="1">
      <c r="K71" s="962" t="s">
        <v>246</v>
      </c>
      <c r="L71" s="963"/>
      <c r="Q71" s="958" t="s">
        <v>1183</v>
      </c>
      <c r="R71" s="326">
        <v>0.5</v>
      </c>
      <c r="S71" s="326">
        <v>1</v>
      </c>
      <c r="T71" s="326">
        <v>1.5</v>
      </c>
      <c r="U71" s="326">
        <v>0</v>
      </c>
      <c r="V71" s="961" t="s">
        <v>1283</v>
      </c>
    </row>
    <row r="72" spans="2:27" ht="3" customHeight="1" thickBot="1">
      <c r="K72" s="964" t="s">
        <v>984</v>
      </c>
      <c r="L72" s="963"/>
      <c r="Q72" s="960" t="s">
        <v>1182</v>
      </c>
      <c r="R72" s="326">
        <v>1</v>
      </c>
      <c r="S72" s="326">
        <v>2</v>
      </c>
      <c r="T72" s="326">
        <v>3</v>
      </c>
      <c r="U72" s="326">
        <v>0</v>
      </c>
      <c r="V72" s="946" t="s">
        <v>1284</v>
      </c>
    </row>
    <row r="73" spans="2:27" ht="3" customHeight="1" thickTop="1">
      <c r="B73" s="258" t="s">
        <v>915</v>
      </c>
      <c r="C73" s="127" t="s">
        <v>916</v>
      </c>
      <c r="K73" s="964" t="s">
        <v>247</v>
      </c>
      <c r="L73" s="963"/>
      <c r="Q73" s="916" t="s">
        <v>1175</v>
      </c>
      <c r="R73" s="326">
        <v>4</v>
      </c>
      <c r="S73" s="326">
        <v>6</v>
      </c>
      <c r="T73" s="326">
        <v>8</v>
      </c>
    </row>
    <row r="74" spans="2:27" ht="3" customHeight="1">
      <c r="B74" s="258" t="s">
        <v>914</v>
      </c>
      <c r="C74" s="127" t="s">
        <v>885</v>
      </c>
      <c r="K74" s="964" t="s">
        <v>248</v>
      </c>
      <c r="L74" s="963"/>
      <c r="Q74" s="916">
        <v>0</v>
      </c>
    </row>
    <row r="75" spans="2:27" ht="3" customHeight="1">
      <c r="K75" s="964" t="s">
        <v>249</v>
      </c>
      <c r="L75" s="963"/>
    </row>
    <row r="76" spans="2:27" ht="3" customHeight="1">
      <c r="K76" s="964" t="s">
        <v>250</v>
      </c>
      <c r="L76" s="963"/>
    </row>
    <row r="77" spans="2:27" ht="3" customHeight="1">
      <c r="K77" s="964" t="s">
        <v>986</v>
      </c>
      <c r="L77" s="963"/>
    </row>
    <row r="78" spans="2:27" ht="3" customHeight="1">
      <c r="K78" s="964" t="s">
        <v>987</v>
      </c>
      <c r="L78" s="963"/>
    </row>
    <row r="79" spans="2:27" ht="3" customHeight="1">
      <c r="K79" s="964" t="s">
        <v>985</v>
      </c>
      <c r="L79" s="963"/>
      <c r="Q79" s="324" t="s">
        <v>1269</v>
      </c>
    </row>
    <row r="80" spans="2:27" ht="3" customHeight="1">
      <c r="K80" s="964" t="s">
        <v>251</v>
      </c>
      <c r="L80" s="963"/>
      <c r="Q80" s="324" t="s">
        <v>1273</v>
      </c>
    </row>
    <row r="82" spans="2:17" ht="3" customHeight="1">
      <c r="B82" s="2450" t="s">
        <v>296</v>
      </c>
      <c r="C82" s="2450"/>
      <c r="D82" s="2450"/>
      <c r="E82" s="2450"/>
      <c r="F82" s="2450"/>
      <c r="G82" s="2450"/>
      <c r="H82" s="2450"/>
      <c r="I82" s="2450"/>
      <c r="J82" s="333"/>
      <c r="K82" s="2450"/>
      <c r="L82" s="2450"/>
      <c r="M82" s="2450"/>
      <c r="N82" s="2450"/>
      <c r="O82" s="2450"/>
    </row>
    <row r="83" spans="2:17" ht="3" customHeight="1">
      <c r="F83" s="335" t="s">
        <v>295</v>
      </c>
      <c r="K83" s="123" t="s">
        <v>884</v>
      </c>
      <c r="Q83" s="324" t="s">
        <v>1137</v>
      </c>
    </row>
    <row r="84" spans="2:17" ht="3" customHeight="1">
      <c r="B84" s="2449" t="s">
        <v>304</v>
      </c>
      <c r="C84" s="2449"/>
      <c r="F84" s="326" t="s">
        <v>297</v>
      </c>
      <c r="K84" s="123" t="s">
        <v>885</v>
      </c>
      <c r="Q84" s="324" t="s">
        <v>1136</v>
      </c>
    </row>
    <row r="85" spans="2:17" ht="3" customHeight="1">
      <c r="B85" s="2449" t="s">
        <v>305</v>
      </c>
      <c r="C85" s="2449"/>
      <c r="F85" s="326" t="s">
        <v>298</v>
      </c>
      <c r="K85" s="71" t="s">
        <v>874</v>
      </c>
    </row>
    <row r="86" spans="2:17" ht="3" customHeight="1">
      <c r="F86" s="326" t="s">
        <v>299</v>
      </c>
      <c r="K86" s="71" t="s">
        <v>875</v>
      </c>
    </row>
    <row r="87" spans="2:17" ht="3" customHeight="1">
      <c r="K87" s="324" t="s">
        <v>1144</v>
      </c>
    </row>
    <row r="88" spans="2:17" ht="3" customHeight="1">
      <c r="B88" s="2447" t="s">
        <v>872</v>
      </c>
      <c r="C88" s="2447"/>
      <c r="D88" s="2447"/>
      <c r="E88" s="2447"/>
      <c r="F88" s="2447"/>
      <c r="G88" s="2447"/>
      <c r="H88" s="2447"/>
      <c r="I88" s="2447"/>
      <c r="J88" s="2447"/>
      <c r="K88" s="2447"/>
    </row>
    <row r="89" spans="2:17" ht="3" customHeight="1">
      <c r="B89" s="324" t="s">
        <v>867</v>
      </c>
    </row>
    <row r="90" spans="2:17" ht="3" customHeight="1">
      <c r="B90" s="324" t="s">
        <v>860</v>
      </c>
    </row>
    <row r="91" spans="2:17" ht="3" customHeight="1">
      <c r="B91" s="324" t="s">
        <v>861</v>
      </c>
    </row>
    <row r="92" spans="2:17" ht="3" customHeight="1">
      <c r="B92" s="324" t="s">
        <v>868</v>
      </c>
    </row>
    <row r="93" spans="2:17" ht="3" customHeight="1">
      <c r="B93" s="324" t="s">
        <v>869</v>
      </c>
    </row>
    <row r="94" spans="2:17" ht="3" customHeight="1">
      <c r="B94" s="324" t="s">
        <v>863</v>
      </c>
    </row>
    <row r="95" spans="2:17" ht="3" customHeight="1">
      <c r="B95" s="324" t="s">
        <v>870</v>
      </c>
    </row>
    <row r="96" spans="2:17" ht="3" customHeight="1">
      <c r="B96" s="324" t="s">
        <v>865</v>
      </c>
    </row>
    <row r="97" spans="2:2" ht="3" customHeight="1">
      <c r="B97" s="324" t="s">
        <v>871</v>
      </c>
    </row>
    <row r="98" spans="2:2" ht="3" customHeight="1">
      <c r="B98" s="324" t="s">
        <v>864</v>
      </c>
    </row>
    <row r="99" spans="2:2" ht="3" customHeight="1">
      <c r="B99" s="324" t="s">
        <v>866</v>
      </c>
    </row>
    <row r="100" spans="2:2" ht="3" customHeight="1">
      <c r="B100" s="324" t="s">
        <v>856</v>
      </c>
    </row>
    <row r="101" spans="2:2" ht="3" customHeight="1">
      <c r="B101" s="324" t="s">
        <v>857</v>
      </c>
    </row>
    <row r="102" spans="2:2" ht="3" customHeight="1">
      <c r="B102" s="324" t="s">
        <v>862</v>
      </c>
    </row>
    <row r="103" spans="2:2" ht="3" customHeight="1">
      <c r="B103" s="324" t="s">
        <v>858</v>
      </c>
    </row>
    <row r="104" spans="2:2" ht="3" customHeight="1">
      <c r="B104" s="324" t="s">
        <v>859</v>
      </c>
    </row>
    <row r="106" spans="2:2" ht="3" customHeight="1">
      <c r="B106" s="324" t="s">
        <v>1264</v>
      </c>
    </row>
    <row r="109" spans="2:2" ht="3" customHeight="1">
      <c r="B109" s="324" t="s">
        <v>934</v>
      </c>
    </row>
    <row r="110" spans="2:2" ht="3" customHeight="1">
      <c r="B110" s="324" t="s">
        <v>935</v>
      </c>
    </row>
    <row r="111" spans="2:2" ht="3" customHeight="1">
      <c r="B111" s="324" t="s">
        <v>936</v>
      </c>
    </row>
    <row r="115" spans="2:2" ht="3" customHeight="1">
      <c r="B115" s="129" t="s">
        <v>943</v>
      </c>
    </row>
    <row r="116" spans="2:2" ht="3" customHeight="1">
      <c r="B116" s="129" t="s">
        <v>944</v>
      </c>
    </row>
  </sheetData>
  <sheetProtection algorithmName="SHA-512" hashValue="K9QKzE39vTbsWUqbPoHJv9NvkFF6G4rXp63e3v4BvVn2dgc3SEZWBmAb+x5k0KmgACVvWUIjJIOSQsKLGc3KeQ==" saltValue="O3pUwNlnWbQlRKkeK9DGGQ==" spinCount="100000" sheet="1" objects="1" scenarios="1" selectLockedCells="1" selectUnlockedCells="1"/>
  <dataConsolidate/>
  <mergeCells count="40">
    <mergeCell ref="S45:T45"/>
    <mergeCell ref="V45:W45"/>
    <mergeCell ref="AE40:AG40"/>
    <mergeCell ref="T34:AD34"/>
    <mergeCell ref="R40:T40"/>
    <mergeCell ref="Z45:AB45"/>
    <mergeCell ref="AA40:AC40"/>
    <mergeCell ref="M1:N1"/>
    <mergeCell ref="P1:Q1"/>
    <mergeCell ref="L34:M34"/>
    <mergeCell ref="I12:J12"/>
    <mergeCell ref="I15:J15"/>
    <mergeCell ref="H40:J40"/>
    <mergeCell ref="D46:F46"/>
    <mergeCell ref="L40:N40"/>
    <mergeCell ref="B24:J24"/>
    <mergeCell ref="B26:B27"/>
    <mergeCell ref="F34:G34"/>
    <mergeCell ref="H34:I34"/>
    <mergeCell ref="J34:K34"/>
    <mergeCell ref="A34:D34"/>
    <mergeCell ref="B88:K88"/>
    <mergeCell ref="Q45:R45"/>
    <mergeCell ref="B84:C84"/>
    <mergeCell ref="B85:C85"/>
    <mergeCell ref="I45:K45"/>
    <mergeCell ref="O52:P52"/>
    <mergeCell ref="B82:I82"/>
    <mergeCell ref="K82:O82"/>
    <mergeCell ref="B58:O58"/>
    <mergeCell ref="B52:F52"/>
    <mergeCell ref="G52:I52"/>
    <mergeCell ref="L52:M52"/>
    <mergeCell ref="Q65:R65"/>
    <mergeCell ref="AN9:AO9"/>
    <mergeCell ref="AE9:AF9"/>
    <mergeCell ref="AH9:AI9"/>
    <mergeCell ref="Y9:Z9"/>
    <mergeCell ref="AB9:AC9"/>
    <mergeCell ref="AK9:AL9"/>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CB40"/>
  <sheetViews>
    <sheetView showGridLines="0" rightToLeft="1" view="pageBreakPreview" zoomScale="115" zoomScaleNormal="100" zoomScaleSheetLayoutView="115" workbookViewId="0">
      <pane ySplit="5" topLeftCell="A6" activePane="bottomLeft" state="frozen"/>
      <selection pane="bottomLeft" activeCell="N15" sqref="N15"/>
    </sheetView>
  </sheetViews>
  <sheetFormatPr defaultColWidth="9.140625" defaultRowHeight="15"/>
  <cols>
    <col min="1" max="1" width="2.85546875" style="11" customWidth="1"/>
    <col min="2" max="2" width="3.7109375" style="11" customWidth="1"/>
    <col min="3" max="5" width="5.42578125" style="11" customWidth="1"/>
    <col min="6" max="6" width="6.7109375" style="11" customWidth="1"/>
    <col min="7" max="7" width="5.7109375" style="11" customWidth="1"/>
    <col min="8" max="8" width="6.28515625" style="11" customWidth="1"/>
    <col min="9" max="9" width="4.5703125" style="11" customWidth="1"/>
    <col min="10" max="11" width="9.42578125" style="11" customWidth="1"/>
    <col min="12" max="15" width="7.5703125" style="11" customWidth="1"/>
    <col min="16" max="16" width="6.5703125" style="11" customWidth="1"/>
    <col min="17" max="17" width="5.85546875" style="11" customWidth="1"/>
    <col min="18" max="18" width="6.42578125" style="11" customWidth="1"/>
    <col min="19" max="19" width="7" style="11" customWidth="1"/>
    <col min="20" max="21" width="2.85546875" style="840" customWidth="1"/>
    <col min="22"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174" t="s">
        <v>563</v>
      </c>
      <c r="B3" s="1174"/>
      <c r="C3" s="1118"/>
      <c r="D3" s="1118"/>
      <c r="E3" s="1118"/>
      <c r="F3" s="1118"/>
      <c r="G3" s="1118"/>
      <c r="H3" s="1118"/>
      <c r="I3" s="1118"/>
      <c r="J3" s="1118"/>
      <c r="K3" s="1118"/>
      <c r="L3" s="1118"/>
      <c r="M3" s="1118"/>
      <c r="N3" s="1118"/>
      <c r="O3" s="1118"/>
      <c r="P3" s="1118"/>
      <c r="Q3" s="1118"/>
      <c r="R3" s="1118"/>
      <c r="S3" s="1119" t="s">
        <v>564</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566</v>
      </c>
      <c r="C4" s="1130"/>
      <c r="D4" s="1130"/>
      <c r="E4" s="1130"/>
      <c r="F4" s="1136"/>
      <c r="G4" s="1122" t="s">
        <v>565</v>
      </c>
      <c r="H4" s="1130"/>
      <c r="I4" s="1136"/>
      <c r="J4" s="1122" t="s">
        <v>490</v>
      </c>
      <c r="K4" s="1136"/>
      <c r="L4" s="1130" t="s">
        <v>458</v>
      </c>
      <c r="M4" s="1130"/>
      <c r="N4" s="1130"/>
      <c r="O4" s="1136"/>
      <c r="P4" s="1122" t="s">
        <v>1290</v>
      </c>
      <c r="Q4" s="1133" t="s">
        <v>13</v>
      </c>
      <c r="R4" s="1134"/>
      <c r="S4" s="1134"/>
      <c r="T4" s="1134"/>
      <c r="U4" s="1135"/>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c r="A5" s="1121"/>
      <c r="B5" s="1131"/>
      <c r="C5" s="1132"/>
      <c r="D5" s="1132"/>
      <c r="E5" s="1132"/>
      <c r="F5" s="1137"/>
      <c r="G5" s="1131"/>
      <c r="H5" s="1132"/>
      <c r="I5" s="1137"/>
      <c r="J5" s="142" t="s">
        <v>487</v>
      </c>
      <c r="K5" s="135" t="s">
        <v>488</v>
      </c>
      <c r="L5" s="1210" t="s">
        <v>567</v>
      </c>
      <c r="M5" s="1211"/>
      <c r="N5" s="1212" t="s">
        <v>568</v>
      </c>
      <c r="O5" s="1211"/>
      <c r="P5" s="1131"/>
      <c r="Q5" s="847" t="s">
        <v>1268</v>
      </c>
      <c r="R5" s="826" t="s">
        <v>1163</v>
      </c>
      <c r="S5" s="826" t="s">
        <v>1174</v>
      </c>
      <c r="T5" s="1098" t="s">
        <v>18</v>
      </c>
      <c r="U5" s="1099"/>
      <c r="V5" s="37"/>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75" customHeight="1">
      <c r="A6" s="151">
        <v>1</v>
      </c>
      <c r="B6" s="1196"/>
      <c r="C6" s="1197"/>
      <c r="D6" s="1197"/>
      <c r="E6" s="1197"/>
      <c r="F6" s="1198"/>
      <c r="G6" s="1160"/>
      <c r="H6" s="1201"/>
      <c r="I6" s="1161"/>
      <c r="J6" s="139"/>
      <c r="K6" s="139"/>
      <c r="L6" s="139"/>
      <c r="M6" s="131"/>
      <c r="N6" s="139"/>
      <c r="O6" s="131"/>
      <c r="P6" s="824"/>
      <c r="Q6" s="811">
        <f>IF(R6='Data Base'!$Q$79,0,P6*0.7)</f>
        <v>0</v>
      </c>
      <c r="R6" s="848"/>
      <c r="S6" s="764"/>
      <c r="T6" s="1213"/>
      <c r="U6" s="1214"/>
      <c r="V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75" customHeight="1">
      <c r="A7" s="152">
        <v>2</v>
      </c>
      <c r="B7" s="1184"/>
      <c r="C7" s="1185"/>
      <c r="D7" s="1185"/>
      <c r="E7" s="1185"/>
      <c r="F7" s="1187"/>
      <c r="G7" s="1202"/>
      <c r="H7" s="1203"/>
      <c r="I7" s="1204"/>
      <c r="J7" s="136"/>
      <c r="K7" s="136"/>
      <c r="L7" s="136"/>
      <c r="M7" s="137"/>
      <c r="N7" s="136"/>
      <c r="O7" s="137"/>
      <c r="P7" s="824"/>
      <c r="Q7" s="809">
        <f>IF(R7='Data Base'!$Q$79,0,P7*0.7)</f>
        <v>0</v>
      </c>
      <c r="R7" s="788"/>
      <c r="S7" s="766"/>
      <c r="T7" s="1206"/>
      <c r="U7" s="1207"/>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75" customHeight="1">
      <c r="A8" s="152">
        <v>3</v>
      </c>
      <c r="B8" s="1184"/>
      <c r="C8" s="1185"/>
      <c r="D8" s="1185"/>
      <c r="E8" s="1185"/>
      <c r="F8" s="1187"/>
      <c r="G8" s="1202"/>
      <c r="H8" s="1203"/>
      <c r="I8" s="1204"/>
      <c r="J8" s="136"/>
      <c r="K8" s="136"/>
      <c r="L8" s="136"/>
      <c r="M8" s="137"/>
      <c r="N8" s="136"/>
      <c r="O8" s="137"/>
      <c r="P8" s="824"/>
      <c r="Q8" s="809">
        <f>IF(R8='Data Base'!$Q$79,0,P8*0.7)</f>
        <v>0</v>
      </c>
      <c r="R8" s="788"/>
      <c r="S8" s="766"/>
      <c r="T8" s="1206"/>
      <c r="U8" s="1207"/>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75" customHeight="1">
      <c r="A9" s="152">
        <v>4</v>
      </c>
      <c r="B9" s="1184"/>
      <c r="C9" s="1185"/>
      <c r="D9" s="1185"/>
      <c r="E9" s="1185"/>
      <c r="F9" s="1187"/>
      <c r="G9" s="1202"/>
      <c r="H9" s="1203"/>
      <c r="I9" s="1204"/>
      <c r="J9" s="136"/>
      <c r="K9" s="136"/>
      <c r="L9" s="136"/>
      <c r="M9" s="137"/>
      <c r="N9" s="136"/>
      <c r="O9" s="137"/>
      <c r="P9" s="824"/>
      <c r="Q9" s="809">
        <f>IF(R9='Data Base'!$Q$79,0,P9*0.7)</f>
        <v>0</v>
      </c>
      <c r="R9" s="788"/>
      <c r="S9" s="766"/>
      <c r="T9" s="1206"/>
      <c r="U9" s="1207"/>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75" customHeight="1">
      <c r="A10" s="152">
        <v>5</v>
      </c>
      <c r="B10" s="1184"/>
      <c r="C10" s="1185"/>
      <c r="D10" s="1185"/>
      <c r="E10" s="1185"/>
      <c r="F10" s="1187"/>
      <c r="G10" s="1202"/>
      <c r="H10" s="1203"/>
      <c r="I10" s="1204"/>
      <c r="J10" s="136"/>
      <c r="K10" s="136"/>
      <c r="L10" s="136"/>
      <c r="M10" s="137"/>
      <c r="N10" s="136"/>
      <c r="O10" s="137"/>
      <c r="P10" s="824"/>
      <c r="Q10" s="809">
        <f>IF(R10='Data Base'!$Q$79,0,P10*0.7)</f>
        <v>0</v>
      </c>
      <c r="R10" s="788"/>
      <c r="S10" s="766"/>
      <c r="T10" s="1206"/>
      <c r="U10" s="1207"/>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75" customHeight="1">
      <c r="A11" s="152">
        <v>6</v>
      </c>
      <c r="B11" s="1184"/>
      <c r="C11" s="1185"/>
      <c r="D11" s="1185"/>
      <c r="E11" s="1185"/>
      <c r="F11" s="1187"/>
      <c r="G11" s="1202"/>
      <c r="H11" s="1203"/>
      <c r="I11" s="1204"/>
      <c r="J11" s="136"/>
      <c r="K11" s="136"/>
      <c r="L11" s="136"/>
      <c r="M11" s="137"/>
      <c r="N11" s="136"/>
      <c r="O11" s="137"/>
      <c r="P11" s="824"/>
      <c r="Q11" s="809">
        <f>IF(R11='Data Base'!$Q$79,0,P11*0.7)</f>
        <v>0</v>
      </c>
      <c r="R11" s="788"/>
      <c r="S11" s="766"/>
      <c r="T11" s="1206"/>
      <c r="U11" s="1207"/>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75" customHeight="1">
      <c r="A12" s="152">
        <v>7</v>
      </c>
      <c r="B12" s="1184"/>
      <c r="C12" s="1185"/>
      <c r="D12" s="1185"/>
      <c r="E12" s="1185"/>
      <c r="F12" s="1187"/>
      <c r="G12" s="1202"/>
      <c r="H12" s="1203"/>
      <c r="I12" s="1204"/>
      <c r="J12" s="136"/>
      <c r="K12" s="136"/>
      <c r="L12" s="136"/>
      <c r="M12" s="137"/>
      <c r="N12" s="136"/>
      <c r="O12" s="137"/>
      <c r="P12" s="824"/>
      <c r="Q12" s="809">
        <f>IF(R12='Data Base'!$Q$79,0,P12*0.7)</f>
        <v>0</v>
      </c>
      <c r="R12" s="788"/>
      <c r="S12" s="766"/>
      <c r="T12" s="1206"/>
      <c r="U12" s="1207"/>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75" customHeight="1">
      <c r="A13" s="152">
        <v>8</v>
      </c>
      <c r="B13" s="1184"/>
      <c r="C13" s="1185"/>
      <c r="D13" s="1185"/>
      <c r="E13" s="1185"/>
      <c r="F13" s="1187"/>
      <c r="G13" s="1202"/>
      <c r="H13" s="1203"/>
      <c r="I13" s="1204"/>
      <c r="J13" s="136"/>
      <c r="K13" s="136"/>
      <c r="L13" s="136"/>
      <c r="M13" s="137"/>
      <c r="N13" s="136"/>
      <c r="O13" s="137"/>
      <c r="P13" s="824"/>
      <c r="Q13" s="809">
        <f>IF(R13='Data Base'!$Q$79,0,P13*0.7)</f>
        <v>0</v>
      </c>
      <c r="R13" s="788"/>
      <c r="S13" s="766"/>
      <c r="T13" s="1206"/>
      <c r="U13" s="1207"/>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75" customHeight="1">
      <c r="A14" s="152">
        <v>9</v>
      </c>
      <c r="B14" s="1184"/>
      <c r="C14" s="1185"/>
      <c r="D14" s="1185"/>
      <c r="E14" s="1185"/>
      <c r="F14" s="1187"/>
      <c r="G14" s="1202"/>
      <c r="H14" s="1203"/>
      <c r="I14" s="1204"/>
      <c r="J14" s="136"/>
      <c r="K14" s="136"/>
      <c r="L14" s="136"/>
      <c r="M14" s="137"/>
      <c r="N14" s="136"/>
      <c r="O14" s="137"/>
      <c r="P14" s="824"/>
      <c r="Q14" s="809">
        <f>IF(R14='Data Base'!$Q$79,0,P14*0.7)</f>
        <v>0</v>
      </c>
      <c r="R14" s="788"/>
      <c r="S14" s="766"/>
      <c r="T14" s="1206"/>
      <c r="U14" s="1207"/>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75" customHeight="1" thickBot="1">
      <c r="A15" s="153">
        <v>10</v>
      </c>
      <c r="B15" s="1184"/>
      <c r="C15" s="1185"/>
      <c r="D15" s="1185"/>
      <c r="E15" s="1185"/>
      <c r="F15" s="1187"/>
      <c r="G15" s="1202"/>
      <c r="H15" s="1203"/>
      <c r="I15" s="1204"/>
      <c r="J15" s="136"/>
      <c r="K15" s="136"/>
      <c r="L15" s="136"/>
      <c r="M15" s="137"/>
      <c r="N15" s="136"/>
      <c r="O15" s="137"/>
      <c r="P15" s="824"/>
      <c r="Q15" s="812">
        <f>IF(R15='Data Base'!$Q$79,0,P15*0.7)</f>
        <v>0</v>
      </c>
      <c r="R15" s="849"/>
      <c r="S15" s="768"/>
      <c r="T15" s="1208"/>
      <c r="U15" s="1209"/>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270</v>
      </c>
      <c r="B16" s="1144"/>
      <c r="C16" s="1144"/>
      <c r="D16" s="1144"/>
      <c r="E16" s="1144"/>
      <c r="F16" s="1144"/>
      <c r="G16" s="1144"/>
      <c r="H16" s="1144"/>
      <c r="I16" s="1144"/>
      <c r="J16" s="1144"/>
      <c r="K16" s="1144"/>
      <c r="L16" s="215">
        <f>SUM(Q6:Q15)</f>
        <v>0</v>
      </c>
      <c r="M16" s="1189" t="s">
        <v>1191</v>
      </c>
      <c r="N16" s="1205"/>
      <c r="O16" s="1205"/>
      <c r="P16" s="1205"/>
      <c r="Q16" s="1205"/>
      <c r="R16" s="807">
        <f>IF(L16&gt;5,5,L16)</f>
        <v>0</v>
      </c>
      <c r="S16" s="807">
        <f>IF(SUM(S6:S15)&gt;5,5,SUM(S6:S15))</f>
        <v>0</v>
      </c>
      <c r="T16" s="1215"/>
      <c r="U16" s="1216"/>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Y7Jz1d5OBHiOOPdJVBiV92u+gYGDIOKs43topiaKrcTH8BeYWnIIHkwJoH53/Vo/LdGnMlrePcSJ0tDh/Kp/8w==" saltValue="33iYMVM9TbomrJttczYujA==" spinCount="100000" sheet="1" objects="1" scenarios="1" formatCells="0" formatRows="0" selectLockedCells="1"/>
  <mergeCells count="58">
    <mergeCell ref="A17:K17"/>
    <mergeCell ref="L17:U17"/>
    <mergeCell ref="A18:K18"/>
    <mergeCell ref="L18:U18"/>
    <mergeCell ref="T6:U6"/>
    <mergeCell ref="T7:U7"/>
    <mergeCell ref="B6:F6"/>
    <mergeCell ref="B7:F7"/>
    <mergeCell ref="T12:U12"/>
    <mergeCell ref="T13:U13"/>
    <mergeCell ref="T10:U10"/>
    <mergeCell ref="T11:U11"/>
    <mergeCell ref="T8:U8"/>
    <mergeCell ref="T9:U9"/>
    <mergeCell ref="T16:U16"/>
    <mergeCell ref="B8:F8"/>
    <mergeCell ref="A1:B2"/>
    <mergeCell ref="C1:G1"/>
    <mergeCell ref="H1:L1"/>
    <mergeCell ref="M1:P1"/>
    <mergeCell ref="Q1:U1"/>
    <mergeCell ref="C2:G2"/>
    <mergeCell ref="H2:L2"/>
    <mergeCell ref="M2:P2"/>
    <mergeCell ref="Q2:U2"/>
    <mergeCell ref="A3:R3"/>
    <mergeCell ref="S3:U3"/>
    <mergeCell ref="A4:A5"/>
    <mergeCell ref="T5:U5"/>
    <mergeCell ref="L4:O4"/>
    <mergeCell ref="B4:F5"/>
    <mergeCell ref="J4:K4"/>
    <mergeCell ref="L5:M5"/>
    <mergeCell ref="N5:O5"/>
    <mergeCell ref="G4:I5"/>
    <mergeCell ref="P4:P5"/>
    <mergeCell ref="Q4:U4"/>
    <mergeCell ref="B9:F9"/>
    <mergeCell ref="B10:F10"/>
    <mergeCell ref="G10:I10"/>
    <mergeCell ref="B11:F11"/>
    <mergeCell ref="B12:F12"/>
    <mergeCell ref="B13:F13"/>
    <mergeCell ref="G11:I11"/>
    <mergeCell ref="G12:I12"/>
    <mergeCell ref="G13:I13"/>
    <mergeCell ref="G15:I15"/>
    <mergeCell ref="A16:K16"/>
    <mergeCell ref="M16:Q16"/>
    <mergeCell ref="T14:U14"/>
    <mergeCell ref="T15:U15"/>
    <mergeCell ref="B14:F14"/>
    <mergeCell ref="B15:F15"/>
    <mergeCell ref="G6:I6"/>
    <mergeCell ref="G7:I7"/>
    <mergeCell ref="G8:I8"/>
    <mergeCell ref="G9:I9"/>
    <mergeCell ref="G14:I14"/>
  </mergeCells>
  <conditionalFormatting sqref="B6 G6 J6:P6">
    <cfRule type="containsBlanks" dxfId="228" priority="7">
      <formula>LEN(TRIM(B6))=0</formula>
    </cfRule>
  </conditionalFormatting>
  <conditionalFormatting sqref="B7:B15 G7:G15 J7:O15">
    <cfRule type="containsBlanks" dxfId="227" priority="2">
      <formula>LEN(TRIM(B7))=0</formula>
    </cfRule>
  </conditionalFormatting>
  <conditionalFormatting sqref="P7:P15">
    <cfRule type="containsBlanks" dxfId="226" priority="1">
      <formula>LEN(TRIM(P7))=0</formula>
    </cfRule>
  </conditionalFormatting>
  <dataValidations count="1">
    <dataValidation allowBlank="1" showInputMessage="1" showErrorMessage="1" promptTitle="توجه:" prompt="حداكثر امتياز در هر نيمسال 0/7" sqref="S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نيم سال مورد نظر را از موارد ليست شده انتخاب نماييد">
          <x14:formula1>
            <xm:f>'Data Base'!$V$41:$V$42</xm:f>
          </x14:formula1>
          <xm:sqref>L6:L15 N6:N15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CB40"/>
  <sheetViews>
    <sheetView showGridLines="0" rightToLeft="1" view="pageBreakPreview" zoomScale="85" zoomScaleNormal="100" zoomScaleSheetLayoutView="85" workbookViewId="0">
      <pane ySplit="5" topLeftCell="A6" activePane="bottomLeft" state="frozen"/>
      <selection pane="bottomLeft" activeCell="M8" sqref="M8:N8"/>
    </sheetView>
  </sheetViews>
  <sheetFormatPr defaultColWidth="9.140625" defaultRowHeight="15"/>
  <cols>
    <col min="1" max="1" width="2.85546875" style="11" customWidth="1"/>
    <col min="2" max="2" width="3.7109375" style="11" customWidth="1"/>
    <col min="3" max="4" width="6.5703125" style="11" customWidth="1"/>
    <col min="5" max="8" width="5.5703125" style="11" customWidth="1"/>
    <col min="9" max="11" width="5.85546875" style="11" customWidth="1"/>
    <col min="12" max="12" width="5.7109375" style="11" customWidth="1"/>
    <col min="13" max="13" width="13.5703125" style="11" customWidth="1"/>
    <col min="14" max="14" width="10.7109375" style="11" customWidth="1"/>
    <col min="15" max="15" width="6.140625" style="11" customWidth="1"/>
    <col min="16" max="16" width="14.140625" style="11" customWidth="1"/>
    <col min="17" max="17" width="6.140625" style="11" customWidth="1"/>
    <col min="18" max="18" width="6.28515625" style="11" customWidth="1"/>
    <col min="19" max="19" width="7.140625" style="11" customWidth="1"/>
    <col min="20" max="21" width="3.140625" style="789" customWidth="1"/>
    <col min="22" max="16384" width="9.140625" style="11"/>
  </cols>
  <sheetData>
    <row r="1" spans="1:80" ht="15" customHeight="1">
      <c r="A1" s="1109" t="s">
        <v>550</v>
      </c>
      <c r="B1" s="1219"/>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220"/>
      <c r="C2" s="1094">
        <f>'فرم الف'!B5</f>
        <v>0</v>
      </c>
      <c r="D2" s="1095"/>
      <c r="E2" s="1095"/>
      <c r="F2" s="1095"/>
      <c r="G2" s="1095"/>
      <c r="H2" s="1092">
        <f>'فرم الف'!A27</f>
        <v>0</v>
      </c>
      <c r="I2" s="1092"/>
      <c r="J2" s="1092"/>
      <c r="K2" s="1092"/>
      <c r="L2" s="1092"/>
      <c r="M2" s="1092">
        <f>'فرم الف'!J15</f>
        <v>0</v>
      </c>
      <c r="N2" s="1092"/>
      <c r="O2" s="1092"/>
      <c r="P2" s="1092"/>
      <c r="Q2" s="1115">
        <f>'فرم الف'!D9</f>
        <v>0</v>
      </c>
      <c r="R2" s="1115"/>
      <c r="S2" s="1115"/>
      <c r="T2" s="1115"/>
      <c r="U2" s="1221"/>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222" t="s">
        <v>573</v>
      </c>
      <c r="B3" s="1222"/>
      <c r="C3" s="1222"/>
      <c r="D3" s="1222"/>
      <c r="E3" s="1222"/>
      <c r="F3" s="1222"/>
      <c r="G3" s="1222"/>
      <c r="H3" s="1222"/>
      <c r="I3" s="1222"/>
      <c r="J3" s="1222"/>
      <c r="K3" s="1222"/>
      <c r="L3" s="1222"/>
      <c r="M3" s="1222"/>
      <c r="N3" s="1222"/>
      <c r="O3" s="1222"/>
      <c r="P3" s="1222"/>
      <c r="Q3" s="1222"/>
      <c r="R3" s="1222"/>
      <c r="S3" s="1223" t="s">
        <v>574</v>
      </c>
      <c r="T3" s="1223"/>
      <c r="U3" s="1223"/>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224" t="s">
        <v>9</v>
      </c>
      <c r="B4" s="1226" t="s">
        <v>330</v>
      </c>
      <c r="C4" s="1227"/>
      <c r="D4" s="1227"/>
      <c r="E4" s="1227"/>
      <c r="F4" s="1227"/>
      <c r="G4" s="1227"/>
      <c r="H4" s="1227"/>
      <c r="I4" s="1227"/>
      <c r="J4" s="1227"/>
      <c r="K4" s="1227"/>
      <c r="L4" s="1227"/>
      <c r="M4" s="1122" t="s">
        <v>495</v>
      </c>
      <c r="N4" s="1136"/>
      <c r="O4" s="1128" t="s">
        <v>1291</v>
      </c>
      <c r="P4" s="1122" t="s">
        <v>501</v>
      </c>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80.25" customHeight="1" thickBot="1">
      <c r="A5" s="1225"/>
      <c r="B5" s="1228" t="s">
        <v>575</v>
      </c>
      <c r="C5" s="1228"/>
      <c r="D5" s="1228"/>
      <c r="E5" s="1229" t="s">
        <v>576</v>
      </c>
      <c r="F5" s="1229"/>
      <c r="G5" s="1229"/>
      <c r="H5" s="1229"/>
      <c r="I5" s="1229" t="s">
        <v>1201</v>
      </c>
      <c r="J5" s="1229"/>
      <c r="K5" s="1229"/>
      <c r="L5" s="1230"/>
      <c r="M5" s="1131"/>
      <c r="N5" s="1137"/>
      <c r="O5" s="1129"/>
      <c r="P5" s="1131"/>
      <c r="Q5" s="847" t="s">
        <v>1268</v>
      </c>
      <c r="R5" s="826" t="s">
        <v>1163</v>
      </c>
      <c r="S5" s="826"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63.75" customHeight="1">
      <c r="A6" s="791">
        <v>1</v>
      </c>
      <c r="B6" s="1180"/>
      <c r="C6" s="1195"/>
      <c r="D6" s="1195"/>
      <c r="E6" s="1195"/>
      <c r="F6" s="1195"/>
      <c r="G6" s="1195"/>
      <c r="H6" s="1195"/>
      <c r="I6" s="1195"/>
      <c r="J6" s="1195"/>
      <c r="K6" s="1195"/>
      <c r="L6" s="1181"/>
      <c r="M6" s="1180"/>
      <c r="N6" s="1181"/>
      <c r="O6" s="878"/>
      <c r="P6" s="850" t="str">
        <f>IF(B6='Data Base'!$V$46,'Data Base'!$Y$46,IF(B6='Data Base'!$V$47,'Data Base'!$Y$47,IF(B6='Data Base'!$V$48,'Data Base'!$Y$48,IF(B6='Data Base'!$V$49,'Data Base'!$Y$49,IF(B6='Data Base'!$V$50,'Data Base'!$Y$50,IF(B6='Data Base'!$V$51,'Data Base'!$Y$51,IF(B6='Data Base'!$V$52,'Data Base'!$Y$52,IF(B6='Data Base'!$V$53,'Data Base'!$Y$53,IF(B6='Data Base'!$V$54,'Data Base'!$Y$54,IF(B6='Data Base'!$V$55,O6*'Data Base'!$Y$55,IF(B6='Data Base'!$V$56,O6*'Data Base'!$Y$56,"")))))))))))</f>
        <v/>
      </c>
      <c r="Q6" s="811" t="str">
        <f>IF(R6='Data Base'!$Q$79,0,IF(B6='Data Base'!$V$46,O6*'Data Base'!$W$46,IF(B6='Data Base'!$V$47,O6*'Data Base'!$W$47,IF(B6='Data Base'!$V$48,O6*'Data Base'!$W$48,IF(B6='Data Base'!$V$49,O6/'Data Base'!$X$49*'Data Base'!$W$49,IF(B6='Data Base'!$V$50,O6/'Data Base'!$X$50*'Data Base'!$W$50,IF(B6='Data Base'!$V$51,O6/'Data Base'!$X$51*'Data Base'!$W$51,IF(B6='Data Base'!$V$52,O6/'Data Base'!$X$52*'Data Base'!$W$52,IF(B6='Data Base'!$V$53,(IF(O6*'Data Base'!$W$53&gt;2,2,O6*'Data Base'!$W$53)),IF(B6='Data Base'!$V$54,(IF(O6*'Data Base'!$W$54&gt;1,1,O6*'Data Base'!$W$54)),IF(B6='Data Base'!$V$55,O6*'Data Base'!$W$55,IF(B6='Data Base'!$V$56,O6*'Data Base'!$W$56,""))))))))))))</f>
        <v/>
      </c>
      <c r="R6" s="848"/>
      <c r="S6" s="792"/>
      <c r="T6" s="1172"/>
      <c r="U6" s="1173"/>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63.75" customHeight="1">
      <c r="A7" s="152">
        <v>2</v>
      </c>
      <c r="B7" s="1157"/>
      <c r="C7" s="1157"/>
      <c r="D7" s="1157"/>
      <c r="E7" s="1157"/>
      <c r="F7" s="1157"/>
      <c r="G7" s="1157"/>
      <c r="H7" s="1157"/>
      <c r="I7" s="1157"/>
      <c r="J7" s="1157"/>
      <c r="K7" s="1157"/>
      <c r="L7" s="1157"/>
      <c r="M7" s="1157"/>
      <c r="N7" s="1157"/>
      <c r="O7" s="60"/>
      <c r="P7" s="877" t="str">
        <f>IF(B7='Data Base'!$V$46,'Data Base'!$Y$46,IF(B7='Data Base'!$V$47,'Data Base'!$Y$47,IF(B7='Data Base'!$V$48,'Data Base'!$Y$48,IF(B7='Data Base'!$V$49,'Data Base'!$Y$49,IF(B7='Data Base'!$V$50,'Data Base'!$Y$50,IF(B7='Data Base'!$V$51,'Data Base'!$Y$51,IF(B7='Data Base'!$V$52,'Data Base'!$Y$52,IF(B7='Data Base'!$V$53,'Data Base'!$Y$53,IF(B7='Data Base'!$V$54,'Data Base'!$Y$54,IF(B7='Data Base'!$V$55,O7*'Data Base'!$Y$55,IF(B7='Data Base'!$V$56,O7*'Data Base'!$Y$56,"")))))))))))</f>
        <v/>
      </c>
      <c r="Q7" s="809" t="str">
        <f>IF(R7='Data Base'!$Q$79,0,IF(B7='Data Base'!$V$46,O7*'Data Base'!$W$46,IF(B7='Data Base'!$V$47,O7*'Data Base'!$W$47,IF(B7='Data Base'!$V$48,O7*'Data Base'!$W$48,IF(B7='Data Base'!$V$49,O7/'Data Base'!$X$49*'Data Base'!$W$49,IF(B7='Data Base'!$V$50,O7/'Data Base'!$X$50*'Data Base'!$W$50,IF(B7='Data Base'!$V$51,O7/'Data Base'!$X$51*'Data Base'!$W$51,IF(B7='Data Base'!$V$52,O7/'Data Base'!$X$52*'Data Base'!$W$52,IF(B7='Data Base'!$V$53,(IF(O7*'Data Base'!$W$53&gt;2,2,O7*'Data Base'!$W$53)),IF(B7='Data Base'!$V$54,(IF(O7*'Data Base'!$W$54&gt;1,1,O7*'Data Base'!$W$54)),IF(B7='Data Base'!$V$55,O7*'Data Base'!$W$55,IF(B7='Data Base'!$V$56,O7*'Data Base'!$W$56,""))))))))))))</f>
        <v/>
      </c>
      <c r="R7" s="842"/>
      <c r="S7" s="770"/>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63.75" customHeight="1">
      <c r="A8" s="152">
        <v>3</v>
      </c>
      <c r="B8" s="1157"/>
      <c r="C8" s="1157"/>
      <c r="D8" s="1157"/>
      <c r="E8" s="1157"/>
      <c r="F8" s="1157"/>
      <c r="G8" s="1157"/>
      <c r="H8" s="1157"/>
      <c r="I8" s="1157"/>
      <c r="J8" s="1157"/>
      <c r="K8" s="1157"/>
      <c r="L8" s="1157"/>
      <c r="M8" s="1157"/>
      <c r="N8" s="1157"/>
      <c r="O8" s="60"/>
      <c r="P8" s="877" t="str">
        <f>IF(B8='Data Base'!$V$46,'Data Base'!$Y$46,IF(B8='Data Base'!$V$47,'Data Base'!$Y$47,IF(B8='Data Base'!$V$48,'Data Base'!$Y$48,IF(B8='Data Base'!$V$49,'Data Base'!$Y$49,IF(B8='Data Base'!$V$50,'Data Base'!$Y$50,IF(B8='Data Base'!$V$51,'Data Base'!$Y$51,IF(B8='Data Base'!$V$52,'Data Base'!$Y$52,IF(B8='Data Base'!$V$53,'Data Base'!$Y$53,IF(B8='Data Base'!$V$54,'Data Base'!$Y$54,IF(B8='Data Base'!$V$55,O8*'Data Base'!$Y$55,IF(B8='Data Base'!$V$56,O8*'Data Base'!$Y$56,"")))))))))))</f>
        <v/>
      </c>
      <c r="Q8" s="809" t="str">
        <f>IF(R8='Data Base'!$Q$79,0,IF(B8='Data Base'!$V$46,O8*'Data Base'!$W$46,IF(B8='Data Base'!$V$47,O8*'Data Base'!$W$47,IF(B8='Data Base'!$V$48,O8*'Data Base'!$W$48,IF(B8='Data Base'!$V$49,O8/'Data Base'!$X$49*'Data Base'!$W$49,IF(B8='Data Base'!$V$50,O8/'Data Base'!$X$50*'Data Base'!$W$50,IF(B8='Data Base'!$V$51,O8/'Data Base'!$X$51*'Data Base'!$W$51,IF(B8='Data Base'!$V$52,O8/'Data Base'!$X$52*'Data Base'!$W$52,IF(B8='Data Base'!$V$53,(IF(O8*'Data Base'!$W$53&gt;2,2,O8*'Data Base'!$W$53)),IF(B8='Data Base'!$V$54,(IF(O8*'Data Base'!$W$54&gt;1,1,O8*'Data Base'!$W$54)),IF(B8='Data Base'!$V$55,O8*'Data Base'!$W$55,IF(B8='Data Base'!$V$56,O8*'Data Base'!$W$56,""))))))))))))</f>
        <v/>
      </c>
      <c r="R8" s="842"/>
      <c r="S8" s="770"/>
      <c r="T8" s="1217"/>
      <c r="U8" s="1218"/>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63.75" customHeight="1">
      <c r="A9" s="152">
        <v>4</v>
      </c>
      <c r="B9" s="1157"/>
      <c r="C9" s="1157"/>
      <c r="D9" s="1157"/>
      <c r="E9" s="1157"/>
      <c r="F9" s="1157"/>
      <c r="G9" s="1157"/>
      <c r="H9" s="1157"/>
      <c r="I9" s="1157"/>
      <c r="J9" s="1157"/>
      <c r="K9" s="1157"/>
      <c r="L9" s="1157"/>
      <c r="M9" s="1157"/>
      <c r="N9" s="1157"/>
      <c r="O9" s="60"/>
      <c r="P9" s="877" t="str">
        <f>IF(B9='Data Base'!$V$46,'Data Base'!$Y$46,IF(B9='Data Base'!$V$47,'Data Base'!$Y$47,IF(B9='Data Base'!$V$48,'Data Base'!$Y$48,IF(B9='Data Base'!$V$49,'Data Base'!$Y$49,IF(B9='Data Base'!$V$50,'Data Base'!$Y$50,IF(B9='Data Base'!$V$51,'Data Base'!$Y$51,IF(B9='Data Base'!$V$52,'Data Base'!$Y$52,IF(B9='Data Base'!$V$53,'Data Base'!$Y$53,IF(B9='Data Base'!$V$54,'Data Base'!$Y$54,IF(B9='Data Base'!$V$55,O9*'Data Base'!$Y$55,IF(B9='Data Base'!$V$56,O9*'Data Base'!$Y$56,"")))))))))))</f>
        <v/>
      </c>
      <c r="Q9" s="809" t="str">
        <f>IF(R9='Data Base'!$Q$79,0,IF(B9='Data Base'!$V$46,O9*'Data Base'!$W$46,IF(B9='Data Base'!$V$47,O9*'Data Base'!$W$47,IF(B9='Data Base'!$V$48,O9*'Data Base'!$W$48,IF(B9='Data Base'!$V$49,O9/'Data Base'!$X$49*'Data Base'!$W$49,IF(B9='Data Base'!$V$50,O9/'Data Base'!$X$50*'Data Base'!$W$50,IF(B9='Data Base'!$V$51,O9/'Data Base'!$X$51*'Data Base'!$W$51,IF(B9='Data Base'!$V$52,O9/'Data Base'!$X$52*'Data Base'!$W$52,IF(B9='Data Base'!$V$53,(IF(O9*'Data Base'!$W$53&gt;2,2,O9*'Data Base'!$W$53)),IF(B9='Data Base'!$V$54,(IF(O9*'Data Base'!$W$54&gt;1,1,O9*'Data Base'!$W$54)),IF(B9='Data Base'!$V$55,O9*'Data Base'!$W$55,IF(B9='Data Base'!$V$56,O9*'Data Base'!$W$56,""))))))))))))</f>
        <v/>
      </c>
      <c r="R9" s="842"/>
      <c r="S9" s="770"/>
      <c r="T9" s="1217"/>
      <c r="U9" s="1218"/>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63.75" customHeight="1">
      <c r="A10" s="152">
        <v>5</v>
      </c>
      <c r="B10" s="1157"/>
      <c r="C10" s="1157"/>
      <c r="D10" s="1157"/>
      <c r="E10" s="1157"/>
      <c r="F10" s="1157"/>
      <c r="G10" s="1157"/>
      <c r="H10" s="1157"/>
      <c r="I10" s="1157"/>
      <c r="J10" s="1157"/>
      <c r="K10" s="1157"/>
      <c r="L10" s="1157"/>
      <c r="M10" s="1157"/>
      <c r="N10" s="1157"/>
      <c r="O10" s="60"/>
      <c r="P10" s="877" t="str">
        <f>IF(B10='Data Base'!$V$46,'Data Base'!$Y$46,IF(B10='Data Base'!$V$47,'Data Base'!$Y$47,IF(B10='Data Base'!$V$48,'Data Base'!$Y$48,IF(B10='Data Base'!$V$49,'Data Base'!$Y$49,IF(B10='Data Base'!$V$50,'Data Base'!$Y$50,IF(B10='Data Base'!$V$51,'Data Base'!$Y$51,IF(B10='Data Base'!$V$52,'Data Base'!$Y$52,IF(B10='Data Base'!$V$53,'Data Base'!$Y$53,IF(B10='Data Base'!$V$54,'Data Base'!$Y$54,IF(B10='Data Base'!$V$55,O10*'Data Base'!$Y$55,IF(B10='Data Base'!$V$56,O10*'Data Base'!$Y$56,"")))))))))))</f>
        <v/>
      </c>
      <c r="Q10" s="809" t="str">
        <f>IF(R10='Data Base'!$Q$79,0,IF(B10='Data Base'!$V$46,O10*'Data Base'!$W$46,IF(B10='Data Base'!$V$47,O10*'Data Base'!$W$47,IF(B10='Data Base'!$V$48,O10*'Data Base'!$W$48,IF(B10='Data Base'!$V$49,O10/'Data Base'!$X$49*'Data Base'!$W$49,IF(B10='Data Base'!$V$50,O10/'Data Base'!$X$50*'Data Base'!$W$50,IF(B10='Data Base'!$V$51,O10/'Data Base'!$X$51*'Data Base'!$W$51,IF(B10='Data Base'!$V$52,O10/'Data Base'!$X$52*'Data Base'!$W$52,IF(B10='Data Base'!$V$53,(IF(O10*'Data Base'!$W$53&gt;2,2,O10*'Data Base'!$W$53)),IF(B10='Data Base'!$V$54,(IF(O10*'Data Base'!$W$54&gt;1,1,O10*'Data Base'!$W$54)),IF(B10='Data Base'!$V$55,O10*'Data Base'!$W$55,IF(B10='Data Base'!$V$56,O10*'Data Base'!$W$56,""))))))))))))</f>
        <v/>
      </c>
      <c r="R10" s="842"/>
      <c r="S10" s="770"/>
      <c r="T10" s="1217"/>
      <c r="U10" s="1218"/>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63.75" customHeight="1">
      <c r="A11" s="152">
        <v>6</v>
      </c>
      <c r="B11" s="1157"/>
      <c r="C11" s="1157"/>
      <c r="D11" s="1157"/>
      <c r="E11" s="1157"/>
      <c r="F11" s="1157"/>
      <c r="G11" s="1157"/>
      <c r="H11" s="1157"/>
      <c r="I11" s="1157"/>
      <c r="J11" s="1157"/>
      <c r="K11" s="1157"/>
      <c r="L11" s="1157"/>
      <c r="M11" s="1157"/>
      <c r="N11" s="1157"/>
      <c r="O11" s="60"/>
      <c r="P11" s="877" t="str">
        <f>IF(B11='Data Base'!$V$46,'Data Base'!$Y$46,IF(B11='Data Base'!$V$47,'Data Base'!$Y$47,IF(B11='Data Base'!$V$48,'Data Base'!$Y$48,IF(B11='Data Base'!$V$49,'Data Base'!$Y$49,IF(B11='Data Base'!$V$50,'Data Base'!$Y$50,IF(B11='Data Base'!$V$51,'Data Base'!$Y$51,IF(B11='Data Base'!$V$52,'Data Base'!$Y$52,IF(B11='Data Base'!$V$53,'Data Base'!$Y$53,IF(B11='Data Base'!$V$54,'Data Base'!$Y$54,IF(B11='Data Base'!$V$55,O11*'Data Base'!$Y$55,IF(B11='Data Base'!$V$56,O11*'Data Base'!$Y$56,"")))))))))))</f>
        <v/>
      </c>
      <c r="Q11" s="809" t="str">
        <f>IF(R11='Data Base'!$Q$79,0,IF(B11='Data Base'!$V$46,O11*'Data Base'!$W$46,IF(B11='Data Base'!$V$47,O11*'Data Base'!$W$47,IF(B11='Data Base'!$V$48,O11*'Data Base'!$W$48,IF(B11='Data Base'!$V$49,O11/'Data Base'!$X$49*'Data Base'!$W$49,IF(B11='Data Base'!$V$50,O11/'Data Base'!$X$50*'Data Base'!$W$50,IF(B11='Data Base'!$V$51,O11/'Data Base'!$X$51*'Data Base'!$W$51,IF(B11='Data Base'!$V$52,O11/'Data Base'!$X$52*'Data Base'!$W$52,IF(B11='Data Base'!$V$53,(IF(O11*'Data Base'!$W$53&gt;2,2,O11*'Data Base'!$W$53)),IF(B11='Data Base'!$V$54,(IF(O11*'Data Base'!$W$54&gt;1,1,O11*'Data Base'!$W$54)),IF(B11='Data Base'!$V$55,O11*'Data Base'!$W$55,IF(B11='Data Base'!$V$56,O11*'Data Base'!$W$56,""))))))))))))</f>
        <v/>
      </c>
      <c r="R11" s="842"/>
      <c r="S11" s="770"/>
      <c r="T11" s="1217"/>
      <c r="U11" s="1218"/>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63.75" customHeight="1">
      <c r="A12" s="152">
        <v>7</v>
      </c>
      <c r="B12" s="1157"/>
      <c r="C12" s="1157"/>
      <c r="D12" s="1157"/>
      <c r="E12" s="1157"/>
      <c r="F12" s="1157"/>
      <c r="G12" s="1157"/>
      <c r="H12" s="1157"/>
      <c r="I12" s="1157"/>
      <c r="J12" s="1157"/>
      <c r="K12" s="1157"/>
      <c r="L12" s="1157"/>
      <c r="M12" s="1157"/>
      <c r="N12" s="1157"/>
      <c r="O12" s="60"/>
      <c r="P12" s="877" t="str">
        <f>IF(B12='Data Base'!$V$46,'Data Base'!$Y$46,IF(B12='Data Base'!$V$47,'Data Base'!$Y$47,IF(B12='Data Base'!$V$48,'Data Base'!$Y$48,IF(B12='Data Base'!$V$49,'Data Base'!$Y$49,IF(B12='Data Base'!$V$50,'Data Base'!$Y$50,IF(B12='Data Base'!$V$51,'Data Base'!$Y$51,IF(B12='Data Base'!$V$52,'Data Base'!$Y$52,IF(B12='Data Base'!$V$53,'Data Base'!$Y$53,IF(B12='Data Base'!$V$54,'Data Base'!$Y$54,IF(B12='Data Base'!$V$55,O12*'Data Base'!$Y$55,IF(B12='Data Base'!$V$56,O12*'Data Base'!$Y$56,"")))))))))))</f>
        <v/>
      </c>
      <c r="Q12" s="809" t="str">
        <f>IF(R12='Data Base'!$Q$79,0,IF(B12='Data Base'!$V$46,O12*'Data Base'!$W$46,IF(B12='Data Base'!$V$47,O12*'Data Base'!$W$47,IF(B12='Data Base'!$V$48,O12*'Data Base'!$W$48,IF(B12='Data Base'!$V$49,O12/'Data Base'!$X$49*'Data Base'!$W$49,IF(B12='Data Base'!$V$50,O12/'Data Base'!$X$50*'Data Base'!$W$50,IF(B12='Data Base'!$V$51,O12/'Data Base'!$X$51*'Data Base'!$W$51,IF(B12='Data Base'!$V$52,O12/'Data Base'!$X$52*'Data Base'!$W$52,IF(B12='Data Base'!$V$53,(IF(O12*'Data Base'!$W$53&gt;2,2,O12*'Data Base'!$W$53)),IF(B12='Data Base'!$V$54,(IF(O12*'Data Base'!$W$54&gt;1,1,O12*'Data Base'!$W$54)),IF(B12='Data Base'!$V$55,O12*'Data Base'!$W$55,IF(B12='Data Base'!$V$56,O12*'Data Base'!$W$56,""))))))))))))</f>
        <v/>
      </c>
      <c r="R12" s="842"/>
      <c r="S12" s="770"/>
      <c r="T12" s="1217"/>
      <c r="U12" s="1218"/>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63.75" customHeight="1">
      <c r="A13" s="152">
        <v>8</v>
      </c>
      <c r="B13" s="1157"/>
      <c r="C13" s="1157"/>
      <c r="D13" s="1157"/>
      <c r="E13" s="1157"/>
      <c r="F13" s="1157"/>
      <c r="G13" s="1157"/>
      <c r="H13" s="1157"/>
      <c r="I13" s="1157"/>
      <c r="J13" s="1157"/>
      <c r="K13" s="1157"/>
      <c r="L13" s="1157"/>
      <c r="M13" s="1157"/>
      <c r="N13" s="1157"/>
      <c r="O13" s="60"/>
      <c r="P13" s="877" t="str">
        <f>IF(B13='Data Base'!$V$46,'Data Base'!$Y$46,IF(B13='Data Base'!$V$47,'Data Base'!$Y$47,IF(B13='Data Base'!$V$48,'Data Base'!$Y$48,IF(B13='Data Base'!$V$49,'Data Base'!$Y$49,IF(B13='Data Base'!$V$50,'Data Base'!$Y$50,IF(B13='Data Base'!$V$51,'Data Base'!$Y$51,IF(B13='Data Base'!$V$52,'Data Base'!$Y$52,IF(B13='Data Base'!$V$53,'Data Base'!$Y$53,IF(B13='Data Base'!$V$54,'Data Base'!$Y$54,IF(B13='Data Base'!$V$55,O13*'Data Base'!$Y$55,IF(B13='Data Base'!$V$56,O13*'Data Base'!$Y$56,"")))))))))))</f>
        <v/>
      </c>
      <c r="Q13" s="809" t="str">
        <f>IF(R13='Data Base'!$Q$79,0,IF(B13='Data Base'!$V$46,O13*'Data Base'!$W$46,IF(B13='Data Base'!$V$47,O13*'Data Base'!$W$47,IF(B13='Data Base'!$V$48,O13*'Data Base'!$W$48,IF(B13='Data Base'!$V$49,O13/'Data Base'!$X$49*'Data Base'!$W$49,IF(B13='Data Base'!$V$50,O13/'Data Base'!$X$50*'Data Base'!$W$50,IF(B13='Data Base'!$V$51,O13/'Data Base'!$X$51*'Data Base'!$W$51,IF(B13='Data Base'!$V$52,O13/'Data Base'!$X$52*'Data Base'!$W$52,IF(B13='Data Base'!$V$53,(IF(O13*'Data Base'!$W$53&gt;2,2,O13*'Data Base'!$W$53)),IF(B13='Data Base'!$V$54,(IF(O13*'Data Base'!$W$54&gt;1,1,O13*'Data Base'!$W$54)),IF(B13='Data Base'!$V$55,O13*'Data Base'!$W$55,IF(B13='Data Base'!$V$56,O13*'Data Base'!$W$56,""))))))))))))</f>
        <v/>
      </c>
      <c r="R13" s="842"/>
      <c r="S13" s="770"/>
      <c r="T13" s="1217"/>
      <c r="U13" s="1218"/>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63.75" customHeight="1">
      <c r="A14" s="152">
        <v>9</v>
      </c>
      <c r="B14" s="1157"/>
      <c r="C14" s="1157"/>
      <c r="D14" s="1157"/>
      <c r="E14" s="1157"/>
      <c r="F14" s="1157"/>
      <c r="G14" s="1157"/>
      <c r="H14" s="1157"/>
      <c r="I14" s="1157"/>
      <c r="J14" s="1157"/>
      <c r="K14" s="1157"/>
      <c r="L14" s="1157"/>
      <c r="M14" s="1157"/>
      <c r="N14" s="1157"/>
      <c r="O14" s="60"/>
      <c r="P14" s="877" t="str">
        <f>IF(B14='Data Base'!$V$46,'Data Base'!$Y$46,IF(B14='Data Base'!$V$47,'Data Base'!$Y$47,IF(B14='Data Base'!$V$48,'Data Base'!$Y$48,IF(B14='Data Base'!$V$49,'Data Base'!$Y$49,IF(B14='Data Base'!$V$50,'Data Base'!$Y$50,IF(B14='Data Base'!$V$51,'Data Base'!$Y$51,IF(B14='Data Base'!$V$52,'Data Base'!$Y$52,IF(B14='Data Base'!$V$53,'Data Base'!$Y$53,IF(B14='Data Base'!$V$54,'Data Base'!$Y$54,IF(B14='Data Base'!$V$55,O14*'Data Base'!$Y$55,IF(B14='Data Base'!$V$56,O14*'Data Base'!$Y$56,"")))))))))))</f>
        <v/>
      </c>
      <c r="Q14" s="809" t="str">
        <f>IF(R14='Data Base'!$Q$79,0,IF(B14='Data Base'!$V$46,O14*'Data Base'!$W$46,IF(B14='Data Base'!$V$47,O14*'Data Base'!$W$47,IF(B14='Data Base'!$V$48,O14*'Data Base'!$W$48,IF(B14='Data Base'!$V$49,O14/'Data Base'!$X$49*'Data Base'!$W$49,IF(B14='Data Base'!$V$50,O14/'Data Base'!$X$50*'Data Base'!$W$50,IF(B14='Data Base'!$V$51,O14/'Data Base'!$X$51*'Data Base'!$W$51,IF(B14='Data Base'!$V$52,O14/'Data Base'!$X$52*'Data Base'!$W$52,IF(B14='Data Base'!$V$53,(IF(O14*'Data Base'!$W$53&gt;2,2,O14*'Data Base'!$W$53)),IF(B14='Data Base'!$V$54,(IF(O14*'Data Base'!$W$54&gt;1,1,O14*'Data Base'!$W$54)),IF(B14='Data Base'!$V$55,O14*'Data Base'!$W$55,IF(B14='Data Base'!$V$56,O14*'Data Base'!$W$56,""))))))))))))</f>
        <v/>
      </c>
      <c r="R14" s="842"/>
      <c r="S14" s="770"/>
      <c r="T14" s="1217"/>
      <c r="U14" s="1218"/>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63.75" customHeight="1">
      <c r="A15" s="152">
        <v>10</v>
      </c>
      <c r="B15" s="1157"/>
      <c r="C15" s="1157"/>
      <c r="D15" s="1157"/>
      <c r="E15" s="1157"/>
      <c r="F15" s="1157"/>
      <c r="G15" s="1157"/>
      <c r="H15" s="1157"/>
      <c r="I15" s="1157"/>
      <c r="J15" s="1157"/>
      <c r="K15" s="1157"/>
      <c r="L15" s="1157"/>
      <c r="M15" s="1157"/>
      <c r="N15" s="1157"/>
      <c r="O15" s="60"/>
      <c r="P15" s="877" t="str">
        <f>IF(B15='Data Base'!$V$46,'Data Base'!$Y$46,IF(B15='Data Base'!$V$47,'Data Base'!$Y$47,IF(B15='Data Base'!$V$48,'Data Base'!$Y$48,IF(B15='Data Base'!$V$49,'Data Base'!$Y$49,IF(B15='Data Base'!$V$50,'Data Base'!$Y$50,IF(B15='Data Base'!$V$51,'Data Base'!$Y$51,IF(B15='Data Base'!$V$52,'Data Base'!$Y$52,IF(B15='Data Base'!$V$53,'Data Base'!$Y$53,IF(B15='Data Base'!$V$54,'Data Base'!$Y$54,IF(B15='Data Base'!$V$55,O15*'Data Base'!$Y$55,IF(B15='Data Base'!$V$56,O15*'Data Base'!$Y$56,"")))))))))))</f>
        <v/>
      </c>
      <c r="Q15" s="809" t="str">
        <f>IF(R15='Data Base'!$Q$79,0,IF(B15='Data Base'!$V$46,O15*'Data Base'!$W$46,IF(B15='Data Base'!$V$47,O15*'Data Base'!$W$47,IF(B15='Data Base'!$V$48,O15*'Data Base'!$W$48,IF(B15='Data Base'!$V$49,O15/'Data Base'!$X$49*'Data Base'!$W$49,IF(B15='Data Base'!$V$50,O15/'Data Base'!$X$50*'Data Base'!$W$50,IF(B15='Data Base'!$V$51,O15/'Data Base'!$X$51*'Data Base'!$W$51,IF(B15='Data Base'!$V$52,O15/'Data Base'!$X$52*'Data Base'!$W$52,IF(B15='Data Base'!$V$53,(IF(O15*'Data Base'!$W$53&gt;2,2,O15*'Data Base'!$W$53)),IF(B15='Data Base'!$V$54,(IF(O15*'Data Base'!$W$54&gt;1,1,O15*'Data Base'!$W$54)),IF(B15='Data Base'!$V$55,O15*'Data Base'!$W$55,IF(B15='Data Base'!$V$56,O15*'Data Base'!$W$56,""))))))))))))</f>
        <v/>
      </c>
      <c r="R15" s="842"/>
      <c r="S15" s="770"/>
      <c r="T15" s="1217"/>
      <c r="U15" s="1218"/>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63.75" customHeight="1">
      <c r="A16" s="152">
        <v>11</v>
      </c>
      <c r="B16" s="1157"/>
      <c r="C16" s="1157"/>
      <c r="D16" s="1157"/>
      <c r="E16" s="1157"/>
      <c r="F16" s="1157"/>
      <c r="G16" s="1157"/>
      <c r="H16" s="1157"/>
      <c r="I16" s="1157"/>
      <c r="J16" s="1157"/>
      <c r="K16" s="1157"/>
      <c r="L16" s="1157"/>
      <c r="M16" s="1157"/>
      <c r="N16" s="1157"/>
      <c r="O16" s="60"/>
      <c r="P16" s="877" t="str">
        <f>IF(B16='Data Base'!$V$46,'Data Base'!$Y$46,IF(B16='Data Base'!$V$47,'Data Base'!$Y$47,IF(B16='Data Base'!$V$48,'Data Base'!$Y$48,IF(B16='Data Base'!$V$49,'Data Base'!$Y$49,IF(B16='Data Base'!$V$50,'Data Base'!$Y$50,IF(B16='Data Base'!$V$51,'Data Base'!$Y$51,IF(B16='Data Base'!$V$52,'Data Base'!$Y$52,IF(B16='Data Base'!$V$53,'Data Base'!$Y$53,IF(B16='Data Base'!$V$54,'Data Base'!$Y$54,IF(B16='Data Base'!$V$55,O16*'Data Base'!$Y$55,IF(B16='Data Base'!$V$56,O16*'Data Base'!$Y$56,"")))))))))))</f>
        <v/>
      </c>
      <c r="Q16" s="809" t="str">
        <f>IF(R16='Data Base'!$Q$79,0,IF(B16='Data Base'!$V$46,O16*'Data Base'!$W$46,IF(B16='Data Base'!$V$47,O16*'Data Base'!$W$47,IF(B16='Data Base'!$V$48,O16*'Data Base'!$W$48,IF(B16='Data Base'!$V$49,O16/'Data Base'!$X$49*'Data Base'!$W$49,IF(B16='Data Base'!$V$50,O16/'Data Base'!$X$50*'Data Base'!$W$50,IF(B16='Data Base'!$V$51,O16/'Data Base'!$X$51*'Data Base'!$W$51,IF(B16='Data Base'!$V$52,O16/'Data Base'!$X$52*'Data Base'!$W$52,IF(B16='Data Base'!$V$53,(IF(O16*'Data Base'!$W$53&gt;2,2,O16*'Data Base'!$W$53)),IF(B16='Data Base'!$V$54,(IF(O16*'Data Base'!$W$54&gt;1,1,O16*'Data Base'!$W$54)),IF(B16='Data Base'!$V$55,O16*'Data Base'!$W$55,IF(B16='Data Base'!$V$56,O16*'Data Base'!$W$56,""))))))))))))</f>
        <v/>
      </c>
      <c r="R16" s="842"/>
      <c r="S16" s="770"/>
      <c r="T16" s="1217"/>
      <c r="U16" s="1218"/>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63.75" customHeight="1">
      <c r="A17" s="152">
        <v>12</v>
      </c>
      <c r="B17" s="1157"/>
      <c r="C17" s="1157"/>
      <c r="D17" s="1157"/>
      <c r="E17" s="1157"/>
      <c r="F17" s="1157"/>
      <c r="G17" s="1157"/>
      <c r="H17" s="1157"/>
      <c r="I17" s="1157"/>
      <c r="J17" s="1157"/>
      <c r="K17" s="1157"/>
      <c r="L17" s="1157"/>
      <c r="M17" s="1157"/>
      <c r="N17" s="1157"/>
      <c r="O17" s="60"/>
      <c r="P17" s="877" t="str">
        <f>IF(B17='Data Base'!$V$46,'Data Base'!$Y$46,IF(B17='Data Base'!$V$47,'Data Base'!$Y$47,IF(B17='Data Base'!$V$48,'Data Base'!$Y$48,IF(B17='Data Base'!$V$49,'Data Base'!$Y$49,IF(B17='Data Base'!$V$50,'Data Base'!$Y$50,IF(B17='Data Base'!$V$51,'Data Base'!$Y$51,IF(B17='Data Base'!$V$52,'Data Base'!$Y$52,IF(B17='Data Base'!$V$53,'Data Base'!$Y$53,IF(B17='Data Base'!$V$54,'Data Base'!$Y$54,IF(B17='Data Base'!$V$55,O17*'Data Base'!$Y$55,IF(B17='Data Base'!$V$56,O17*'Data Base'!$Y$56,"")))))))))))</f>
        <v/>
      </c>
      <c r="Q17" s="809" t="str">
        <f>IF(R17='Data Base'!$Q$79,0,IF(B17='Data Base'!$V$46,O17*'Data Base'!$W$46,IF(B17='Data Base'!$V$47,O17*'Data Base'!$W$47,IF(B17='Data Base'!$V$48,O17*'Data Base'!$W$48,IF(B17='Data Base'!$V$49,O17/'Data Base'!$X$49*'Data Base'!$W$49,IF(B17='Data Base'!$V$50,O17/'Data Base'!$X$50*'Data Base'!$W$50,IF(B17='Data Base'!$V$51,O17/'Data Base'!$X$51*'Data Base'!$W$51,IF(B17='Data Base'!$V$52,O17/'Data Base'!$X$52*'Data Base'!$W$52,IF(B17='Data Base'!$V$53,(IF(O17*'Data Base'!$W$53&gt;2,2,O17*'Data Base'!$W$53)),IF(B17='Data Base'!$V$54,(IF(O17*'Data Base'!$W$54&gt;1,1,O17*'Data Base'!$W$54)),IF(B17='Data Base'!$V$55,O17*'Data Base'!$W$55,IF(B17='Data Base'!$V$56,O17*'Data Base'!$W$56,""))))))))))))</f>
        <v/>
      </c>
      <c r="R17" s="842"/>
      <c r="S17" s="770"/>
      <c r="T17" s="1217"/>
      <c r="U17" s="1218"/>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63.75" customHeight="1">
      <c r="A18" s="152">
        <v>13</v>
      </c>
      <c r="B18" s="1157"/>
      <c r="C18" s="1157"/>
      <c r="D18" s="1157"/>
      <c r="E18" s="1157"/>
      <c r="F18" s="1157"/>
      <c r="G18" s="1157"/>
      <c r="H18" s="1157"/>
      <c r="I18" s="1157"/>
      <c r="J18" s="1157"/>
      <c r="K18" s="1157"/>
      <c r="L18" s="1157"/>
      <c r="M18" s="1157"/>
      <c r="N18" s="1157"/>
      <c r="O18" s="60"/>
      <c r="P18" s="877" t="str">
        <f>IF(B18='Data Base'!$V$46,'Data Base'!$Y$46,IF(B18='Data Base'!$V$47,'Data Base'!$Y$47,IF(B18='Data Base'!$V$48,'Data Base'!$Y$48,IF(B18='Data Base'!$V$49,'Data Base'!$Y$49,IF(B18='Data Base'!$V$50,'Data Base'!$Y$50,IF(B18='Data Base'!$V$51,'Data Base'!$Y$51,IF(B18='Data Base'!$V$52,'Data Base'!$Y$52,IF(B18='Data Base'!$V$53,'Data Base'!$Y$53,IF(B18='Data Base'!$V$54,'Data Base'!$Y$54,IF(B18='Data Base'!$V$55,O18*'Data Base'!$Y$55,IF(B18='Data Base'!$V$56,O18*'Data Base'!$Y$56,"")))))))))))</f>
        <v/>
      </c>
      <c r="Q18" s="809" t="str">
        <f>IF(R18='Data Base'!$Q$79,0,IF(B18='Data Base'!$V$46,O18*'Data Base'!$W$46,IF(B18='Data Base'!$V$47,O18*'Data Base'!$W$47,IF(B18='Data Base'!$V$48,O18*'Data Base'!$W$48,IF(B18='Data Base'!$V$49,O18/'Data Base'!$X$49*'Data Base'!$W$49,IF(B18='Data Base'!$V$50,O18/'Data Base'!$X$50*'Data Base'!$W$50,IF(B18='Data Base'!$V$51,O18/'Data Base'!$X$51*'Data Base'!$W$51,IF(B18='Data Base'!$V$52,O18/'Data Base'!$X$52*'Data Base'!$W$52,IF(B18='Data Base'!$V$53,(IF(O18*'Data Base'!$W$53&gt;2,2,O18*'Data Base'!$W$53)),IF(B18='Data Base'!$V$54,(IF(O18*'Data Base'!$W$54&gt;1,1,O18*'Data Base'!$W$54)),IF(B18='Data Base'!$V$55,O18*'Data Base'!$W$55,IF(B18='Data Base'!$V$56,O18*'Data Base'!$W$56,""))))))))))))</f>
        <v/>
      </c>
      <c r="R18" s="842"/>
      <c r="S18" s="770"/>
      <c r="T18" s="1217"/>
      <c r="U18" s="1218"/>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63.75" customHeight="1">
      <c r="A19" s="152">
        <v>14</v>
      </c>
      <c r="B19" s="1157"/>
      <c r="C19" s="1157"/>
      <c r="D19" s="1157"/>
      <c r="E19" s="1157"/>
      <c r="F19" s="1157"/>
      <c r="G19" s="1157"/>
      <c r="H19" s="1157"/>
      <c r="I19" s="1157"/>
      <c r="J19" s="1157"/>
      <c r="K19" s="1157"/>
      <c r="L19" s="1157"/>
      <c r="M19" s="1157"/>
      <c r="N19" s="1157"/>
      <c r="O19" s="60"/>
      <c r="P19" s="877" t="str">
        <f>IF(B19='Data Base'!$V$46,'Data Base'!$Y$46,IF(B19='Data Base'!$V$47,'Data Base'!$Y$47,IF(B19='Data Base'!$V$48,'Data Base'!$Y$48,IF(B19='Data Base'!$V$49,'Data Base'!$Y$49,IF(B19='Data Base'!$V$50,'Data Base'!$Y$50,IF(B19='Data Base'!$V$51,'Data Base'!$Y$51,IF(B19='Data Base'!$V$52,'Data Base'!$Y$52,IF(B19='Data Base'!$V$53,'Data Base'!$Y$53,IF(B19='Data Base'!$V$54,'Data Base'!$Y$54,IF(B19='Data Base'!$V$55,O19*'Data Base'!$Y$55,IF(B19='Data Base'!$V$56,O19*'Data Base'!$Y$56,"")))))))))))</f>
        <v/>
      </c>
      <c r="Q19" s="809" t="str">
        <f>IF(R19='Data Base'!$Q$79,0,IF(B19='Data Base'!$V$46,O19*'Data Base'!$W$46,IF(B19='Data Base'!$V$47,O19*'Data Base'!$W$47,IF(B19='Data Base'!$V$48,O19*'Data Base'!$W$48,IF(B19='Data Base'!$V$49,O19/'Data Base'!$X$49*'Data Base'!$W$49,IF(B19='Data Base'!$V$50,O19/'Data Base'!$X$50*'Data Base'!$W$50,IF(B19='Data Base'!$V$51,O19/'Data Base'!$X$51*'Data Base'!$W$51,IF(B19='Data Base'!$V$52,O19/'Data Base'!$X$52*'Data Base'!$W$52,IF(B19='Data Base'!$V$53,(IF(O19*'Data Base'!$W$53&gt;2,2,O19*'Data Base'!$W$53)),IF(B19='Data Base'!$V$54,(IF(O19*'Data Base'!$W$54&gt;1,1,O19*'Data Base'!$W$54)),IF(B19='Data Base'!$V$55,O19*'Data Base'!$W$55,IF(B19='Data Base'!$V$56,O19*'Data Base'!$W$56,""))))))))))))</f>
        <v/>
      </c>
      <c r="R19" s="842"/>
      <c r="S19" s="770"/>
      <c r="T19" s="1217"/>
      <c r="U19" s="1218"/>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63.75" customHeight="1">
      <c r="A20" s="152">
        <v>15</v>
      </c>
      <c r="B20" s="1157"/>
      <c r="C20" s="1157"/>
      <c r="D20" s="1157"/>
      <c r="E20" s="1157"/>
      <c r="F20" s="1157"/>
      <c r="G20" s="1157"/>
      <c r="H20" s="1157"/>
      <c r="I20" s="1157"/>
      <c r="J20" s="1157"/>
      <c r="K20" s="1157"/>
      <c r="L20" s="1157"/>
      <c r="M20" s="1157"/>
      <c r="N20" s="1157"/>
      <c r="O20" s="60"/>
      <c r="P20" s="877" t="str">
        <f>IF(B20='Data Base'!$V$46,'Data Base'!$Y$46,IF(B20='Data Base'!$V$47,'Data Base'!$Y$47,IF(B20='Data Base'!$V$48,'Data Base'!$Y$48,IF(B20='Data Base'!$V$49,'Data Base'!$Y$49,IF(B20='Data Base'!$V$50,'Data Base'!$Y$50,IF(B20='Data Base'!$V$51,'Data Base'!$Y$51,IF(B20='Data Base'!$V$52,'Data Base'!$Y$52,IF(B20='Data Base'!$V$53,'Data Base'!$Y$53,IF(B20='Data Base'!$V$54,'Data Base'!$Y$54,IF(B20='Data Base'!$V$55,O20*'Data Base'!$Y$55,IF(B20='Data Base'!$V$56,O20*'Data Base'!$Y$56,"")))))))))))</f>
        <v/>
      </c>
      <c r="Q20" s="809" t="str">
        <f>IF(R20='Data Base'!$Q$79,0,IF(B20='Data Base'!$V$46,O20*'Data Base'!$W$46,IF(B20='Data Base'!$V$47,O20*'Data Base'!$W$47,IF(B20='Data Base'!$V$48,O20*'Data Base'!$W$48,IF(B20='Data Base'!$V$49,O20/'Data Base'!$X$49*'Data Base'!$W$49,IF(B20='Data Base'!$V$50,O20/'Data Base'!$X$50*'Data Base'!$W$50,IF(B20='Data Base'!$V$51,O20/'Data Base'!$X$51*'Data Base'!$W$51,IF(B20='Data Base'!$V$52,O20/'Data Base'!$X$52*'Data Base'!$W$52,IF(B20='Data Base'!$V$53,(IF(O20*'Data Base'!$W$53&gt;2,2,O20*'Data Base'!$W$53)),IF(B20='Data Base'!$V$54,(IF(O20*'Data Base'!$W$54&gt;1,1,O20*'Data Base'!$W$54)),IF(B20='Data Base'!$V$55,O20*'Data Base'!$W$55,IF(B20='Data Base'!$V$56,O20*'Data Base'!$W$56,""))))))))))))</f>
        <v/>
      </c>
      <c r="R20" s="842"/>
      <c r="S20" s="770"/>
      <c r="T20" s="1217"/>
      <c r="U20" s="1218"/>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63.75" customHeight="1">
      <c r="A21" s="152">
        <v>16</v>
      </c>
      <c r="B21" s="1157"/>
      <c r="C21" s="1157"/>
      <c r="D21" s="1157"/>
      <c r="E21" s="1157"/>
      <c r="F21" s="1157"/>
      <c r="G21" s="1157"/>
      <c r="H21" s="1157"/>
      <c r="I21" s="1157"/>
      <c r="J21" s="1157"/>
      <c r="K21" s="1157"/>
      <c r="L21" s="1157"/>
      <c r="M21" s="1157"/>
      <c r="N21" s="1157"/>
      <c r="O21" s="60"/>
      <c r="P21" s="877" t="str">
        <f>IF(B21='Data Base'!$V$46,'Data Base'!$Y$46,IF(B21='Data Base'!$V$47,'Data Base'!$Y$47,IF(B21='Data Base'!$V$48,'Data Base'!$Y$48,IF(B21='Data Base'!$V$49,'Data Base'!$Y$49,IF(B21='Data Base'!$V$50,'Data Base'!$Y$50,IF(B21='Data Base'!$V$51,'Data Base'!$Y$51,IF(B21='Data Base'!$V$52,'Data Base'!$Y$52,IF(B21='Data Base'!$V$53,'Data Base'!$Y$53,IF(B21='Data Base'!$V$54,'Data Base'!$Y$54,IF(B21='Data Base'!$V$55,O21*'Data Base'!$Y$55,IF(B21='Data Base'!$V$56,O21*'Data Base'!$Y$56,"")))))))))))</f>
        <v/>
      </c>
      <c r="Q21" s="809" t="str">
        <f>IF(R21='Data Base'!$Q$79,0,IF(B21='Data Base'!$V$46,O21*'Data Base'!$W$46,IF(B21='Data Base'!$V$47,O21*'Data Base'!$W$47,IF(B21='Data Base'!$V$48,O21*'Data Base'!$W$48,IF(B21='Data Base'!$V$49,O21/'Data Base'!$X$49*'Data Base'!$W$49,IF(B21='Data Base'!$V$50,O21/'Data Base'!$X$50*'Data Base'!$W$50,IF(B21='Data Base'!$V$51,O21/'Data Base'!$X$51*'Data Base'!$W$51,IF(B21='Data Base'!$V$52,O21/'Data Base'!$X$52*'Data Base'!$W$52,IF(B21='Data Base'!$V$53,(IF(O21*'Data Base'!$W$53&gt;2,2,O21*'Data Base'!$W$53)),IF(B21='Data Base'!$V$54,(IF(O21*'Data Base'!$W$54&gt;1,1,O21*'Data Base'!$W$54)),IF(B21='Data Base'!$V$55,O21*'Data Base'!$W$55,IF(B21='Data Base'!$V$56,O21*'Data Base'!$W$56,""))))))))))))</f>
        <v/>
      </c>
      <c r="R21" s="842"/>
      <c r="S21" s="770"/>
      <c r="T21" s="1217"/>
      <c r="U21" s="1218"/>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63.75" customHeight="1">
      <c r="A22" s="152">
        <v>17</v>
      </c>
      <c r="B22" s="1157"/>
      <c r="C22" s="1157"/>
      <c r="D22" s="1157"/>
      <c r="E22" s="1157"/>
      <c r="F22" s="1157"/>
      <c r="G22" s="1157"/>
      <c r="H22" s="1157"/>
      <c r="I22" s="1157"/>
      <c r="J22" s="1157"/>
      <c r="K22" s="1157"/>
      <c r="L22" s="1157"/>
      <c r="M22" s="1157"/>
      <c r="N22" s="1157"/>
      <c r="O22" s="60"/>
      <c r="P22" s="877" t="str">
        <f>IF(B22='Data Base'!$V$46,'Data Base'!$Y$46,IF(B22='Data Base'!$V$47,'Data Base'!$Y$47,IF(B22='Data Base'!$V$48,'Data Base'!$Y$48,IF(B22='Data Base'!$V$49,'Data Base'!$Y$49,IF(B22='Data Base'!$V$50,'Data Base'!$Y$50,IF(B22='Data Base'!$V$51,'Data Base'!$Y$51,IF(B22='Data Base'!$V$52,'Data Base'!$Y$52,IF(B22='Data Base'!$V$53,'Data Base'!$Y$53,IF(B22='Data Base'!$V$54,'Data Base'!$Y$54,IF(B22='Data Base'!$V$55,O22*'Data Base'!$Y$55,IF(B22='Data Base'!$V$56,O22*'Data Base'!$Y$56,"")))))))))))</f>
        <v/>
      </c>
      <c r="Q22" s="809" t="str">
        <f>IF(R22='Data Base'!$Q$79,0,IF(B22='Data Base'!$V$46,O22*'Data Base'!$W$46,IF(B22='Data Base'!$V$47,O22*'Data Base'!$W$47,IF(B22='Data Base'!$V$48,O22*'Data Base'!$W$48,IF(B22='Data Base'!$V$49,O22/'Data Base'!$X$49*'Data Base'!$W$49,IF(B22='Data Base'!$V$50,O22/'Data Base'!$X$50*'Data Base'!$W$50,IF(B22='Data Base'!$V$51,O22/'Data Base'!$X$51*'Data Base'!$W$51,IF(B22='Data Base'!$V$52,O22/'Data Base'!$X$52*'Data Base'!$W$52,IF(B22='Data Base'!$V$53,(IF(O22*'Data Base'!$W$53&gt;2,2,O22*'Data Base'!$W$53)),IF(B22='Data Base'!$V$54,(IF(O22*'Data Base'!$W$54&gt;1,1,O22*'Data Base'!$W$54)),IF(B22='Data Base'!$V$55,O22*'Data Base'!$W$55,IF(B22='Data Base'!$V$56,O22*'Data Base'!$W$56,""))))))))))))</f>
        <v/>
      </c>
      <c r="R22" s="842"/>
      <c r="S22" s="770"/>
      <c r="T22" s="1217"/>
      <c r="U22" s="1218"/>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63.75" customHeight="1">
      <c r="A23" s="152">
        <v>18</v>
      </c>
      <c r="B23" s="1157"/>
      <c r="C23" s="1157"/>
      <c r="D23" s="1157"/>
      <c r="E23" s="1157"/>
      <c r="F23" s="1157"/>
      <c r="G23" s="1157"/>
      <c r="H23" s="1157"/>
      <c r="I23" s="1157"/>
      <c r="J23" s="1157"/>
      <c r="K23" s="1157"/>
      <c r="L23" s="1157"/>
      <c r="M23" s="1157"/>
      <c r="N23" s="1157"/>
      <c r="O23" s="60"/>
      <c r="P23" s="877" t="str">
        <f>IF(B23='Data Base'!$V$46,'Data Base'!$Y$46,IF(B23='Data Base'!$V$47,'Data Base'!$Y$47,IF(B23='Data Base'!$V$48,'Data Base'!$Y$48,IF(B23='Data Base'!$V$49,'Data Base'!$Y$49,IF(B23='Data Base'!$V$50,'Data Base'!$Y$50,IF(B23='Data Base'!$V$51,'Data Base'!$Y$51,IF(B23='Data Base'!$V$52,'Data Base'!$Y$52,IF(B23='Data Base'!$V$53,'Data Base'!$Y$53,IF(B23='Data Base'!$V$54,'Data Base'!$Y$54,IF(B23='Data Base'!$V$55,O23*'Data Base'!$Y$55,IF(B23='Data Base'!$V$56,O23*'Data Base'!$Y$56,"")))))))))))</f>
        <v/>
      </c>
      <c r="Q23" s="809" t="str">
        <f>IF(R23='Data Base'!$Q$79,0,IF(B23='Data Base'!$V$46,O23*'Data Base'!$W$46,IF(B23='Data Base'!$V$47,O23*'Data Base'!$W$47,IF(B23='Data Base'!$V$48,O23*'Data Base'!$W$48,IF(B23='Data Base'!$V$49,O23/'Data Base'!$X$49*'Data Base'!$W$49,IF(B23='Data Base'!$V$50,O23/'Data Base'!$X$50*'Data Base'!$W$50,IF(B23='Data Base'!$V$51,O23/'Data Base'!$X$51*'Data Base'!$W$51,IF(B23='Data Base'!$V$52,O23/'Data Base'!$X$52*'Data Base'!$W$52,IF(B23='Data Base'!$V$53,(IF(O23*'Data Base'!$W$53&gt;2,2,O23*'Data Base'!$W$53)),IF(B23='Data Base'!$V$54,(IF(O23*'Data Base'!$W$54&gt;1,1,O23*'Data Base'!$W$54)),IF(B23='Data Base'!$V$55,O23*'Data Base'!$W$55,IF(B23='Data Base'!$V$56,O23*'Data Base'!$W$56,""))))))))))))</f>
        <v/>
      </c>
      <c r="R23" s="842"/>
      <c r="S23" s="770"/>
      <c r="T23" s="1217"/>
      <c r="U23" s="1218"/>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63.75" customHeight="1">
      <c r="A24" s="152">
        <v>19</v>
      </c>
      <c r="B24" s="1157"/>
      <c r="C24" s="1157"/>
      <c r="D24" s="1157"/>
      <c r="E24" s="1157"/>
      <c r="F24" s="1157"/>
      <c r="G24" s="1157"/>
      <c r="H24" s="1157"/>
      <c r="I24" s="1157"/>
      <c r="J24" s="1157"/>
      <c r="K24" s="1157"/>
      <c r="L24" s="1157"/>
      <c r="M24" s="1157"/>
      <c r="N24" s="1157"/>
      <c r="O24" s="60"/>
      <c r="P24" s="877" t="str">
        <f>IF(B24='Data Base'!$V$46,'Data Base'!$Y$46,IF(B24='Data Base'!$V$47,'Data Base'!$Y$47,IF(B24='Data Base'!$V$48,'Data Base'!$Y$48,IF(B24='Data Base'!$V$49,'Data Base'!$Y$49,IF(B24='Data Base'!$V$50,'Data Base'!$Y$50,IF(B24='Data Base'!$V$51,'Data Base'!$Y$51,IF(B24='Data Base'!$V$52,'Data Base'!$Y$52,IF(B24='Data Base'!$V$53,'Data Base'!$Y$53,IF(B24='Data Base'!$V$54,'Data Base'!$Y$54,IF(B24='Data Base'!$V$55,O24*'Data Base'!$Y$55,IF(B24='Data Base'!$V$56,O24*'Data Base'!$Y$56,"")))))))))))</f>
        <v/>
      </c>
      <c r="Q24" s="809" t="str">
        <f>IF(R24='Data Base'!$Q$79,0,IF(B24='Data Base'!$V$46,O24*'Data Base'!$W$46,IF(B24='Data Base'!$V$47,O24*'Data Base'!$W$47,IF(B24='Data Base'!$V$48,O24*'Data Base'!$W$48,IF(B24='Data Base'!$V$49,O24/'Data Base'!$X$49*'Data Base'!$W$49,IF(B24='Data Base'!$V$50,O24/'Data Base'!$X$50*'Data Base'!$W$50,IF(B24='Data Base'!$V$51,O24/'Data Base'!$X$51*'Data Base'!$W$51,IF(B24='Data Base'!$V$52,O24/'Data Base'!$X$52*'Data Base'!$W$52,IF(B24='Data Base'!$V$53,(IF(O24*'Data Base'!$W$53&gt;2,2,O24*'Data Base'!$W$53)),IF(B24='Data Base'!$V$54,(IF(O24*'Data Base'!$W$54&gt;1,1,O24*'Data Base'!$W$54)),IF(B24='Data Base'!$V$55,O24*'Data Base'!$W$55,IF(B24='Data Base'!$V$56,O24*'Data Base'!$W$56,""))))))))))))</f>
        <v/>
      </c>
      <c r="R24" s="842"/>
      <c r="S24" s="770"/>
      <c r="T24" s="1104"/>
      <c r="U24" s="1105"/>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63.75" customHeight="1" thickBot="1">
      <c r="A25" s="794">
        <v>20</v>
      </c>
      <c r="B25" s="1232"/>
      <c r="C25" s="1233"/>
      <c r="D25" s="1233"/>
      <c r="E25" s="1233"/>
      <c r="F25" s="1233"/>
      <c r="G25" s="1233"/>
      <c r="H25" s="1233"/>
      <c r="I25" s="1233"/>
      <c r="J25" s="1233"/>
      <c r="K25" s="1233"/>
      <c r="L25" s="1234"/>
      <c r="M25" s="1160"/>
      <c r="N25" s="1161"/>
      <c r="O25" s="879"/>
      <c r="P25" s="851" t="str">
        <f>IF(B25='Data Base'!$V$46,'Data Base'!$Y$46,IF(B25='Data Base'!$V$47,'Data Base'!$Y$47,IF(B25='Data Base'!$V$48,'Data Base'!$Y$48,IF(B25='Data Base'!$V$49,'Data Base'!$Y$49,IF(B25='Data Base'!$V$50,'Data Base'!$Y$50,IF(B25='Data Base'!$V$51,'Data Base'!$Y$51,IF(B25='Data Base'!$V$52,'Data Base'!$Y$52,IF(B25='Data Base'!$V$53,'Data Base'!$Y$53,IF(B25='Data Base'!$V$54,'Data Base'!$Y$54,IF(B25='Data Base'!$V$55,O25*'Data Base'!$Y$55,IF(B25='Data Base'!$V$56,O25*'Data Base'!$Y$56,"")))))))))))</f>
        <v/>
      </c>
      <c r="Q25" s="813" t="str">
        <f>IF(R25='Data Base'!$Q$79,0,IF(B25='Data Base'!$V$46,O25*'Data Base'!$W$46,IF(B25='Data Base'!$V$47,O25*'Data Base'!$W$47,IF(B25='Data Base'!$V$48,O25*'Data Base'!$W$48,IF(B25='Data Base'!$V$49,O25/'Data Base'!$X$49*'Data Base'!$W$49,IF(B25='Data Base'!$V$50,O25/'Data Base'!$X$50*'Data Base'!$W$50,IF(B25='Data Base'!$V$51,O25/'Data Base'!$X$51*'Data Base'!$W$51,IF(B25='Data Base'!$V$52,O25/'Data Base'!$X$52*'Data Base'!$W$52,IF(B25='Data Base'!$V$53,(IF(O25*'Data Base'!$W$53&gt;2,2,O25*'Data Base'!$W$53)),IF(B25='Data Base'!$V$54,(IF(O25*'Data Base'!$W$54&gt;1,1,O25*'Data Base'!$W$54)),IF(B25='Data Base'!$V$55,O25*'Data Base'!$W$55,IF(B25='Data Base'!$V$56,O25*'Data Base'!$W$56,""))))))))))))</f>
        <v/>
      </c>
      <c r="R25" s="848"/>
      <c r="S25" s="793"/>
      <c r="T25" s="1155"/>
      <c r="U25" s="115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5.5" customHeight="1" thickBot="1">
      <c r="A26" s="1143" t="s">
        <v>270</v>
      </c>
      <c r="B26" s="1144"/>
      <c r="C26" s="1144"/>
      <c r="D26" s="1144"/>
      <c r="E26" s="1144"/>
      <c r="F26" s="1144"/>
      <c r="G26" s="1144"/>
      <c r="H26" s="1144"/>
      <c r="I26" s="1144"/>
      <c r="J26" s="1144"/>
      <c r="K26" s="1144"/>
      <c r="L26" s="215">
        <f>SUM(Q6:Q25)</f>
        <v>0</v>
      </c>
      <c r="M26" s="1188" t="s">
        <v>844</v>
      </c>
      <c r="N26" s="1188"/>
      <c r="O26" s="1188"/>
      <c r="P26" s="1188"/>
      <c r="Q26" s="1189"/>
      <c r="R26" s="807">
        <f>IF(L26&gt;8,8,L26)</f>
        <v>0</v>
      </c>
      <c r="S26" s="807">
        <f>IF(SUM(S6:S25)&gt;8,8,SUM(S6:S25))</f>
        <v>0</v>
      </c>
      <c r="T26" s="1102"/>
      <c r="U26" s="1103"/>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7.75" customHeight="1">
      <c r="A27" s="1148" t="s">
        <v>31</v>
      </c>
      <c r="B27" s="1149"/>
      <c r="C27" s="1149"/>
      <c r="D27" s="1149"/>
      <c r="E27" s="1149"/>
      <c r="F27" s="1149"/>
      <c r="G27" s="1149"/>
      <c r="H27" s="1149"/>
      <c r="I27" s="1149"/>
      <c r="J27" s="1149"/>
      <c r="K27" s="1149"/>
      <c r="L27" s="1149" t="s">
        <v>572</v>
      </c>
      <c r="M27" s="1149"/>
      <c r="N27" s="1149"/>
      <c r="O27" s="1149"/>
      <c r="P27" s="1149"/>
      <c r="Q27" s="1149"/>
      <c r="R27" s="1149"/>
      <c r="S27" s="1149"/>
      <c r="T27" s="1149"/>
      <c r="U27" s="115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27.75" customHeight="1" thickBot="1">
      <c r="A28" s="1151">
        <f>'فرم الف'!A27</f>
        <v>0</v>
      </c>
      <c r="B28" s="1231"/>
      <c r="C28" s="1231"/>
      <c r="D28" s="1231"/>
      <c r="E28" s="1231"/>
      <c r="F28" s="1231"/>
      <c r="G28" s="1231"/>
      <c r="H28" s="1231"/>
      <c r="I28" s="1231"/>
      <c r="J28" s="1231"/>
      <c r="K28" s="1231"/>
      <c r="L28" s="1153" t="str">
        <f>'Data Base'!N32</f>
        <v>حميدرضا طاهري تربتي</v>
      </c>
      <c r="M28" s="1153"/>
      <c r="N28" s="1153"/>
      <c r="O28" s="1153"/>
      <c r="P28" s="1153"/>
      <c r="Q28" s="1153"/>
      <c r="R28" s="1153"/>
      <c r="S28" s="1153"/>
      <c r="T28" s="1153"/>
      <c r="U28" s="115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sheet="1" objects="1" scenarios="1" formatRows="0"/>
  <mergeCells count="88">
    <mergeCell ref="Q4:U4"/>
    <mergeCell ref="T9:U9"/>
    <mergeCell ref="T10:U10"/>
    <mergeCell ref="T21:U21"/>
    <mergeCell ref="T13:U13"/>
    <mergeCell ref="T20:U20"/>
    <mergeCell ref="T18:U18"/>
    <mergeCell ref="T22:U22"/>
    <mergeCell ref="T24:U24"/>
    <mergeCell ref="T23:U23"/>
    <mergeCell ref="A28:K28"/>
    <mergeCell ref="L28:U28"/>
    <mergeCell ref="A26:K26"/>
    <mergeCell ref="M26:Q26"/>
    <mergeCell ref="T25:U25"/>
    <mergeCell ref="T26:U26"/>
    <mergeCell ref="A27:K27"/>
    <mergeCell ref="L27:U27"/>
    <mergeCell ref="B24:L24"/>
    <mergeCell ref="B23:L23"/>
    <mergeCell ref="M23:N23"/>
    <mergeCell ref="M24:N24"/>
    <mergeCell ref="B25:L25"/>
    <mergeCell ref="B13:L13"/>
    <mergeCell ref="M13:N13"/>
    <mergeCell ref="T11:U11"/>
    <mergeCell ref="T12:U12"/>
    <mergeCell ref="T5:U5"/>
    <mergeCell ref="T6:U6"/>
    <mergeCell ref="I5:L5"/>
    <mergeCell ref="B11:L11"/>
    <mergeCell ref="M11:N11"/>
    <mergeCell ref="B12:L12"/>
    <mergeCell ref="M12:N12"/>
    <mergeCell ref="B9:L9"/>
    <mergeCell ref="M9:N9"/>
    <mergeCell ref="B10:L10"/>
    <mergeCell ref="M10:N10"/>
    <mergeCell ref="P4:P5"/>
    <mergeCell ref="A3:R3"/>
    <mergeCell ref="S3:U3"/>
    <mergeCell ref="A4:A5"/>
    <mergeCell ref="T7:U7"/>
    <mergeCell ref="T8:U8"/>
    <mergeCell ref="B7:L7"/>
    <mergeCell ref="M7:N7"/>
    <mergeCell ref="B8:L8"/>
    <mergeCell ref="M8:N8"/>
    <mergeCell ref="B4:L4"/>
    <mergeCell ref="M4:N5"/>
    <mergeCell ref="B6:L6"/>
    <mergeCell ref="M6:N6"/>
    <mergeCell ref="O4:O5"/>
    <mergeCell ref="B5:D5"/>
    <mergeCell ref="E5:H5"/>
    <mergeCell ref="A1:B2"/>
    <mergeCell ref="C1:G1"/>
    <mergeCell ref="H1:L1"/>
    <mergeCell ref="M1:P1"/>
    <mergeCell ref="Q1:U1"/>
    <mergeCell ref="C2:G2"/>
    <mergeCell ref="H2:L2"/>
    <mergeCell ref="M2:P2"/>
    <mergeCell ref="Q2:U2"/>
    <mergeCell ref="M16:N16"/>
    <mergeCell ref="T15:U15"/>
    <mergeCell ref="B15:L15"/>
    <mergeCell ref="M15:N15"/>
    <mergeCell ref="T14:U14"/>
    <mergeCell ref="B14:L14"/>
    <mergeCell ref="M14:N14"/>
    <mergeCell ref="T16:U16"/>
    <mergeCell ref="B16:L16"/>
    <mergeCell ref="B20:L20"/>
    <mergeCell ref="M20:N20"/>
    <mergeCell ref="T19:U19"/>
    <mergeCell ref="B19:L19"/>
    <mergeCell ref="M19:N19"/>
    <mergeCell ref="B18:L18"/>
    <mergeCell ref="M18:N18"/>
    <mergeCell ref="T17:U17"/>
    <mergeCell ref="B17:L17"/>
    <mergeCell ref="M17:N17"/>
    <mergeCell ref="M25:N25"/>
    <mergeCell ref="B21:L21"/>
    <mergeCell ref="M21:N21"/>
    <mergeCell ref="B22:L22"/>
    <mergeCell ref="M22:N22"/>
  </mergeCells>
  <conditionalFormatting sqref="O6 B6">
    <cfRule type="containsBlanks" dxfId="225" priority="16">
      <formula>LEN(TRIM(B6))=0</formula>
    </cfRule>
  </conditionalFormatting>
  <conditionalFormatting sqref="O7:O25 B11:B25">
    <cfRule type="containsBlanks" dxfId="224" priority="11">
      <formula>LEN(TRIM(B7))=0</formula>
    </cfRule>
  </conditionalFormatting>
  <conditionalFormatting sqref="M6">
    <cfRule type="containsBlanks" dxfId="223" priority="10">
      <formula>LEN(TRIM(M6))=0</formula>
    </cfRule>
  </conditionalFormatting>
  <conditionalFormatting sqref="P6:P25">
    <cfRule type="containsBlanks" dxfId="222" priority="9">
      <formula>LEN(TRIM(P6))=0</formula>
    </cfRule>
  </conditionalFormatting>
  <conditionalFormatting sqref="M7:M25">
    <cfRule type="containsBlanks" dxfId="221" priority="8">
      <formula>LEN(TRIM(M7))=0</formula>
    </cfRule>
  </conditionalFormatting>
  <conditionalFormatting sqref="B7">
    <cfRule type="containsBlanks" dxfId="220" priority="6">
      <formula>LEN(TRIM(B7))=0</formula>
    </cfRule>
  </conditionalFormatting>
  <conditionalFormatting sqref="B8">
    <cfRule type="containsBlanks" dxfId="219" priority="5">
      <formula>LEN(TRIM(B8))=0</formula>
    </cfRule>
  </conditionalFormatting>
  <conditionalFormatting sqref="B9">
    <cfRule type="containsBlanks" dxfId="218" priority="4">
      <formula>LEN(TRIM(B9))=0</formula>
    </cfRule>
  </conditionalFormatting>
  <conditionalFormatting sqref="B10">
    <cfRule type="containsBlanks" dxfId="217" priority="3">
      <formula>LEN(TRIM(B10))=0</formula>
    </cfRule>
  </conditionalFormatting>
  <dataValidations count="2">
    <dataValidation type="decimal" allowBlank="1" showInputMessage="1" showErrorMessage="1" errorTitle="خطا در ورود امتياز" error="لطفا يك عدد بين صفر و 4 وارد نماييد" promptTitle="توجه:" prompt="حداكثر امتياز در واحد كار تا 4 امتياز" sqref="S6:S25">
      <formula1>0</formula1>
      <formula2>4</formula2>
    </dataValidation>
    <dataValidation type="whole" operator="greaterThan" allowBlank="1" showInputMessage="1" showErrorMessage="1" errorTitle="توجه:" error="با سلام، لطفا یک عدد وارد نمایید" sqref="O6:O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Base'!$V$46:$V$56</xm:f>
          </x14:formula1>
          <xm:sqref>B6:B25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R8" sqref="R8"/>
    </sheetView>
  </sheetViews>
  <sheetFormatPr defaultColWidth="9.140625" defaultRowHeight="15"/>
  <cols>
    <col min="1" max="1" width="2.85546875" style="11" customWidth="1"/>
    <col min="2" max="2" width="3.7109375" style="11" customWidth="1"/>
    <col min="3" max="6" width="5.42578125" style="11" customWidth="1"/>
    <col min="7" max="7" width="8.85546875" style="11" customWidth="1"/>
    <col min="8" max="9" width="7.140625" style="11" customWidth="1"/>
    <col min="10" max="13" width="5.140625" style="11" customWidth="1"/>
    <col min="14" max="14" width="7.42578125" style="11" customWidth="1"/>
    <col min="15" max="15" width="7.5703125" style="11" customWidth="1"/>
    <col min="16" max="16" width="6.85546875" style="11" customWidth="1"/>
    <col min="17" max="17" width="9.140625" style="11" customWidth="1"/>
    <col min="18" max="19" width="8.140625" style="11" customWidth="1"/>
    <col min="20" max="21" width="5.140625" style="11" customWidth="1"/>
    <col min="22"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5"/>
      <c r="J2" s="1095"/>
      <c r="K2" s="1095"/>
      <c r="L2" s="1095"/>
      <c r="M2" s="1092">
        <f>'فرم الف'!J15</f>
        <v>0</v>
      </c>
      <c r="N2" s="1095"/>
      <c r="O2" s="1095"/>
      <c r="P2" s="1095"/>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239" t="s">
        <v>577</v>
      </c>
      <c r="B3" s="1239"/>
      <c r="C3" s="1240"/>
      <c r="D3" s="1240"/>
      <c r="E3" s="1240"/>
      <c r="F3" s="1240"/>
      <c r="G3" s="1240"/>
      <c r="H3" s="1240"/>
      <c r="I3" s="1240"/>
      <c r="J3" s="1240"/>
      <c r="K3" s="1240"/>
      <c r="L3" s="1240"/>
      <c r="M3" s="1240"/>
      <c r="N3" s="1240"/>
      <c r="O3" s="1240"/>
      <c r="P3" s="1240"/>
      <c r="Q3" s="1240"/>
      <c r="R3" s="1240"/>
      <c r="S3" s="1119" t="s">
        <v>578</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557</v>
      </c>
      <c r="C4" s="1130"/>
      <c r="D4" s="1130"/>
      <c r="E4" s="1130"/>
      <c r="F4" s="1130"/>
      <c r="G4" s="1130"/>
      <c r="H4" s="1130"/>
      <c r="I4" s="1136"/>
      <c r="J4" s="1122" t="s">
        <v>583</v>
      </c>
      <c r="K4" s="1136"/>
      <c r="L4" s="1122" t="s">
        <v>582</v>
      </c>
      <c r="M4" s="1136"/>
      <c r="N4" s="1136" t="s">
        <v>581</v>
      </c>
      <c r="O4" s="1130" t="s">
        <v>579</v>
      </c>
      <c r="P4" s="1130"/>
      <c r="Q4" s="1136"/>
      <c r="R4" s="1133" t="s">
        <v>13</v>
      </c>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121"/>
      <c r="B5" s="1131"/>
      <c r="C5" s="1132"/>
      <c r="D5" s="1132"/>
      <c r="E5" s="1132"/>
      <c r="F5" s="1132"/>
      <c r="G5" s="1132"/>
      <c r="H5" s="1132"/>
      <c r="I5" s="1137"/>
      <c r="J5" s="1131"/>
      <c r="K5" s="1137"/>
      <c r="L5" s="1131"/>
      <c r="M5" s="1137"/>
      <c r="N5" s="1137"/>
      <c r="O5" s="1132"/>
      <c r="P5" s="1132"/>
      <c r="Q5" s="1137"/>
      <c r="R5" s="825" t="s">
        <v>1163</v>
      </c>
      <c r="S5" s="825" t="s">
        <v>1174</v>
      </c>
      <c r="T5" s="1212" t="s">
        <v>18</v>
      </c>
      <c r="U5" s="1235"/>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5.25" customHeight="1">
      <c r="A6" s="151">
        <v>1</v>
      </c>
      <c r="B6" s="1236" t="s">
        <v>1302</v>
      </c>
      <c r="C6" s="1237"/>
      <c r="D6" s="1237"/>
      <c r="E6" s="1237"/>
      <c r="F6" s="1237"/>
      <c r="G6" s="1237"/>
      <c r="H6" s="1237"/>
      <c r="I6" s="1238"/>
      <c r="J6" s="1236"/>
      <c r="K6" s="1238"/>
      <c r="L6" s="1236"/>
      <c r="M6" s="1238"/>
      <c r="N6" s="853"/>
      <c r="O6" s="1236"/>
      <c r="P6" s="1237"/>
      <c r="Q6" s="1238"/>
      <c r="R6" s="175"/>
      <c r="S6" s="772"/>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5.25" customHeight="1">
      <c r="A7" s="152">
        <v>2</v>
      </c>
      <c r="B7" s="1241" t="s">
        <v>1303</v>
      </c>
      <c r="C7" s="1243"/>
      <c r="D7" s="1243"/>
      <c r="E7" s="1243"/>
      <c r="F7" s="1243"/>
      <c r="G7" s="1243"/>
      <c r="H7" s="1243"/>
      <c r="I7" s="1242"/>
      <c r="J7" s="1241"/>
      <c r="K7" s="1242"/>
      <c r="L7" s="1241"/>
      <c r="M7" s="1242"/>
      <c r="N7" s="854"/>
      <c r="O7" s="1241"/>
      <c r="P7" s="1243"/>
      <c r="Q7" s="1242"/>
      <c r="R7" s="34"/>
      <c r="S7" s="770"/>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5.25" customHeight="1" thickBot="1">
      <c r="A8" s="152">
        <v>3</v>
      </c>
      <c r="B8" s="1241" t="s">
        <v>1304</v>
      </c>
      <c r="C8" s="1243"/>
      <c r="D8" s="1243"/>
      <c r="E8" s="1243"/>
      <c r="F8" s="1243"/>
      <c r="G8" s="1243"/>
      <c r="H8" s="1243"/>
      <c r="I8" s="1242"/>
      <c r="J8" s="1241"/>
      <c r="K8" s="1242"/>
      <c r="L8" s="1241"/>
      <c r="M8" s="1242"/>
      <c r="N8" s="854"/>
      <c r="O8" s="1241"/>
      <c r="P8" s="1243"/>
      <c r="Q8" s="1242"/>
      <c r="R8" s="34"/>
      <c r="S8" s="770"/>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14.25" hidden="1" customHeight="1" thickBot="1">
      <c r="A9" s="152">
        <v>4</v>
      </c>
      <c r="B9" s="1202"/>
      <c r="C9" s="1203"/>
      <c r="D9" s="1203"/>
      <c r="E9" s="1203"/>
      <c r="F9" s="1203"/>
      <c r="G9" s="1203"/>
      <c r="H9" s="1203"/>
      <c r="I9" s="1204"/>
      <c r="J9" s="1202"/>
      <c r="K9" s="1204"/>
      <c r="L9" s="1202"/>
      <c r="M9" s="1204"/>
      <c r="N9" s="59"/>
      <c r="O9" s="1202"/>
      <c r="P9" s="1203"/>
      <c r="Q9" s="1204"/>
      <c r="R9" s="770"/>
      <c r="S9" s="770"/>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8.5" hidden="1" customHeight="1" thickBot="1">
      <c r="A10" s="152">
        <v>5</v>
      </c>
      <c r="B10" s="1202"/>
      <c r="C10" s="1203"/>
      <c r="D10" s="1203"/>
      <c r="E10" s="1203"/>
      <c r="F10" s="1203"/>
      <c r="G10" s="1203"/>
      <c r="H10" s="1203"/>
      <c r="I10" s="1204"/>
      <c r="J10" s="1202"/>
      <c r="K10" s="1204"/>
      <c r="L10" s="1202"/>
      <c r="M10" s="1204"/>
      <c r="N10" s="59"/>
      <c r="O10" s="1202"/>
      <c r="P10" s="1203"/>
      <c r="Q10" s="1204"/>
      <c r="R10" s="770"/>
      <c r="S10" s="770"/>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8.5" hidden="1" customHeight="1" thickBot="1">
      <c r="A11" s="152">
        <v>6</v>
      </c>
      <c r="B11" s="1202"/>
      <c r="C11" s="1203"/>
      <c r="D11" s="1203"/>
      <c r="E11" s="1203"/>
      <c r="F11" s="1203"/>
      <c r="G11" s="1203"/>
      <c r="H11" s="1203"/>
      <c r="I11" s="1204"/>
      <c r="J11" s="1202"/>
      <c r="K11" s="1204"/>
      <c r="L11" s="1202"/>
      <c r="M11" s="1204"/>
      <c r="N11" s="59"/>
      <c r="O11" s="1202"/>
      <c r="P11" s="1203"/>
      <c r="Q11" s="1204"/>
      <c r="R11" s="770"/>
      <c r="S11" s="770"/>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8.25" hidden="1" customHeight="1" thickBot="1">
      <c r="A12" s="152">
        <v>7</v>
      </c>
      <c r="B12" s="1202"/>
      <c r="C12" s="1203"/>
      <c r="D12" s="1203"/>
      <c r="E12" s="1203"/>
      <c r="F12" s="1203"/>
      <c r="G12" s="1203"/>
      <c r="H12" s="1203"/>
      <c r="I12" s="1204"/>
      <c r="J12" s="1202"/>
      <c r="K12" s="1204"/>
      <c r="L12" s="1202"/>
      <c r="M12" s="1204"/>
      <c r="N12" s="59"/>
      <c r="O12" s="1202"/>
      <c r="P12" s="1203"/>
      <c r="Q12" s="1204"/>
      <c r="R12" s="770"/>
      <c r="S12" s="770"/>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hidden="1" customHeight="1" thickBot="1">
      <c r="A13" s="152">
        <v>8</v>
      </c>
      <c r="B13" s="1202"/>
      <c r="C13" s="1203"/>
      <c r="D13" s="1203"/>
      <c r="E13" s="1203"/>
      <c r="F13" s="1203"/>
      <c r="G13" s="1203"/>
      <c r="H13" s="1203"/>
      <c r="I13" s="1204"/>
      <c r="J13" s="1202"/>
      <c r="K13" s="1204"/>
      <c r="L13" s="1202"/>
      <c r="M13" s="1204"/>
      <c r="N13" s="59"/>
      <c r="O13" s="1202"/>
      <c r="P13" s="1203"/>
      <c r="Q13" s="1204"/>
      <c r="R13" s="770"/>
      <c r="S13" s="770"/>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8.5" hidden="1" customHeight="1" thickBot="1">
      <c r="A14" s="152">
        <v>9</v>
      </c>
      <c r="B14" s="1202"/>
      <c r="C14" s="1203"/>
      <c r="D14" s="1203"/>
      <c r="E14" s="1203"/>
      <c r="F14" s="1203"/>
      <c r="G14" s="1203"/>
      <c r="H14" s="1203"/>
      <c r="I14" s="1204"/>
      <c r="J14" s="1202"/>
      <c r="K14" s="1204"/>
      <c r="L14" s="1202"/>
      <c r="M14" s="1204"/>
      <c r="N14" s="59"/>
      <c r="O14" s="1202"/>
      <c r="P14" s="1203"/>
      <c r="Q14" s="1204"/>
      <c r="R14" s="770"/>
      <c r="S14" s="770"/>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8.5" hidden="1" customHeight="1" thickBot="1">
      <c r="A15" s="775">
        <v>10</v>
      </c>
      <c r="B15" s="1244"/>
      <c r="C15" s="1245"/>
      <c r="D15" s="1245"/>
      <c r="E15" s="1245"/>
      <c r="F15" s="1245"/>
      <c r="G15" s="1245"/>
      <c r="H15" s="1245"/>
      <c r="I15" s="1246"/>
      <c r="J15" s="1244"/>
      <c r="K15" s="1246"/>
      <c r="L15" s="1244"/>
      <c r="M15" s="1246"/>
      <c r="N15" s="852"/>
      <c r="O15" s="1244"/>
      <c r="P15" s="1245"/>
      <c r="Q15" s="1246"/>
      <c r="R15" s="786"/>
      <c r="S15" s="786"/>
      <c r="T15" s="1158"/>
      <c r="U15" s="1159"/>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270</v>
      </c>
      <c r="B16" s="1144"/>
      <c r="C16" s="1144"/>
      <c r="D16" s="1144"/>
      <c r="E16" s="1144"/>
      <c r="F16" s="1144"/>
      <c r="G16" s="1144"/>
      <c r="H16" s="1144"/>
      <c r="I16" s="1144"/>
      <c r="J16" s="1144"/>
      <c r="K16" s="1144"/>
      <c r="L16" s="215">
        <f>SUM(R6:R8)</f>
        <v>0</v>
      </c>
      <c r="M16" s="1188" t="s">
        <v>844</v>
      </c>
      <c r="N16" s="1188"/>
      <c r="O16" s="1188"/>
      <c r="P16" s="1188"/>
      <c r="Q16" s="1189"/>
      <c r="R16" s="759">
        <f>IF(L16&gt;5,5,L16)</f>
        <v>0</v>
      </c>
      <c r="S16" s="759">
        <f>IF(SUM(S6:S8)&gt;5,5,SUM(S6:S8))</f>
        <v>0</v>
      </c>
      <c r="T16" s="1102"/>
      <c r="U16" s="110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6" customHeight="1">
      <c r="A19" s="1096" t="s">
        <v>591</v>
      </c>
      <c r="B19" s="1097"/>
      <c r="C19" s="1097"/>
      <c r="D19" s="1097"/>
      <c r="E19" s="1097"/>
      <c r="F19" s="1097"/>
      <c r="G19" s="1097"/>
      <c r="H19" s="1097"/>
      <c r="I19" s="1097"/>
      <c r="J19" s="1097"/>
      <c r="K19" s="1097"/>
      <c r="L19" s="1097"/>
      <c r="M19" s="1097"/>
      <c r="N19" s="1097"/>
      <c r="O19" s="1097"/>
      <c r="P19" s="1097"/>
      <c r="Q19" s="1097"/>
      <c r="R19" s="1097"/>
      <c r="S19" s="1097"/>
      <c r="T19" s="1097"/>
      <c r="U19" s="1097"/>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DW3wFrTKHCSPSZF2HS7WBlot6QLeDSoC0WTbc7LUcdk8+lMFuAZvgIV/qBTWNFAv28FaERTmqxD8D+N3dds5/g==" saltValue="S4oM6RR6Xmuv6mgfV751UQ==" spinCount="100000" sheet="1" objects="1" scenarios="1" formatCells="0" formatRows="0" selectLockedCells="1"/>
  <mergeCells count="77">
    <mergeCell ref="B14:I14"/>
    <mergeCell ref="J14:K14"/>
    <mergeCell ref="L14:M14"/>
    <mergeCell ref="B15:I15"/>
    <mergeCell ref="J15:K15"/>
    <mergeCell ref="L15:M15"/>
    <mergeCell ref="A18:K18"/>
    <mergeCell ref="L18:U18"/>
    <mergeCell ref="A19:U19"/>
    <mergeCell ref="B4:I5"/>
    <mergeCell ref="N4:N5"/>
    <mergeCell ref="L4:M5"/>
    <mergeCell ref="J4:K5"/>
    <mergeCell ref="B6:I6"/>
    <mergeCell ref="J6:K6"/>
    <mergeCell ref="L6:M6"/>
    <mergeCell ref="T15:U15"/>
    <mergeCell ref="T16:U16"/>
    <mergeCell ref="A17:K17"/>
    <mergeCell ref="L17:U17"/>
    <mergeCell ref="A16:K16"/>
    <mergeCell ref="B11:I11"/>
    <mergeCell ref="M16:Q16"/>
    <mergeCell ref="O15:Q15"/>
    <mergeCell ref="T13:U13"/>
    <mergeCell ref="O14:Q14"/>
    <mergeCell ref="T14:U14"/>
    <mergeCell ref="T11:U11"/>
    <mergeCell ref="O12:Q12"/>
    <mergeCell ref="T12:U12"/>
    <mergeCell ref="O11:Q11"/>
    <mergeCell ref="B13:I13"/>
    <mergeCell ref="J13:K13"/>
    <mergeCell ref="O13:Q13"/>
    <mergeCell ref="L13:M13"/>
    <mergeCell ref="J11:K11"/>
    <mergeCell ref="L11:M11"/>
    <mergeCell ref="B12:I12"/>
    <mergeCell ref="J12:K12"/>
    <mergeCell ref="L12:M12"/>
    <mergeCell ref="O10:Q10"/>
    <mergeCell ref="T10:U10"/>
    <mergeCell ref="B10:I10"/>
    <mergeCell ref="J10:K10"/>
    <mergeCell ref="O9:Q9"/>
    <mergeCell ref="B9:I9"/>
    <mergeCell ref="J9:K9"/>
    <mergeCell ref="L9:M9"/>
    <mergeCell ref="L10:M10"/>
    <mergeCell ref="L7:M7"/>
    <mergeCell ref="B8:I8"/>
    <mergeCell ref="J8:K8"/>
    <mergeCell ref="L8:M8"/>
    <mergeCell ref="T9:U9"/>
    <mergeCell ref="T7:U7"/>
    <mergeCell ref="O8:Q8"/>
    <mergeCell ref="T8:U8"/>
    <mergeCell ref="B7:I7"/>
    <mergeCell ref="J7:K7"/>
    <mergeCell ref="O7:Q7"/>
    <mergeCell ref="T5:U5"/>
    <mergeCell ref="O6:Q6"/>
    <mergeCell ref="T6:U6"/>
    <mergeCell ref="A3:R3"/>
    <mergeCell ref="S3:U3"/>
    <mergeCell ref="A4:A5"/>
    <mergeCell ref="O4:Q5"/>
    <mergeCell ref="R4:U4"/>
    <mergeCell ref="A1:B2"/>
    <mergeCell ref="C1:G1"/>
    <mergeCell ref="H1:L1"/>
    <mergeCell ref="M1:P1"/>
    <mergeCell ref="Q1:U1"/>
    <mergeCell ref="C2:G2"/>
    <mergeCell ref="H2:L2"/>
    <mergeCell ref="M2:P2"/>
    <mergeCell ref="Q2:U2"/>
  </mergeCells>
  <conditionalFormatting sqref="B6:Q6">
    <cfRule type="containsBlanks" dxfId="216" priority="3">
      <formula>LEN(TRIM(B6))=0</formula>
    </cfRule>
  </conditionalFormatting>
  <conditionalFormatting sqref="B7:Q15">
    <cfRule type="containsBlanks" dxfId="215" priority="1">
      <formula>LEN(TRIM(B7))=0</formula>
    </cfRule>
  </conditionalFormatting>
  <dataValidations count="4">
    <dataValidation type="decimal" allowBlank="1" showInputMessage="1" showErrorMessage="1" errorTitle="توجه:" error="لطفا یک عدد بین 0 تا 5 وارد نمایید" sqref="S6:S15 R9:R15">
      <formula1>0</formula1>
      <formula2>5</formula2>
    </dataValidation>
    <dataValidation type="decimal" allowBlank="1" showInputMessage="1" showErrorMessage="1" errorTitle="توجه:" error="لطفا یک عدد بین 0 تا 2 وارد نمایید" promptTitle="توجه:" prompt="حداکثر 2 امتیاز در بند " sqref="R7">
      <formula1>0</formula1>
      <formula2>2</formula2>
    </dataValidation>
    <dataValidation type="decimal" allowBlank="1" showInputMessage="1" showErrorMessage="1" errorTitle="توجه:" error="لطفا یک عدد بین 0 تا 3 وارد نمایید" promptTitle="توجه:" prompt="حداکثر 3 امتیاز در بند " sqref="R8">
      <formula1>0</formula1>
      <formula2>3</formula2>
    </dataValidation>
    <dataValidation type="decimal" allowBlank="1" showInputMessage="1" showErrorMessage="1" errorTitle="توجه:" error="لطفا یک عدد بین 0 تا 2 وارد نمایید" promptTitle="توجه:" prompt="حداکثر 2 امتیاز در بند " sqref="R6">
      <formula1>0</formula1>
      <formula2>2</formula2>
    </dataValidation>
  </dataValidations>
  <printOptions horizontalCentered="1" verticalCentered="1"/>
  <pageMargins left="0" right="0" top="0.5" bottom="0" header="0" footer="0"/>
  <pageSetup orientation="landscape" blackAndWhite="1" errors="blank"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M7" sqref="M7:P7"/>
    </sheetView>
  </sheetViews>
  <sheetFormatPr defaultColWidth="9.140625" defaultRowHeight="15"/>
  <cols>
    <col min="1" max="1" width="2.85546875" style="11" customWidth="1"/>
    <col min="2" max="2" width="3.7109375" style="11" customWidth="1"/>
    <col min="3" max="6" width="5.42578125" style="11" customWidth="1"/>
    <col min="7" max="7" width="6" style="11" customWidth="1"/>
    <col min="8" max="10" width="15.42578125" style="11" customWidth="1"/>
    <col min="11" max="11" width="7.85546875" style="11" customWidth="1"/>
    <col min="12" max="12" width="7" style="11" customWidth="1"/>
    <col min="13" max="16" width="3.7109375" style="11" customWidth="1"/>
    <col min="17" max="17" width="5.42578125" style="11" customWidth="1"/>
    <col min="18" max="18" width="6.5703125" style="11" customWidth="1"/>
    <col min="19" max="19" width="7.140625" style="11" customWidth="1"/>
    <col min="20" max="21" width="3.140625" style="11" customWidth="1"/>
    <col min="22" max="16384" width="9.140625" style="11"/>
  </cols>
  <sheetData>
    <row r="1" spans="1:80" ht="15" customHeight="1">
      <c r="A1" s="1109" t="s">
        <v>550</v>
      </c>
      <c r="B1" s="1110"/>
      <c r="C1" s="1093" t="s">
        <v>0</v>
      </c>
      <c r="D1" s="1091"/>
      <c r="E1" s="1091"/>
      <c r="F1" s="1091"/>
      <c r="G1" s="1091"/>
      <c r="H1" s="1091" t="s">
        <v>1</v>
      </c>
      <c r="I1" s="1091"/>
      <c r="J1" s="1091"/>
      <c r="K1" s="1091"/>
      <c r="L1" s="1091"/>
      <c r="M1" s="1113" t="s">
        <v>2</v>
      </c>
      <c r="N1" s="1113"/>
      <c r="O1" s="1113"/>
      <c r="P1" s="1113"/>
      <c r="Q1" s="1091" t="s">
        <v>3</v>
      </c>
      <c r="R1" s="1091"/>
      <c r="S1" s="1091"/>
      <c r="T1" s="1091"/>
      <c r="U1" s="1114"/>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11"/>
      <c r="B2" s="1112"/>
      <c r="C2" s="1094">
        <f>'فرم الف'!B5</f>
        <v>0</v>
      </c>
      <c r="D2" s="1095"/>
      <c r="E2" s="1095"/>
      <c r="F2" s="1095"/>
      <c r="G2" s="1095"/>
      <c r="H2" s="1092">
        <f>'فرم الف'!A27</f>
        <v>0</v>
      </c>
      <c r="I2" s="1092"/>
      <c r="J2" s="1092"/>
      <c r="K2" s="1092"/>
      <c r="L2" s="1092">
        <f>'فرم الف'!J15</f>
        <v>0</v>
      </c>
      <c r="M2" s="1092"/>
      <c r="N2" s="1092"/>
      <c r="O2" s="1092"/>
      <c r="P2" s="1092"/>
      <c r="Q2" s="1115">
        <f>'فرم الف'!D9</f>
        <v>0</v>
      </c>
      <c r="R2" s="1116"/>
      <c r="S2" s="1116"/>
      <c r="T2" s="1116"/>
      <c r="U2" s="1117"/>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174" t="s">
        <v>584</v>
      </c>
      <c r="B3" s="1174"/>
      <c r="C3" s="1118"/>
      <c r="D3" s="1118"/>
      <c r="E3" s="1118"/>
      <c r="F3" s="1118"/>
      <c r="G3" s="1118"/>
      <c r="H3" s="1118"/>
      <c r="I3" s="1118"/>
      <c r="J3" s="1118"/>
      <c r="K3" s="1118"/>
      <c r="L3" s="1118"/>
      <c r="M3" s="1118"/>
      <c r="N3" s="1118"/>
      <c r="O3" s="1118"/>
      <c r="P3" s="1118"/>
      <c r="Q3" s="1118"/>
      <c r="R3" s="1118"/>
      <c r="S3" s="1119" t="s">
        <v>585</v>
      </c>
      <c r="T3" s="1119"/>
      <c r="U3" s="1119"/>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20" t="s">
        <v>9</v>
      </c>
      <c r="B4" s="1122" t="s">
        <v>586</v>
      </c>
      <c r="C4" s="1123"/>
      <c r="D4" s="1123"/>
      <c r="E4" s="1123"/>
      <c r="F4" s="1123"/>
      <c r="G4" s="1124"/>
      <c r="H4" s="1130" t="s">
        <v>587</v>
      </c>
      <c r="I4" s="1130"/>
      <c r="J4" s="1136"/>
      <c r="K4" s="1122" t="s">
        <v>588</v>
      </c>
      <c r="L4" s="1136"/>
      <c r="M4" s="1122" t="s">
        <v>589</v>
      </c>
      <c r="N4" s="1130"/>
      <c r="O4" s="1130"/>
      <c r="P4" s="1130"/>
      <c r="Q4" s="1133" t="s">
        <v>13</v>
      </c>
      <c r="R4" s="1134"/>
      <c r="S4" s="1134"/>
      <c r="T4" s="1134"/>
      <c r="U4" s="11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3.25" customHeight="1" thickBot="1">
      <c r="A5" s="1121"/>
      <c r="B5" s="1125"/>
      <c r="C5" s="1126"/>
      <c r="D5" s="1126"/>
      <c r="E5" s="1126"/>
      <c r="F5" s="1126"/>
      <c r="G5" s="1127"/>
      <c r="H5" s="1132"/>
      <c r="I5" s="1132"/>
      <c r="J5" s="1137"/>
      <c r="K5" s="1131"/>
      <c r="L5" s="1137"/>
      <c r="M5" s="1131"/>
      <c r="N5" s="1132"/>
      <c r="O5" s="1132"/>
      <c r="P5" s="1132"/>
      <c r="Q5" s="847" t="s">
        <v>1268</v>
      </c>
      <c r="R5" s="838" t="s">
        <v>1163</v>
      </c>
      <c r="S5" s="838" t="s">
        <v>1174</v>
      </c>
      <c r="T5" s="1098" t="s">
        <v>18</v>
      </c>
      <c r="U5" s="1099"/>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4.5" customHeight="1">
      <c r="A6" s="151">
        <v>1</v>
      </c>
      <c r="B6" s="1160"/>
      <c r="C6" s="1201"/>
      <c r="D6" s="1201"/>
      <c r="E6" s="1201"/>
      <c r="F6" s="1201"/>
      <c r="G6" s="1161"/>
      <c r="H6" s="1201"/>
      <c r="I6" s="1201"/>
      <c r="J6" s="1161"/>
      <c r="K6" s="1249" t="str">
        <f>IF(H6='Data Base'!$Z$46,'Data Base'!$AB$46,IF(H6='Data Base'!$Z$47,'Data Base'!$AB$47,IF(H6='Data Base'!$Z$48,'Data Base'!$AB$48,IF(H6='Data Base'!$Z$49,'Data Base'!$AB$49,IF(H6='Data Base'!$Z$50,'Data Base'!$AB$50,IF(H6='Data Base'!$Z$51,'Data Base'!$AB$51,IF(H6='Data Base'!$Z$52,'Data Base'!$AB$52,IF(H6='Data Base'!$Z$53,'Data Base'!$AB$53,IF(H6='Data Base'!$Z$54,'Data Base'!$AB$54,IF(H6='Data Base'!$Z$55,'Data Base'!$AB$55,IF(H6='Data Base'!$Z$56,'Data Base'!$AB$56,IF(H6='Data Base'!$Z$57,'Data Base'!$AB$57,IF(H6='Data Base'!$Z$58,'Data Base'!$AB$58,IF(H6='Data Base'!$Z$59,'Data Base'!$AB$59,IF(H6='Data Base'!$Z$60,'Data Base'!$AB$60,IF(H6='Data Base'!$Z$61,'Data Base'!$AB$61,IF(H6='Data Base'!$Z$62,'Data Base'!$AB$62,IF(H6='Data Base'!$Z$63,'Data Base'!$AB$63,""))))))))))))))))))</f>
        <v/>
      </c>
      <c r="L6" s="1250"/>
      <c r="M6" s="1180"/>
      <c r="N6" s="1195"/>
      <c r="O6" s="1195"/>
      <c r="P6" s="1181"/>
      <c r="Q6" s="811">
        <f>IF(R6='Data Base'!$Q$79,0,IF(H6='Data Base'!$Z$46,'Data Base'!$AA$46,IF(H6='Data Base'!$Z$47,'Data Base'!$AA$47,IF(H6='Data Base'!$Z$48,'Data Base'!$AA$48,IF(H6='Data Base'!$Z$49,'Data Base'!$AA$49,IF(H6='Data Base'!$Z$50,'Data Base'!$AA$50,IF(H6='Data Base'!$Z$51,'Data Base'!$AA$51,IF(H6='Data Base'!$Z$52,'Data Base'!$AA$52,IF(H6='Data Base'!$Z$53,'Data Base'!$AA$53,IF(H6='Data Base'!$Z$54,'Data Base'!$AA$54,IF(H6='Data Base'!$Z$55,'Data Base'!$AA$55,IF(H6='Data Base'!$Z$56,'Data Base'!$AA$56,IF(H6='Data Base'!$Z$57,'Data Base'!$AA$57,IF(H6='Data Base'!$Z$58,'Data Base'!$AA$58,IF(H6='Data Base'!$Z$59,'Data Base'!$AA$59,IF(H6='Data Base'!$Z$60,'Data Base'!$AA$60,IF(H6='Data Base'!$Z$61,'Data Base'!$AA$61,IF(H6='Data Base'!$Z$62,'Data Base'!$AA$62,IF(H6='Data Base'!$Z$63,'Data Base'!$AA$63,)))))))))))))))))))</f>
        <v>0</v>
      </c>
      <c r="R6" s="848"/>
      <c r="S6" s="764"/>
      <c r="T6" s="1100"/>
      <c r="U6" s="1101"/>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4.5" customHeight="1">
      <c r="A7" s="152">
        <v>2</v>
      </c>
      <c r="B7" s="1202"/>
      <c r="C7" s="1203"/>
      <c r="D7" s="1203"/>
      <c r="E7" s="1203"/>
      <c r="F7" s="1203"/>
      <c r="G7" s="1204"/>
      <c r="H7" s="1247"/>
      <c r="I7" s="1247"/>
      <c r="J7" s="1248"/>
      <c r="K7" s="1165" t="str">
        <f>IF(H7='Data Base'!$Z$46,'Data Base'!$AB$46,IF(H7='Data Base'!$Z$47,'Data Base'!$AB$47,IF(H7='Data Base'!$Z$48,'Data Base'!$AB$48,IF(H7='Data Base'!$Z$49,'Data Base'!$AB$49,IF(H7='Data Base'!$Z$50,'Data Base'!$AB$50,IF(H7='Data Base'!$Z$51,'Data Base'!$AB$51,IF(H7='Data Base'!$Z$52,'Data Base'!$AB$52,IF(H7='Data Base'!$Z$53,'Data Base'!$AB$53,IF(H7='Data Base'!$Z$54,'Data Base'!$AB$54,IF(H7='Data Base'!$Z$55,'Data Base'!$AB$55,IF(H7='Data Base'!$Z$56,'Data Base'!$AB$56,IF(H7='Data Base'!$Z$57,'Data Base'!$AB$57,IF(H7='Data Base'!$Z$58,'Data Base'!$AB$58,IF(H7='Data Base'!$Z$59,'Data Base'!$AB$59,IF(H7='Data Base'!$Z$60,'Data Base'!$AB$60,IF(H7='Data Base'!$Z$61,'Data Base'!$AB$61,IF(H7='Data Base'!$Z$62,'Data Base'!$AB$62,IF(H7='Data Base'!$Z$63,'Data Base'!$AB$63,""))))))))))))))))))</f>
        <v/>
      </c>
      <c r="L7" s="1166"/>
      <c r="M7" s="1157"/>
      <c r="N7" s="1157"/>
      <c r="O7" s="1157"/>
      <c r="P7" s="1157"/>
      <c r="Q7" s="809">
        <f>IF(R7='Data Base'!$Q$79,0,IF(H7='Data Base'!$Z$46,'Data Base'!$AA$46,IF(H7='Data Base'!$Z$47,'Data Base'!$AA$47,IF(H7='Data Base'!$Z$48,'Data Base'!$AA$48,IF(H7='Data Base'!$Z$49,'Data Base'!$AA$49,IF(H7='Data Base'!$Z$50,'Data Base'!$AA$50,IF(H7='Data Base'!$Z$51,'Data Base'!$AA$51,IF(H7='Data Base'!$Z$52,'Data Base'!$AA$52,IF(H7='Data Base'!$Z$53,'Data Base'!$AA$53,IF(H7='Data Base'!$Z$54,'Data Base'!$AA$54,IF(H7='Data Base'!$Z$55,'Data Base'!$AA$55,IF(H7='Data Base'!$Z$56,'Data Base'!$AA$56,IF(H7='Data Base'!$Z$57,'Data Base'!$AA$57,IF(H7='Data Base'!$Z$58,'Data Base'!$AA$58,IF(H7='Data Base'!$Z$59,'Data Base'!$AA$59,IF(H7='Data Base'!$Z$60,'Data Base'!$AA$60,IF(H7='Data Base'!$Z$61,'Data Base'!$AA$61,IF(H7='Data Base'!$Z$62,'Data Base'!$AA$62,IF(H7='Data Base'!$Z$63,'Data Base'!$AA$63,)))))))))))))))))))</f>
        <v>0</v>
      </c>
      <c r="R7" s="842"/>
      <c r="S7" s="766"/>
      <c r="T7" s="1104"/>
      <c r="U7" s="1105"/>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4.5" customHeight="1">
      <c r="A8" s="152">
        <v>3</v>
      </c>
      <c r="B8" s="1202"/>
      <c r="C8" s="1203"/>
      <c r="D8" s="1203"/>
      <c r="E8" s="1203"/>
      <c r="F8" s="1203"/>
      <c r="G8" s="1204"/>
      <c r="H8" s="1247"/>
      <c r="I8" s="1247"/>
      <c r="J8" s="1248"/>
      <c r="K8" s="1165" t="str">
        <f>IF(H8='Data Base'!$Z$46,'Data Base'!$AB$46,IF(H8='Data Base'!$Z$47,'Data Base'!$AB$47,IF(H8='Data Base'!$Z$48,'Data Base'!$AB$48,IF(H8='Data Base'!$Z$49,'Data Base'!$AB$49,IF(H8='Data Base'!$Z$50,'Data Base'!$AB$50,IF(H8='Data Base'!$Z$51,'Data Base'!$AB$51,IF(H8='Data Base'!$Z$52,'Data Base'!$AB$52,IF(H8='Data Base'!$Z$53,'Data Base'!$AB$53,IF(H8='Data Base'!$Z$54,'Data Base'!$AB$54,IF(H8='Data Base'!$Z$55,'Data Base'!$AB$55,IF(H8='Data Base'!$Z$56,'Data Base'!$AB$56,IF(H8='Data Base'!$Z$57,'Data Base'!$AB$57,IF(H8='Data Base'!$Z$58,'Data Base'!$AB$58,IF(H8='Data Base'!$Z$59,'Data Base'!$AB$59,IF(H8='Data Base'!$Z$60,'Data Base'!$AB$60,IF(H8='Data Base'!$Z$61,'Data Base'!$AB$61,IF(H8='Data Base'!$Z$62,'Data Base'!$AB$62,IF(H8='Data Base'!$Z$63,'Data Base'!$AB$63,""))))))))))))))))))</f>
        <v/>
      </c>
      <c r="L8" s="1166"/>
      <c r="M8" s="1157"/>
      <c r="N8" s="1157"/>
      <c r="O8" s="1157"/>
      <c r="P8" s="1157"/>
      <c r="Q8" s="809">
        <f>IF(R8='Data Base'!$Q$79,0,IF(H8='Data Base'!$Z$46,'Data Base'!$AA$46,IF(H8='Data Base'!$Z$47,'Data Base'!$AA$47,IF(H8='Data Base'!$Z$48,'Data Base'!$AA$48,IF(H8='Data Base'!$Z$49,'Data Base'!$AA$49,IF(H8='Data Base'!$Z$50,'Data Base'!$AA$50,IF(H8='Data Base'!$Z$51,'Data Base'!$AA$51,IF(H8='Data Base'!$Z$52,'Data Base'!$AA$52,IF(H8='Data Base'!$Z$53,'Data Base'!$AA$53,IF(H8='Data Base'!$Z$54,'Data Base'!$AA$54,IF(H8='Data Base'!$Z$55,'Data Base'!$AA$55,IF(H8='Data Base'!$Z$56,'Data Base'!$AA$56,IF(H8='Data Base'!$Z$57,'Data Base'!$AA$57,IF(H8='Data Base'!$Z$58,'Data Base'!$AA$58,IF(H8='Data Base'!$Z$59,'Data Base'!$AA$59,IF(H8='Data Base'!$Z$60,'Data Base'!$AA$60,IF(H8='Data Base'!$Z$61,'Data Base'!$AA$61,IF(H8='Data Base'!$Z$62,'Data Base'!$AA$62,IF(H8='Data Base'!$Z$63,'Data Base'!$AA$63,)))))))))))))))))))</f>
        <v>0</v>
      </c>
      <c r="R8" s="842"/>
      <c r="S8" s="766"/>
      <c r="T8" s="1104"/>
      <c r="U8" s="1105"/>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4.5" customHeight="1">
      <c r="A9" s="152">
        <v>4</v>
      </c>
      <c r="B9" s="1202"/>
      <c r="C9" s="1203"/>
      <c r="D9" s="1203"/>
      <c r="E9" s="1203"/>
      <c r="F9" s="1203"/>
      <c r="G9" s="1204"/>
      <c r="H9" s="1247"/>
      <c r="I9" s="1247"/>
      <c r="J9" s="1248"/>
      <c r="K9" s="1165" t="str">
        <f>IF(H9='Data Base'!$Z$46,'Data Base'!$AB$46,IF(H9='Data Base'!$Z$47,'Data Base'!$AB$47,IF(H9='Data Base'!$Z$48,'Data Base'!$AB$48,IF(H9='Data Base'!$Z$49,'Data Base'!$AB$49,IF(H9='Data Base'!$Z$50,'Data Base'!$AB$50,IF(H9='Data Base'!$Z$51,'Data Base'!$AB$51,IF(H9='Data Base'!$Z$52,'Data Base'!$AB$52,IF(H9='Data Base'!$Z$53,'Data Base'!$AB$53,IF(H9='Data Base'!$Z$54,'Data Base'!$AB$54,IF(H9='Data Base'!$Z$55,'Data Base'!$AB$55,IF(H9='Data Base'!$Z$56,'Data Base'!$AB$56,IF(H9='Data Base'!$Z$57,'Data Base'!$AB$57,IF(H9='Data Base'!$Z$58,'Data Base'!$AB$58,IF(H9='Data Base'!$Z$59,'Data Base'!$AB$59,IF(H9='Data Base'!$Z$60,'Data Base'!$AB$60,IF(H9='Data Base'!$Z$61,'Data Base'!$AB$61,IF(H9='Data Base'!$Z$62,'Data Base'!$AB$62,IF(H9='Data Base'!$Z$63,'Data Base'!$AB$63,""))))))))))))))))))</f>
        <v/>
      </c>
      <c r="L9" s="1166"/>
      <c r="M9" s="1157"/>
      <c r="N9" s="1157"/>
      <c r="O9" s="1157"/>
      <c r="P9" s="1157"/>
      <c r="Q9" s="809">
        <f>IF(R9='Data Base'!$Q$79,0,IF(H9='Data Base'!$Z$46,'Data Base'!$AA$46,IF(H9='Data Base'!$Z$47,'Data Base'!$AA$47,IF(H9='Data Base'!$Z$48,'Data Base'!$AA$48,IF(H9='Data Base'!$Z$49,'Data Base'!$AA$49,IF(H9='Data Base'!$Z$50,'Data Base'!$AA$50,IF(H9='Data Base'!$Z$51,'Data Base'!$AA$51,IF(H9='Data Base'!$Z$52,'Data Base'!$AA$52,IF(H9='Data Base'!$Z$53,'Data Base'!$AA$53,IF(H9='Data Base'!$Z$54,'Data Base'!$AA$54,IF(H9='Data Base'!$Z$55,'Data Base'!$AA$55,IF(H9='Data Base'!$Z$56,'Data Base'!$AA$56,IF(H9='Data Base'!$Z$57,'Data Base'!$AA$57,IF(H9='Data Base'!$Z$58,'Data Base'!$AA$58,IF(H9='Data Base'!$Z$59,'Data Base'!$AA$59,IF(H9='Data Base'!$Z$60,'Data Base'!$AA$60,IF(H9='Data Base'!$Z$61,'Data Base'!$AA$61,IF(H9='Data Base'!$Z$62,'Data Base'!$AA$62,IF(H9='Data Base'!$Z$63,'Data Base'!$AA$63,)))))))))))))))))))</f>
        <v>0</v>
      </c>
      <c r="R9" s="842"/>
      <c r="S9" s="766"/>
      <c r="T9" s="1104"/>
      <c r="U9" s="1105"/>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4.5" customHeight="1">
      <c r="A10" s="152">
        <v>5</v>
      </c>
      <c r="B10" s="1202"/>
      <c r="C10" s="1203"/>
      <c r="D10" s="1203"/>
      <c r="E10" s="1203"/>
      <c r="F10" s="1203"/>
      <c r="G10" s="1204"/>
      <c r="H10" s="1247"/>
      <c r="I10" s="1247"/>
      <c r="J10" s="1248"/>
      <c r="K10" s="1165" t="str">
        <f>IF(H10='Data Base'!$Z$46,'Data Base'!$AB$46,IF(H10='Data Base'!$Z$47,'Data Base'!$AB$47,IF(H10='Data Base'!$Z$48,'Data Base'!$AB$48,IF(H10='Data Base'!$Z$49,'Data Base'!$AB$49,IF(H10='Data Base'!$Z$50,'Data Base'!$AB$50,IF(H10='Data Base'!$Z$51,'Data Base'!$AB$51,IF(H10='Data Base'!$Z$52,'Data Base'!$AB$52,IF(H10='Data Base'!$Z$53,'Data Base'!$AB$53,IF(H10='Data Base'!$Z$54,'Data Base'!$AB$54,IF(H10='Data Base'!$Z$55,'Data Base'!$AB$55,IF(H10='Data Base'!$Z$56,'Data Base'!$AB$56,IF(H10='Data Base'!$Z$57,'Data Base'!$AB$57,IF(H10='Data Base'!$Z$58,'Data Base'!$AB$58,IF(H10='Data Base'!$Z$59,'Data Base'!$AB$59,IF(H10='Data Base'!$Z$60,'Data Base'!$AB$60,IF(H10='Data Base'!$Z$61,'Data Base'!$AB$61,IF(H10='Data Base'!$Z$62,'Data Base'!$AB$62,IF(H10='Data Base'!$Z$63,'Data Base'!$AB$63,""))))))))))))))))))</f>
        <v/>
      </c>
      <c r="L10" s="1166"/>
      <c r="M10" s="1157"/>
      <c r="N10" s="1157"/>
      <c r="O10" s="1157"/>
      <c r="P10" s="1157"/>
      <c r="Q10" s="809">
        <f>IF(R10='Data Base'!$Q$79,0,IF(H10='Data Base'!$Z$46,'Data Base'!$AA$46,IF(H10='Data Base'!$Z$47,'Data Base'!$AA$47,IF(H10='Data Base'!$Z$48,'Data Base'!$AA$48,IF(H10='Data Base'!$Z$49,'Data Base'!$AA$49,IF(H10='Data Base'!$Z$50,'Data Base'!$AA$50,IF(H10='Data Base'!$Z$51,'Data Base'!$AA$51,IF(H10='Data Base'!$Z$52,'Data Base'!$AA$52,IF(H10='Data Base'!$Z$53,'Data Base'!$AA$53,IF(H10='Data Base'!$Z$54,'Data Base'!$AA$54,IF(H10='Data Base'!$Z$55,'Data Base'!$AA$55,IF(H10='Data Base'!$Z$56,'Data Base'!$AA$56,IF(H10='Data Base'!$Z$57,'Data Base'!$AA$57,IF(H10='Data Base'!$Z$58,'Data Base'!$AA$58,IF(H10='Data Base'!$Z$59,'Data Base'!$AA$59,IF(H10='Data Base'!$Z$60,'Data Base'!$AA$60,IF(H10='Data Base'!$Z$61,'Data Base'!$AA$61,IF(H10='Data Base'!$Z$62,'Data Base'!$AA$62,IF(H10='Data Base'!$Z$63,'Data Base'!$AA$63,)))))))))))))))))))</f>
        <v>0</v>
      </c>
      <c r="R10" s="842"/>
      <c r="S10" s="766"/>
      <c r="T10" s="1104"/>
      <c r="U10" s="1105"/>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4.5" customHeight="1">
      <c r="A11" s="152">
        <v>6</v>
      </c>
      <c r="B11" s="1202"/>
      <c r="C11" s="1203"/>
      <c r="D11" s="1203"/>
      <c r="E11" s="1203"/>
      <c r="F11" s="1203"/>
      <c r="G11" s="1204"/>
      <c r="H11" s="1247"/>
      <c r="I11" s="1247"/>
      <c r="J11" s="1248"/>
      <c r="K11" s="1165" t="str">
        <f>IF(H11='Data Base'!$Z$46,'Data Base'!$AB$46,IF(H11='Data Base'!$Z$47,'Data Base'!$AB$47,IF(H11='Data Base'!$Z$48,'Data Base'!$AB$48,IF(H11='Data Base'!$Z$49,'Data Base'!$AB$49,IF(H11='Data Base'!$Z$50,'Data Base'!$AB$50,IF(H11='Data Base'!$Z$51,'Data Base'!$AB$51,IF(H11='Data Base'!$Z$52,'Data Base'!$AB$52,IF(H11='Data Base'!$Z$53,'Data Base'!$AB$53,IF(H11='Data Base'!$Z$54,'Data Base'!$AB$54,IF(H11='Data Base'!$Z$55,'Data Base'!$AB$55,IF(H11='Data Base'!$Z$56,'Data Base'!$AB$56,IF(H11='Data Base'!$Z$57,'Data Base'!$AB$57,IF(H11='Data Base'!$Z$58,'Data Base'!$AB$58,IF(H11='Data Base'!$Z$59,'Data Base'!$AB$59,IF(H11='Data Base'!$Z$60,'Data Base'!$AB$60,IF(H11='Data Base'!$Z$61,'Data Base'!$AB$61,IF(H11='Data Base'!$Z$62,'Data Base'!$AB$62,IF(H11='Data Base'!$Z$63,'Data Base'!$AB$63,""))))))))))))))))))</f>
        <v/>
      </c>
      <c r="L11" s="1166"/>
      <c r="M11" s="1157"/>
      <c r="N11" s="1157"/>
      <c r="O11" s="1157"/>
      <c r="P11" s="1157"/>
      <c r="Q11" s="809">
        <f>IF(R11='Data Base'!$Q$79,0,IF(H11='Data Base'!$Z$46,'Data Base'!$AA$46,IF(H11='Data Base'!$Z$47,'Data Base'!$AA$47,IF(H11='Data Base'!$Z$48,'Data Base'!$AA$48,IF(H11='Data Base'!$Z$49,'Data Base'!$AA$49,IF(H11='Data Base'!$Z$50,'Data Base'!$AA$50,IF(H11='Data Base'!$Z$51,'Data Base'!$AA$51,IF(H11='Data Base'!$Z$52,'Data Base'!$AA$52,IF(H11='Data Base'!$Z$53,'Data Base'!$AA$53,IF(H11='Data Base'!$Z$54,'Data Base'!$AA$54,IF(H11='Data Base'!$Z$55,'Data Base'!$AA$55,IF(H11='Data Base'!$Z$56,'Data Base'!$AA$56,IF(H11='Data Base'!$Z$57,'Data Base'!$AA$57,IF(H11='Data Base'!$Z$58,'Data Base'!$AA$58,IF(H11='Data Base'!$Z$59,'Data Base'!$AA$59,IF(H11='Data Base'!$Z$60,'Data Base'!$AA$60,IF(H11='Data Base'!$Z$61,'Data Base'!$AA$61,IF(H11='Data Base'!$Z$62,'Data Base'!$AA$62,IF(H11='Data Base'!$Z$63,'Data Base'!$AA$63,)))))))))))))))))))</f>
        <v>0</v>
      </c>
      <c r="R11" s="842"/>
      <c r="S11" s="766"/>
      <c r="T11" s="1104"/>
      <c r="U11" s="1105"/>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4.5" customHeight="1">
      <c r="A12" s="152">
        <v>7</v>
      </c>
      <c r="B12" s="1202"/>
      <c r="C12" s="1203"/>
      <c r="D12" s="1203"/>
      <c r="E12" s="1203"/>
      <c r="F12" s="1203"/>
      <c r="G12" s="1204"/>
      <c r="H12" s="1247"/>
      <c r="I12" s="1247"/>
      <c r="J12" s="1248"/>
      <c r="K12" s="1165" t="str">
        <f>IF(H12='Data Base'!$Z$46,'Data Base'!$AB$46,IF(H12='Data Base'!$Z$47,'Data Base'!$AB$47,IF(H12='Data Base'!$Z$48,'Data Base'!$AB$48,IF(H12='Data Base'!$Z$49,'Data Base'!$AB$49,IF(H12='Data Base'!$Z$50,'Data Base'!$AB$50,IF(H12='Data Base'!$Z$51,'Data Base'!$AB$51,IF(H12='Data Base'!$Z$52,'Data Base'!$AB$52,IF(H12='Data Base'!$Z$53,'Data Base'!$AB$53,IF(H12='Data Base'!$Z$54,'Data Base'!$AB$54,IF(H12='Data Base'!$Z$55,'Data Base'!$AB$55,IF(H12='Data Base'!$Z$56,'Data Base'!$AB$56,IF(H12='Data Base'!$Z$57,'Data Base'!$AB$57,IF(H12='Data Base'!$Z$58,'Data Base'!$AB$58,IF(H12='Data Base'!$Z$59,'Data Base'!$AB$59,IF(H12='Data Base'!$Z$60,'Data Base'!$AB$60,IF(H12='Data Base'!$Z$61,'Data Base'!$AB$61,IF(H12='Data Base'!$Z$62,'Data Base'!$AB$62,IF(H12='Data Base'!$Z$63,'Data Base'!$AB$63,""))))))))))))))))))</f>
        <v/>
      </c>
      <c r="L12" s="1166"/>
      <c r="M12" s="1157"/>
      <c r="N12" s="1157"/>
      <c r="O12" s="1157"/>
      <c r="P12" s="1157"/>
      <c r="Q12" s="809">
        <f>IF(R12='Data Base'!$Q$79,0,IF(H12='Data Base'!$Z$46,'Data Base'!$AA$46,IF(H12='Data Base'!$Z$47,'Data Base'!$AA$47,IF(H12='Data Base'!$Z$48,'Data Base'!$AA$48,IF(H12='Data Base'!$Z$49,'Data Base'!$AA$49,IF(H12='Data Base'!$Z$50,'Data Base'!$AA$50,IF(H12='Data Base'!$Z$51,'Data Base'!$AA$51,IF(H12='Data Base'!$Z$52,'Data Base'!$AA$52,IF(H12='Data Base'!$Z$53,'Data Base'!$AA$53,IF(H12='Data Base'!$Z$54,'Data Base'!$AA$54,IF(H12='Data Base'!$Z$55,'Data Base'!$AA$55,IF(H12='Data Base'!$Z$56,'Data Base'!$AA$56,IF(H12='Data Base'!$Z$57,'Data Base'!$AA$57,IF(H12='Data Base'!$Z$58,'Data Base'!$AA$58,IF(H12='Data Base'!$Z$59,'Data Base'!$AA$59,IF(H12='Data Base'!$Z$60,'Data Base'!$AA$60,IF(H12='Data Base'!$Z$61,'Data Base'!$AA$61,IF(H12='Data Base'!$Z$62,'Data Base'!$AA$62,IF(H12='Data Base'!$Z$63,'Data Base'!$AA$63,)))))))))))))))))))</f>
        <v>0</v>
      </c>
      <c r="R12" s="842"/>
      <c r="S12" s="766"/>
      <c r="T12" s="1104"/>
      <c r="U12" s="1105"/>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4.5" customHeight="1">
      <c r="A13" s="152">
        <v>8</v>
      </c>
      <c r="B13" s="1202"/>
      <c r="C13" s="1203"/>
      <c r="D13" s="1203"/>
      <c r="E13" s="1203"/>
      <c r="F13" s="1203"/>
      <c r="G13" s="1204"/>
      <c r="H13" s="1247"/>
      <c r="I13" s="1247"/>
      <c r="J13" s="1248"/>
      <c r="K13" s="1165" t="str">
        <f>IF(H13='Data Base'!$Z$46,'Data Base'!$AB$46,IF(H13='Data Base'!$Z$47,'Data Base'!$AB$47,IF(H13='Data Base'!$Z$48,'Data Base'!$AB$48,IF(H13='Data Base'!$Z$49,'Data Base'!$AB$49,IF(H13='Data Base'!$Z$50,'Data Base'!$AB$50,IF(H13='Data Base'!$Z$51,'Data Base'!$AB$51,IF(H13='Data Base'!$Z$52,'Data Base'!$AB$52,IF(H13='Data Base'!$Z$53,'Data Base'!$AB$53,IF(H13='Data Base'!$Z$54,'Data Base'!$AB$54,IF(H13='Data Base'!$Z$55,'Data Base'!$AB$55,IF(H13='Data Base'!$Z$56,'Data Base'!$AB$56,IF(H13='Data Base'!$Z$57,'Data Base'!$AB$57,IF(H13='Data Base'!$Z$58,'Data Base'!$AB$58,IF(H13='Data Base'!$Z$59,'Data Base'!$AB$59,IF(H13='Data Base'!$Z$60,'Data Base'!$AB$60,IF(H13='Data Base'!$Z$61,'Data Base'!$AB$61,IF(H13='Data Base'!$Z$62,'Data Base'!$AB$62,IF(H13='Data Base'!$Z$63,'Data Base'!$AB$63,""))))))))))))))))))</f>
        <v/>
      </c>
      <c r="L13" s="1166"/>
      <c r="M13" s="1157"/>
      <c r="N13" s="1157"/>
      <c r="O13" s="1157"/>
      <c r="P13" s="1157"/>
      <c r="Q13" s="809">
        <f>IF(R13='Data Base'!$Q$79,0,IF(H13='Data Base'!$Z$46,'Data Base'!$AA$46,IF(H13='Data Base'!$Z$47,'Data Base'!$AA$47,IF(H13='Data Base'!$Z$48,'Data Base'!$AA$48,IF(H13='Data Base'!$Z$49,'Data Base'!$AA$49,IF(H13='Data Base'!$Z$50,'Data Base'!$AA$50,IF(H13='Data Base'!$Z$51,'Data Base'!$AA$51,IF(H13='Data Base'!$Z$52,'Data Base'!$AA$52,IF(H13='Data Base'!$Z$53,'Data Base'!$AA$53,IF(H13='Data Base'!$Z$54,'Data Base'!$AA$54,IF(H13='Data Base'!$Z$55,'Data Base'!$AA$55,IF(H13='Data Base'!$Z$56,'Data Base'!$AA$56,IF(H13='Data Base'!$Z$57,'Data Base'!$AA$57,IF(H13='Data Base'!$Z$58,'Data Base'!$AA$58,IF(H13='Data Base'!$Z$59,'Data Base'!$AA$59,IF(H13='Data Base'!$Z$60,'Data Base'!$AA$60,IF(H13='Data Base'!$Z$61,'Data Base'!$AA$61,IF(H13='Data Base'!$Z$62,'Data Base'!$AA$62,IF(H13='Data Base'!$Z$63,'Data Base'!$AA$63,)))))))))))))))))))</f>
        <v>0</v>
      </c>
      <c r="R13" s="842"/>
      <c r="S13" s="766"/>
      <c r="T13" s="1104"/>
      <c r="U13" s="1105"/>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4.5" customHeight="1">
      <c r="A14" s="152">
        <v>9</v>
      </c>
      <c r="B14" s="1202"/>
      <c r="C14" s="1203"/>
      <c r="D14" s="1203"/>
      <c r="E14" s="1203"/>
      <c r="F14" s="1203"/>
      <c r="G14" s="1204"/>
      <c r="H14" s="1247"/>
      <c r="I14" s="1247"/>
      <c r="J14" s="1248"/>
      <c r="K14" s="1165" t="str">
        <f>IF(H14='Data Base'!$Z$46,'Data Base'!$AB$46,IF(H14='Data Base'!$Z$47,'Data Base'!$AB$47,IF(H14='Data Base'!$Z$48,'Data Base'!$AB$48,IF(H14='Data Base'!$Z$49,'Data Base'!$AB$49,IF(H14='Data Base'!$Z$50,'Data Base'!$AB$50,IF(H14='Data Base'!$Z$51,'Data Base'!$AB$51,IF(H14='Data Base'!$Z$52,'Data Base'!$AB$52,IF(H14='Data Base'!$Z$53,'Data Base'!$AB$53,IF(H14='Data Base'!$Z$54,'Data Base'!$AB$54,IF(H14='Data Base'!$Z$55,'Data Base'!$AB$55,IF(H14='Data Base'!$Z$56,'Data Base'!$AB$56,IF(H14='Data Base'!$Z$57,'Data Base'!$AB$57,IF(H14='Data Base'!$Z$58,'Data Base'!$AB$58,IF(H14='Data Base'!$Z$59,'Data Base'!$AB$59,IF(H14='Data Base'!$Z$60,'Data Base'!$AB$60,IF(H14='Data Base'!$Z$61,'Data Base'!$AB$61,IF(H14='Data Base'!$Z$62,'Data Base'!$AB$62,IF(H14='Data Base'!$Z$63,'Data Base'!$AB$63,""))))))))))))))))))</f>
        <v/>
      </c>
      <c r="L14" s="1166"/>
      <c r="M14" s="1157"/>
      <c r="N14" s="1157"/>
      <c r="O14" s="1157"/>
      <c r="P14" s="1157"/>
      <c r="Q14" s="809">
        <f>IF(R14='Data Base'!$Q$79,0,IF(H14='Data Base'!$Z$46,'Data Base'!$AA$46,IF(H14='Data Base'!$Z$47,'Data Base'!$AA$47,IF(H14='Data Base'!$Z$48,'Data Base'!$AA$48,IF(H14='Data Base'!$Z$49,'Data Base'!$AA$49,IF(H14='Data Base'!$Z$50,'Data Base'!$AA$50,IF(H14='Data Base'!$Z$51,'Data Base'!$AA$51,IF(H14='Data Base'!$Z$52,'Data Base'!$AA$52,IF(H14='Data Base'!$Z$53,'Data Base'!$AA$53,IF(H14='Data Base'!$Z$54,'Data Base'!$AA$54,IF(H14='Data Base'!$Z$55,'Data Base'!$AA$55,IF(H14='Data Base'!$Z$56,'Data Base'!$AA$56,IF(H14='Data Base'!$Z$57,'Data Base'!$AA$57,IF(H14='Data Base'!$Z$58,'Data Base'!$AA$58,IF(H14='Data Base'!$Z$59,'Data Base'!$AA$59,IF(H14='Data Base'!$Z$60,'Data Base'!$AA$60,IF(H14='Data Base'!$Z$61,'Data Base'!$AA$61,IF(H14='Data Base'!$Z$62,'Data Base'!$AA$62,IF(H14='Data Base'!$Z$63,'Data Base'!$AA$63,)))))))))))))))))))</f>
        <v>0</v>
      </c>
      <c r="R14" s="842"/>
      <c r="S14" s="766"/>
      <c r="T14" s="1104"/>
      <c r="U14" s="1105"/>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4.5" customHeight="1" thickBot="1">
      <c r="A15" s="775">
        <v>10</v>
      </c>
      <c r="B15" s="1244"/>
      <c r="C15" s="1245"/>
      <c r="D15" s="1245"/>
      <c r="E15" s="1245"/>
      <c r="F15" s="1245"/>
      <c r="G15" s="1246"/>
      <c r="H15" s="1251"/>
      <c r="I15" s="1251"/>
      <c r="J15" s="1252"/>
      <c r="K15" s="1253" t="str">
        <f>IF(H15='Data Base'!$Z$46,'Data Base'!$AB$46,IF(H15='Data Base'!$Z$47,'Data Base'!$AB$47,IF(H15='Data Base'!$Z$48,'Data Base'!$AB$48,IF(H15='Data Base'!$Z$49,'Data Base'!$AB$49,IF(H15='Data Base'!$Z$50,'Data Base'!$AB$50,IF(H15='Data Base'!$Z$51,'Data Base'!$AB$51,IF(H15='Data Base'!$Z$52,'Data Base'!$AB$52,IF(H15='Data Base'!$Z$53,'Data Base'!$AB$53,IF(H15='Data Base'!$Z$54,'Data Base'!$AB$54,IF(H15='Data Base'!$Z$55,'Data Base'!$AB$55,IF(H15='Data Base'!$Z$56,'Data Base'!$AB$56,IF(H15='Data Base'!$Z$57,'Data Base'!$AB$57,IF(H15='Data Base'!$Z$58,'Data Base'!$AB$58,IF(H15='Data Base'!$Z$59,'Data Base'!$AB$59,IF(H15='Data Base'!$Z$60,'Data Base'!$AB$60,IF(H15='Data Base'!$Z$61,'Data Base'!$AB$61,IF(H15='Data Base'!$Z$62,'Data Base'!$AB$62,IF(H15='Data Base'!$Z$63,'Data Base'!$AB$63,""))))))))))))))))))</f>
        <v/>
      </c>
      <c r="L15" s="1254"/>
      <c r="M15" s="1160"/>
      <c r="N15" s="1201"/>
      <c r="O15" s="1201"/>
      <c r="P15" s="1161"/>
      <c r="Q15" s="812">
        <f>IF(R15='Data Base'!$Q$79,0,IF(H15='Data Base'!$Z$46,'Data Base'!$AA$46,IF(H15='Data Base'!$Z$47,'Data Base'!$AA$47,IF(H15='Data Base'!$Z$48,'Data Base'!$AA$48,IF(H15='Data Base'!$Z$49,'Data Base'!$AA$49,IF(H15='Data Base'!$Z$50,'Data Base'!$AA$50,IF(H15='Data Base'!$Z$51,'Data Base'!$AA$51,IF(H15='Data Base'!$Z$52,'Data Base'!$AA$52,IF(H15='Data Base'!$Z$53,'Data Base'!$AA$53,IF(H15='Data Base'!$Z$54,'Data Base'!$AA$54,IF(H15='Data Base'!$Z$55,'Data Base'!$AA$55,IF(H15='Data Base'!$Z$56,'Data Base'!$AA$56,IF(H15='Data Base'!$Z$57,'Data Base'!$AA$57,IF(H15='Data Base'!$Z$58,'Data Base'!$AA$58,IF(H15='Data Base'!$Z$59,'Data Base'!$AA$59,IF(H15='Data Base'!$Z$60,'Data Base'!$AA$60,IF(H15='Data Base'!$Z$61,'Data Base'!$AA$61,IF(H15='Data Base'!$Z$62,'Data Base'!$AA$62,IF(H15='Data Base'!$Z$63,'Data Base'!$AA$63,)))))))))))))))))))</f>
        <v>0</v>
      </c>
      <c r="R15" s="848"/>
      <c r="S15" s="806"/>
      <c r="T15" s="1158"/>
      <c r="U15" s="1159"/>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3" t="s">
        <v>270</v>
      </c>
      <c r="B16" s="1144"/>
      <c r="C16" s="1144"/>
      <c r="D16" s="1144"/>
      <c r="E16" s="1144"/>
      <c r="F16" s="1144"/>
      <c r="G16" s="1144"/>
      <c r="H16" s="1144"/>
      <c r="I16" s="1144"/>
      <c r="J16" s="1144"/>
      <c r="K16" s="215">
        <f>SUM(Q6:Q15)</f>
        <v>0</v>
      </c>
      <c r="L16" s="1188" t="s">
        <v>1219</v>
      </c>
      <c r="M16" s="1188"/>
      <c r="N16" s="1188"/>
      <c r="O16" s="1188"/>
      <c r="P16" s="1188"/>
      <c r="Q16" s="1189"/>
      <c r="R16" s="807">
        <f>IF(K16&gt;8,8,K16)</f>
        <v>0</v>
      </c>
      <c r="S16" s="807">
        <f>IF(SUM(S6:S15)&gt;8,8,SUM(S6:S15))</f>
        <v>0</v>
      </c>
      <c r="T16" s="1102"/>
      <c r="U16" s="110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48" t="s">
        <v>31</v>
      </c>
      <c r="B17" s="1149"/>
      <c r="C17" s="1149"/>
      <c r="D17" s="1149"/>
      <c r="E17" s="1149"/>
      <c r="F17" s="1149"/>
      <c r="G17" s="1149"/>
      <c r="H17" s="1149"/>
      <c r="I17" s="1149"/>
      <c r="J17" s="1149"/>
      <c r="K17" s="1149"/>
      <c r="L17" s="1149" t="s">
        <v>572</v>
      </c>
      <c r="M17" s="1149"/>
      <c r="N17" s="1149"/>
      <c r="O17" s="1149"/>
      <c r="P17" s="1149"/>
      <c r="Q17" s="1149"/>
      <c r="R17" s="1149"/>
      <c r="S17" s="1149"/>
      <c r="T17" s="1149"/>
      <c r="U17" s="1150"/>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51">
        <f>'فرم الف'!A27</f>
        <v>0</v>
      </c>
      <c r="B18" s="1153"/>
      <c r="C18" s="1153"/>
      <c r="D18" s="1153"/>
      <c r="E18" s="1153"/>
      <c r="F18" s="1153"/>
      <c r="G18" s="1153"/>
      <c r="H18" s="1153"/>
      <c r="I18" s="1153"/>
      <c r="J18" s="1153"/>
      <c r="K18" s="1153"/>
      <c r="L18" s="1153" t="str">
        <f>'Data Base'!N32</f>
        <v>حميدرضا طاهري تربتي</v>
      </c>
      <c r="M18" s="1153"/>
      <c r="N18" s="1153"/>
      <c r="O18" s="1153"/>
      <c r="P18" s="1153"/>
      <c r="Q18" s="1153"/>
      <c r="R18" s="1153"/>
      <c r="S18" s="1153"/>
      <c r="T18" s="1153"/>
      <c r="U18" s="115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096" t="s">
        <v>592</v>
      </c>
      <c r="B19" s="1097"/>
      <c r="C19" s="1097"/>
      <c r="D19" s="1097"/>
      <c r="E19" s="1097"/>
      <c r="F19" s="1097"/>
      <c r="G19" s="1097"/>
      <c r="H19" s="1097"/>
      <c r="I19" s="1097"/>
      <c r="J19" s="1097"/>
      <c r="K19" s="1097"/>
      <c r="L19" s="1097"/>
      <c r="M19" s="1097"/>
      <c r="N19" s="1097"/>
      <c r="O19" s="1097"/>
      <c r="P19" s="1097"/>
      <c r="Q19" s="1097"/>
      <c r="R19" s="1097"/>
      <c r="S19" s="1097"/>
      <c r="T19" s="1097"/>
      <c r="U19" s="1097"/>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Sk71I6rJnfivabL9QT+Gj0cysSTJujgoSpjwCo9Dxf8mz/qixCNzbDGkk9IipKeNqQ7ZTSV7FC0jJMA+pUoFCA==" saltValue="r+q0hyr9g+gwODYluH3JUQ==" spinCount="100000" sheet="1" objects="1" scenarios="1" formatCells="0" formatRows="0" selectLockedCells="1"/>
  <mergeCells count="76">
    <mergeCell ref="B13:G13"/>
    <mergeCell ref="H13:J13"/>
    <mergeCell ref="K13:L13"/>
    <mergeCell ref="A19:U19"/>
    <mergeCell ref="T15:U15"/>
    <mergeCell ref="T16:U16"/>
    <mergeCell ref="A17:K17"/>
    <mergeCell ref="L17:U17"/>
    <mergeCell ref="B15:G15"/>
    <mergeCell ref="H15:J15"/>
    <mergeCell ref="A18:K18"/>
    <mergeCell ref="L18:U18"/>
    <mergeCell ref="L16:Q16"/>
    <mergeCell ref="A16:J16"/>
    <mergeCell ref="K15:L15"/>
    <mergeCell ref="T13:U13"/>
    <mergeCell ref="T11:U11"/>
    <mergeCell ref="B12:G12"/>
    <mergeCell ref="H12:J12"/>
    <mergeCell ref="K12:L12"/>
    <mergeCell ref="T12:U12"/>
    <mergeCell ref="B11:G11"/>
    <mergeCell ref="H11:J11"/>
    <mergeCell ref="K11:L11"/>
    <mergeCell ref="B14:G14"/>
    <mergeCell ref="H14:J14"/>
    <mergeCell ref="K14:L14"/>
    <mergeCell ref="T14:U14"/>
    <mergeCell ref="T9:U9"/>
    <mergeCell ref="B10:G10"/>
    <mergeCell ref="H10:J10"/>
    <mergeCell ref="K10:L10"/>
    <mergeCell ref="T10:U10"/>
    <mergeCell ref="B9:G9"/>
    <mergeCell ref="H9:J9"/>
    <mergeCell ref="K9:L9"/>
    <mergeCell ref="M9:P9"/>
    <mergeCell ref="M10:P10"/>
    <mergeCell ref="M11:P11"/>
    <mergeCell ref="M12:P12"/>
    <mergeCell ref="T6:U6"/>
    <mergeCell ref="T7:U7"/>
    <mergeCell ref="B8:G8"/>
    <mergeCell ref="H8:J8"/>
    <mergeCell ref="K8:L8"/>
    <mergeCell ref="T8:U8"/>
    <mergeCell ref="B7:G7"/>
    <mergeCell ref="H7:J7"/>
    <mergeCell ref="K7:L7"/>
    <mergeCell ref="B6:G6"/>
    <mergeCell ref="H6:J6"/>
    <mergeCell ref="K6:L6"/>
    <mergeCell ref="M6:P6"/>
    <mergeCell ref="M7:P7"/>
    <mergeCell ref="M8:P8"/>
    <mergeCell ref="H4:J5"/>
    <mergeCell ref="K4:L5"/>
    <mergeCell ref="T5:U5"/>
    <mergeCell ref="M4:P5"/>
    <mergeCell ref="Q4:U4"/>
    <mergeCell ref="M13:P13"/>
    <mergeCell ref="M14:P14"/>
    <mergeCell ref="M15:P15"/>
    <mergeCell ref="A1:B2"/>
    <mergeCell ref="C1:G1"/>
    <mergeCell ref="H1:L1"/>
    <mergeCell ref="M1:P1"/>
    <mergeCell ref="A3:R3"/>
    <mergeCell ref="Q1:U1"/>
    <mergeCell ref="C2:G2"/>
    <mergeCell ref="Q2:U2"/>
    <mergeCell ref="L2:P2"/>
    <mergeCell ref="H2:K2"/>
    <mergeCell ref="S3:U3"/>
    <mergeCell ref="A4:A5"/>
    <mergeCell ref="B4:G5"/>
  </mergeCells>
  <conditionalFormatting sqref="B6:M6">
    <cfRule type="containsBlanks" dxfId="214" priority="4">
      <formula>LEN(TRIM(B6))=0</formula>
    </cfRule>
  </conditionalFormatting>
  <conditionalFormatting sqref="B7:L15">
    <cfRule type="containsBlanks" dxfId="213" priority="3">
      <formula>LEN(TRIM(B7))=0</formula>
    </cfRule>
  </conditionalFormatting>
  <conditionalFormatting sqref="M7:M15">
    <cfRule type="containsBlanks" dxfId="212" priority="1">
      <formula>LEN(TRIM(M7))=0</formula>
    </cfRule>
  </conditionalFormatting>
  <dataValidations count="1">
    <dataValidation type="decimal" allowBlank="1" showInputMessage="1" showErrorMessage="1" errorTitle="خطا در ورود امتياز" error="لطفا يك عدد بين صفر و 2 وارد نماييد" promptTitle="توجه:" prompt="رتبه1تا3مسابقات و جشنواره فرهنگی،ورزشی،قرآن،نهج البلاغه،معارف دینی درون دانشگاهی 1 امتیاز_x000a_رتبه1تا3مسابقات و جشنواره استانی و منطقه‌ای 1/5امتیاز_x000a_رتبه1تا3مسابقات و جشنواره‌در سطوح ملی و بین‌المللی 2امتیاز_x000a_جوایز و تقدیرنامه‎ها ملی،وزارتی،دانشگاهی 2-1/5-1_x000a_" sqref="S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Base'!$Z$46:$Z$63</xm:f>
          </x14:formula1>
          <xm:sqref>H6:J15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44</vt:i4>
      </vt:variant>
    </vt:vector>
  </HeadingPairs>
  <TitlesOfParts>
    <vt:vector size="102" baseType="lpstr">
      <vt:lpstr>Start</vt:lpstr>
      <vt:lpstr>فرم الف</vt:lpstr>
      <vt:lpstr>بند1-1تدوين كتاب در حوزه فرهنگي</vt:lpstr>
      <vt:lpstr>بند1-2تهيه و تدوين پيوست فرهنگي</vt:lpstr>
      <vt:lpstr>بند1-3مشاوره فرهنگي يا همكاري..</vt:lpstr>
      <vt:lpstr>بند1-4استاد مشاور فرهنگي</vt:lpstr>
      <vt:lpstr>بند1-5مسئوليت پذيري در اصلاح و </vt:lpstr>
      <vt:lpstr>بند1-6استمرار در تقيد و پايبندي</vt:lpstr>
      <vt:lpstr>بند1-7كسب جوايز فرهنگي...</vt:lpstr>
      <vt:lpstr>بند1-8طراحي و مشاركت فعالانه...</vt:lpstr>
      <vt:lpstr>بند1-9شركت در كارگاه هاي دانش..</vt:lpstr>
      <vt:lpstr>بند1-10برگزاري نمايشگاه آثار و.</vt:lpstr>
      <vt:lpstr>بند2-1رعایت نظم وانضباط درسی</vt:lpstr>
      <vt:lpstr>بند2-2کیفیت تدریس</vt:lpstr>
      <vt:lpstr>بند 2-3کمیت تدریس</vt:lpstr>
      <vt:lpstr>بند2-4راهنمايي پروژه كارشناسي..</vt:lpstr>
      <vt:lpstr>بند3-1مقاله علمي پژوهشيJCRو...</vt:lpstr>
      <vt:lpstr>بند3-2و3-3مقاله مروري و ترويجي</vt:lpstr>
      <vt:lpstr>بند3-4مدخل چاپ شده در دانشنامه</vt:lpstr>
      <vt:lpstr>بند3-5و3-6مقاله علمی کامل وخلاص</vt:lpstr>
      <vt:lpstr>بند3-7مقاله مستخرج از رساله</vt:lpstr>
      <vt:lpstr>بند3-8توليد دانش فني اختراع و..</vt:lpstr>
      <vt:lpstr>بند3-9-1و2گزارش علمي طرح پژوهشي</vt:lpstr>
      <vt:lpstr>بند3-10 اثر بديع و ارزنده</vt:lpstr>
      <vt:lpstr>بند3-11 ايجاد ظرفيت در جذب گرنت</vt:lpstr>
      <vt:lpstr>بند3-12 تصنيف تاليف ترجمه كتاب</vt:lpstr>
      <vt:lpstr>بند3-13 راهنمايي پايان نامه</vt:lpstr>
      <vt:lpstr>بند 3-14 کرسی های نظریه پردازی</vt:lpstr>
      <vt:lpstr>بند 3-15 كسب رتبه در جشنواره ها</vt:lpstr>
      <vt:lpstr>بند 3-16 داوري و نظارت پژوهشي</vt:lpstr>
      <vt:lpstr>بند4-1حضور فعال وتمام وقت</vt:lpstr>
      <vt:lpstr>بند4-2برپايي نمايشگاه اردوها...</vt:lpstr>
      <vt:lpstr>بند4-3طراحي و راه اندازي آزمايش</vt:lpstr>
      <vt:lpstr>بند4-4همكاري در تاسيس دانشگاه و</vt:lpstr>
      <vt:lpstr>بند4-5مدير مسئولي سردبيري و...</vt:lpstr>
      <vt:lpstr>بند4-6عضويت در هسته قطب علمي</vt:lpstr>
      <vt:lpstr>بند4-7عضويت در شوراي پارك ها...</vt:lpstr>
      <vt:lpstr>بند4-8 دبيري همايش هاي علمي...</vt:lpstr>
      <vt:lpstr>بند4-9ايفاي مسئوليت درقواي سه..</vt:lpstr>
      <vt:lpstr>بند4-10شركت در شوراها كارگروه..</vt:lpstr>
      <vt:lpstr>بند4-11ايجاد رشته هاي جديد و ..</vt:lpstr>
      <vt:lpstr>بند4-12راهبري پروژه بين رشته اي</vt:lpstr>
      <vt:lpstr>بند4-13طراحي برنامه با هدف ...</vt:lpstr>
      <vt:lpstr>بند4-14طراحي سوال آزمون سراسري</vt:lpstr>
      <vt:lpstr>بند4-15طراحي سوال آزمون جامع و</vt:lpstr>
      <vt:lpstr>بند4-16 تدوين كتاب به شيوه ...</vt:lpstr>
      <vt:lpstr>بند4-17تدوين مجموعه مقاله همايش</vt:lpstr>
      <vt:lpstr>بند4-18ايجاد ظرفيت درجذب دانشجو</vt:lpstr>
      <vt:lpstr>صورتجلسه کمیته فرهنگی</vt:lpstr>
      <vt:lpstr>تصویر صورتجلسه کمیته فرهنگی</vt:lpstr>
      <vt:lpstr>فرم ب-1</vt:lpstr>
      <vt:lpstr>تصویر فرم ب-1</vt:lpstr>
      <vt:lpstr>فرم ب-2</vt:lpstr>
      <vt:lpstr>تصویر فرم ب-2</vt:lpstr>
      <vt:lpstr>فرم ب - 3</vt:lpstr>
      <vt:lpstr>فرم ج</vt:lpstr>
      <vt:lpstr>خلاصه پرونده ارتقا</vt:lpstr>
      <vt:lpstr>Data Base</vt:lpstr>
      <vt:lpstr>'فرم ج'!OLE_LINK1</vt:lpstr>
      <vt:lpstr>'بند 2-3کمیت تدریس'!Print_Titles</vt:lpstr>
      <vt:lpstr>'بند 3-14 کرسی های نظریه پردازی'!Print_Titles</vt:lpstr>
      <vt:lpstr>'بند 3-15 كسب رتبه در جشنواره ها'!Print_Titles</vt:lpstr>
      <vt:lpstr>'بند 3-16 داوري و نظارت پژوهشي'!Print_Titles</vt:lpstr>
      <vt:lpstr>'بند1-10برگزاري نمايشگاه آثار و.'!Print_Titles</vt:lpstr>
      <vt:lpstr>'بند1-1تدوين كتاب در حوزه فرهنگي'!Print_Titles</vt:lpstr>
      <vt:lpstr>'بند1-2تهيه و تدوين پيوست فرهنگي'!Print_Titles</vt:lpstr>
      <vt:lpstr>'بند1-3مشاوره فرهنگي يا همكاري..'!Print_Titles</vt:lpstr>
      <vt:lpstr>'بند1-4استاد مشاور فرهنگي'!Print_Titles</vt:lpstr>
      <vt:lpstr>'بند1-5مسئوليت پذيري در اصلاح و '!Print_Titles</vt:lpstr>
      <vt:lpstr>'بند1-6استمرار در تقيد و پايبندي'!Print_Titles</vt:lpstr>
      <vt:lpstr>'بند1-7كسب جوايز فرهنگي...'!Print_Titles</vt:lpstr>
      <vt:lpstr>'بند1-8طراحي و مشاركت فعالانه...'!Print_Titles</vt:lpstr>
      <vt:lpstr>'بند1-9شركت در كارگاه هاي دانش..'!Print_Titles</vt:lpstr>
      <vt:lpstr>'بند2-4راهنمايي پروژه كارشناسي..'!Print_Titles</vt:lpstr>
      <vt:lpstr>'بند3-10 اثر بديع و ارزنده'!Print_Titles</vt:lpstr>
      <vt:lpstr>'بند3-11 ايجاد ظرفيت در جذب گرنت'!Print_Titles</vt:lpstr>
      <vt:lpstr>'بند3-12 تصنيف تاليف ترجمه كتاب'!Print_Titles</vt:lpstr>
      <vt:lpstr>'بند3-13 راهنمايي پايان نامه'!Print_Titles</vt:lpstr>
      <vt:lpstr>'بند3-1مقاله علمي پژوهشيJCRو...'!Print_Titles</vt:lpstr>
      <vt:lpstr>'بند3-2و3-3مقاله مروري و ترويجي'!Print_Titles</vt:lpstr>
      <vt:lpstr>'بند3-5و3-6مقاله علمی کامل وخلاص'!Print_Titles</vt:lpstr>
      <vt:lpstr>'بند3-7مقاله مستخرج از رساله'!Print_Titles</vt:lpstr>
      <vt:lpstr>'بند3-8توليد دانش فني اختراع و..'!Print_Titles</vt:lpstr>
      <vt:lpstr>'بند3-9-1و2گزارش علمي طرح پژوهشي'!Print_Titles</vt:lpstr>
      <vt:lpstr>'بند4-10شركت در شوراها كارگروه..'!Print_Titles</vt:lpstr>
      <vt:lpstr>'بند4-11ايجاد رشته هاي جديد و ..'!Print_Titles</vt:lpstr>
      <vt:lpstr>'بند4-12راهبري پروژه بين رشته اي'!Print_Titles</vt:lpstr>
      <vt:lpstr>'بند4-13طراحي برنامه با هدف ...'!Print_Titles</vt:lpstr>
      <vt:lpstr>'بند4-14طراحي سوال آزمون سراسري'!Print_Titles</vt:lpstr>
      <vt:lpstr>'بند4-15طراحي سوال آزمون جامع و'!Print_Titles</vt:lpstr>
      <vt:lpstr>'بند4-16 تدوين كتاب به شيوه ...'!Print_Titles</vt:lpstr>
      <vt:lpstr>'بند4-17تدوين مجموعه مقاله همايش'!Print_Titles</vt:lpstr>
      <vt:lpstr>'بند4-18ايجاد ظرفيت درجذب دانشجو'!Print_Titles</vt:lpstr>
      <vt:lpstr>'بند4-1حضور فعال وتمام وقت'!Print_Titles</vt:lpstr>
      <vt:lpstr>'بند4-2برپايي نمايشگاه اردوها...'!Print_Titles</vt:lpstr>
      <vt:lpstr>'بند4-3طراحي و راه اندازي آزمايش'!Print_Titles</vt:lpstr>
      <vt:lpstr>'بند4-4همكاري در تاسيس دانشگاه و'!Print_Titles</vt:lpstr>
      <vt:lpstr>'بند4-5مدير مسئولي سردبيري و...'!Print_Titles</vt:lpstr>
      <vt:lpstr>'بند4-6عضويت در هسته قطب علمي'!Print_Titles</vt:lpstr>
      <vt:lpstr>'بند4-7عضويت در شوراي پارك ها...'!Print_Titles</vt:lpstr>
      <vt:lpstr>'بند4-8 دبيري همايش هاي علمي...'!Print_Titles</vt:lpstr>
      <vt:lpstr>'بند4-9ايفاي مسئوليت درقواي سه..'!Print_Titles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2021-06-07T08:06:59Z</dcterms:modified>
</cp:coreProperties>
</file>